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stateoforegon.sharepoint.com/sites/CAOGuineaPigs/Shared Documents/Facility Files/Existing Facilities/263240_Microchip/69889_Existing Source RA/Emissions Inventory/2025-12-23 Submittal/"/>
    </mc:Choice>
  </mc:AlternateContent>
  <xr:revisionPtr revIDLastSave="19" documentId="8_{0D082867-EBA9-4595-AA7A-59EBCE35CB8F}" xr6:coauthVersionLast="47" xr6:coauthVersionMax="47" xr10:uidLastSave="{2F00149E-C9DD-449C-BBFE-B4AF6F3890E3}"/>
  <bookViews>
    <workbookView xWindow="5265" yWindow="2400" windowWidth="32220" windowHeight="16980" firstSheet="1" activeTab="2" xr2:uid="{22DA2DCC-FF33-443A-A001-09F3AF38CBDC}"/>
  </bookViews>
  <sheets>
    <sheet name="Mock Forms --&gt;" sheetId="88" r:id="rId1"/>
    <sheet name="2. Emissions Units &amp; Activities" sheetId="26" r:id="rId2"/>
    <sheet name="3. Pollutant Emissions - EF" sheetId="27" r:id="rId3"/>
    <sheet name="PTE Emission Calcs --&gt;" sheetId="34" r:id="rId4"/>
    <sheet name="Gas and Liquid Precursor PTE" sheetId="35" r:id="rId5"/>
    <sheet name="Acids Bases Plating CMP PTE" sheetId="36" r:id="rId6"/>
    <sheet name="Photoresist and Organics PTE" sheetId="37" r:id="rId7"/>
    <sheet name="Boilers POU VOC Control PTE" sheetId="72" r:id="rId8"/>
    <sheet name="Diesel Generators PTE" sheetId="73" r:id="rId9"/>
    <sheet name="HCl Tank PTE" sheetId="38" r:id="rId10"/>
    <sheet name="REF --&gt;" sheetId="24" r:id="rId11"/>
    <sheet name="DEQ Table 2" sheetId="25" r:id="rId12"/>
  </sheets>
  <definedNames>
    <definedName name="\P">#REF!</definedName>
    <definedName name="__________________PG9">#REF!</definedName>
    <definedName name="_________________PG9">#REF!</definedName>
    <definedName name="________________PG10">#REF!</definedName>
    <definedName name="________________PG2">#REF!</definedName>
    <definedName name="________________PG5">#REF!</definedName>
    <definedName name="________________PG8">#REF!</definedName>
    <definedName name="________________PG9">#REF!</definedName>
    <definedName name="_______________PG10">#REF!</definedName>
    <definedName name="_______________PG2">#REF!</definedName>
    <definedName name="_______________PG5">#REF!</definedName>
    <definedName name="_______________PG8">#REF!</definedName>
    <definedName name="_______________PG9">#REF!</definedName>
    <definedName name="_______________so2">#REF!</definedName>
    <definedName name="______________PG10">#REF!</definedName>
    <definedName name="______________PG2">#REF!</definedName>
    <definedName name="______________PG5">#REF!</definedName>
    <definedName name="______________PG8">#REF!</definedName>
    <definedName name="______________PG9">#REF!</definedName>
    <definedName name="______________so2">#REF!</definedName>
    <definedName name="_____________PG10">#REF!</definedName>
    <definedName name="_____________PG2">#REF!</definedName>
    <definedName name="_____________PG5">#REF!</definedName>
    <definedName name="_____________PG8">#REF!</definedName>
    <definedName name="_____________PG9">#REF!</definedName>
    <definedName name="_____________so2">#REF!</definedName>
    <definedName name="____________OP1">#REF!</definedName>
    <definedName name="____________OP10">#REF!</definedName>
    <definedName name="____________OP11">#REF!</definedName>
    <definedName name="____________OP12">#REF!</definedName>
    <definedName name="____________OP13">#REF!</definedName>
    <definedName name="____________OP14">#REF!</definedName>
    <definedName name="____________OP15">#REF!</definedName>
    <definedName name="____________OP2">#REF!</definedName>
    <definedName name="____________OP3">#REF!</definedName>
    <definedName name="____________OP4">#REF!</definedName>
    <definedName name="____________OP5">#REF!</definedName>
    <definedName name="____________OP6">#REF!</definedName>
    <definedName name="____________OP7">#REF!</definedName>
    <definedName name="____________OP8">#REF!</definedName>
    <definedName name="____________OP9">#REF!</definedName>
    <definedName name="____________PG10">#REF!</definedName>
    <definedName name="____________PG2">#REF!</definedName>
    <definedName name="____________PG5">#REF!</definedName>
    <definedName name="____________PG8">#REF!</definedName>
    <definedName name="____________PG9">#REF!</definedName>
    <definedName name="____________so2">#REF!</definedName>
    <definedName name="___________OP1">#REF!</definedName>
    <definedName name="___________OP10">#REF!</definedName>
    <definedName name="___________OP11">#REF!</definedName>
    <definedName name="___________OP12">#REF!</definedName>
    <definedName name="___________OP13">#REF!</definedName>
    <definedName name="___________OP14">#REF!</definedName>
    <definedName name="___________OP15">#REF!</definedName>
    <definedName name="___________OP2">#REF!</definedName>
    <definedName name="___________OP3">#REF!</definedName>
    <definedName name="___________OP4">#REF!</definedName>
    <definedName name="___________OP5">#REF!</definedName>
    <definedName name="___________OP6">#REF!</definedName>
    <definedName name="___________OP7">#REF!</definedName>
    <definedName name="___________OP8">#REF!</definedName>
    <definedName name="___________OP9">#REF!</definedName>
    <definedName name="___________PG10">#REF!</definedName>
    <definedName name="___________PG2">#REF!</definedName>
    <definedName name="___________PG5">#REF!</definedName>
    <definedName name="___________PG8">#REF!</definedName>
    <definedName name="___________PG9">#REF!</definedName>
    <definedName name="___________so2">#REF!</definedName>
    <definedName name="__________OP1">#REF!</definedName>
    <definedName name="__________OP10">#REF!</definedName>
    <definedName name="__________OP11">#REF!</definedName>
    <definedName name="__________OP12">#REF!</definedName>
    <definedName name="__________OP13">#REF!</definedName>
    <definedName name="__________OP14">#REF!</definedName>
    <definedName name="__________OP15">#REF!</definedName>
    <definedName name="__________OP2">#REF!</definedName>
    <definedName name="__________OP3">#REF!</definedName>
    <definedName name="__________OP4">#REF!</definedName>
    <definedName name="__________OP5">#REF!</definedName>
    <definedName name="__________OP6">#REF!</definedName>
    <definedName name="__________OP7">#REF!</definedName>
    <definedName name="__________OP8">#REF!</definedName>
    <definedName name="__________OP9">#REF!</definedName>
    <definedName name="__________PG10">#REF!</definedName>
    <definedName name="__________PG2">#REF!</definedName>
    <definedName name="__________PG5">#REF!</definedName>
    <definedName name="__________PG8">#REF!</definedName>
    <definedName name="__________PG9">#REF!</definedName>
    <definedName name="__________so2">#REF!</definedName>
    <definedName name="_________OP1">#REF!</definedName>
    <definedName name="_________OP10">#REF!</definedName>
    <definedName name="_________OP11">#REF!</definedName>
    <definedName name="_________OP12">#REF!</definedName>
    <definedName name="_________OP13">#REF!</definedName>
    <definedName name="_________OP14">#REF!</definedName>
    <definedName name="_________OP15">#REF!</definedName>
    <definedName name="_________OP2">#REF!</definedName>
    <definedName name="_________OP3">#REF!</definedName>
    <definedName name="_________OP4">#REF!</definedName>
    <definedName name="_________OP5">#REF!</definedName>
    <definedName name="_________OP6">#REF!</definedName>
    <definedName name="_________OP7">#REF!</definedName>
    <definedName name="_________OP8">#REF!</definedName>
    <definedName name="_________OP9">#REF!</definedName>
    <definedName name="_________PG10">#REF!</definedName>
    <definedName name="_________PG2">#REF!</definedName>
    <definedName name="_________PG5">#REF!</definedName>
    <definedName name="_________PG8">#REF!</definedName>
    <definedName name="_________PG9">#REF!</definedName>
    <definedName name="_________so2">#REF!</definedName>
    <definedName name="________OP1">#REF!</definedName>
    <definedName name="________OP10">#REF!</definedName>
    <definedName name="________OP11">#REF!</definedName>
    <definedName name="________OP12">#REF!</definedName>
    <definedName name="________OP13">#REF!</definedName>
    <definedName name="________OP14">#REF!</definedName>
    <definedName name="________OP15">#REF!</definedName>
    <definedName name="________OP2">#REF!</definedName>
    <definedName name="________OP3">#REF!</definedName>
    <definedName name="________OP4">#REF!</definedName>
    <definedName name="________OP5">#REF!</definedName>
    <definedName name="________OP6">#REF!</definedName>
    <definedName name="________OP7">#REF!</definedName>
    <definedName name="________OP8">#REF!</definedName>
    <definedName name="________OP9">#REF!</definedName>
    <definedName name="________PG10">#REF!</definedName>
    <definedName name="________PG2">#REF!</definedName>
    <definedName name="________PG5">#REF!</definedName>
    <definedName name="________PG8">#REF!</definedName>
    <definedName name="________PG9">#REF!</definedName>
    <definedName name="________so2">#REF!</definedName>
    <definedName name="_______key2" hidden="1">#REF!</definedName>
    <definedName name="_______OP1">#REF!</definedName>
    <definedName name="_______OP10">#REF!</definedName>
    <definedName name="_______OP11">#REF!</definedName>
    <definedName name="_______OP12">#REF!</definedName>
    <definedName name="_______OP13">#REF!</definedName>
    <definedName name="_______OP14">#REF!</definedName>
    <definedName name="_______OP15">#REF!</definedName>
    <definedName name="_______OP2">#REF!</definedName>
    <definedName name="_______OP3">#REF!</definedName>
    <definedName name="_______OP4">#REF!</definedName>
    <definedName name="_______OP5">#REF!</definedName>
    <definedName name="_______OP6">#REF!</definedName>
    <definedName name="_______OP7">#REF!</definedName>
    <definedName name="_______OP8">#REF!</definedName>
    <definedName name="_______OP9">#REF!</definedName>
    <definedName name="_______PG10">#REF!</definedName>
    <definedName name="_______PG2">#REF!</definedName>
    <definedName name="_______PG5">#REF!</definedName>
    <definedName name="_______PG8">#REF!</definedName>
    <definedName name="_______PG9">#REF!</definedName>
    <definedName name="_______so2">#REF!</definedName>
    <definedName name="______key2" hidden="1">#REF!</definedName>
    <definedName name="______OP1">#REF!</definedName>
    <definedName name="______OP10">#REF!</definedName>
    <definedName name="______OP11">#REF!</definedName>
    <definedName name="______OP12">#REF!</definedName>
    <definedName name="______OP13">#REF!</definedName>
    <definedName name="______OP14">#REF!</definedName>
    <definedName name="______OP15">#REF!</definedName>
    <definedName name="______OP2">#REF!</definedName>
    <definedName name="______OP3">#REF!</definedName>
    <definedName name="______OP4">#REF!</definedName>
    <definedName name="______OP5">#REF!</definedName>
    <definedName name="______OP6">#REF!</definedName>
    <definedName name="______OP7">#REF!</definedName>
    <definedName name="______OP8">#REF!</definedName>
    <definedName name="______OP9">#REF!</definedName>
    <definedName name="______PG10">#REF!</definedName>
    <definedName name="______PG2">#REF!</definedName>
    <definedName name="______PG5">#REF!</definedName>
    <definedName name="______PG8">#REF!</definedName>
    <definedName name="______PG9">#REF!</definedName>
    <definedName name="______so2">#REF!</definedName>
    <definedName name="_____DAT1">#REF!</definedName>
    <definedName name="_____DAT13">#REF!</definedName>
    <definedName name="_____DAT16">#REF!</definedName>
    <definedName name="_____DAT17">#REF!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key2" hidden="1">#REF!</definedName>
    <definedName name="_____OP1">#REF!</definedName>
    <definedName name="_____OP10">#REF!</definedName>
    <definedName name="_____OP11">#REF!</definedName>
    <definedName name="_____OP12">#REF!</definedName>
    <definedName name="_____OP13">#REF!</definedName>
    <definedName name="_____OP14">#REF!</definedName>
    <definedName name="_____OP15">#REF!</definedName>
    <definedName name="_____OP2">#REF!</definedName>
    <definedName name="_____OP3">#REF!</definedName>
    <definedName name="_____OP4">#REF!</definedName>
    <definedName name="_____OP5">#REF!</definedName>
    <definedName name="_____OP6">#REF!</definedName>
    <definedName name="_____OP7">#REF!</definedName>
    <definedName name="_____OP8">#REF!</definedName>
    <definedName name="_____OP9">#REF!</definedName>
    <definedName name="_____PG10">#REF!</definedName>
    <definedName name="_____PG2">#REF!</definedName>
    <definedName name="_____PG5">#REF!</definedName>
    <definedName name="_____PG8">#REF!</definedName>
    <definedName name="_____PG9">#REF!</definedName>
    <definedName name="_____so2">#REF!</definedName>
    <definedName name="____DAT1">#REF!</definedName>
    <definedName name="____DAT13">#REF!</definedName>
    <definedName name="____DAT16">#REF!</definedName>
    <definedName name="____DAT17">#REF!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key2" hidden="1">#REF!</definedName>
    <definedName name="____OP1">#REF!</definedName>
    <definedName name="____OP10">#REF!</definedName>
    <definedName name="____OP11">#REF!</definedName>
    <definedName name="____OP12">#REF!</definedName>
    <definedName name="____OP13">#REF!</definedName>
    <definedName name="____OP14">#REF!</definedName>
    <definedName name="____OP15">#REF!</definedName>
    <definedName name="____OP2">#REF!</definedName>
    <definedName name="____OP3">#REF!</definedName>
    <definedName name="____OP4">#REF!</definedName>
    <definedName name="____OP5">#REF!</definedName>
    <definedName name="____OP6">#REF!</definedName>
    <definedName name="____OP7">#REF!</definedName>
    <definedName name="____OP8">#REF!</definedName>
    <definedName name="____OP9">#REF!</definedName>
    <definedName name="____PG10">#REF!</definedName>
    <definedName name="____PG2">#REF!</definedName>
    <definedName name="____PG5">#REF!</definedName>
    <definedName name="____PG8">#REF!</definedName>
    <definedName name="____PG9">#REF!</definedName>
    <definedName name="____so2">#REF!</definedName>
    <definedName name="___DAT1">#REF!</definedName>
    <definedName name="___DAT13">#REF!</definedName>
    <definedName name="___DAT16">#REF!</definedName>
    <definedName name="___DAT17">#REF!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key2" hidden="1">#REF!</definedName>
    <definedName name="___OP1">#REF!</definedName>
    <definedName name="___OP10">#REF!</definedName>
    <definedName name="___OP11">#REF!</definedName>
    <definedName name="___OP12">#REF!</definedName>
    <definedName name="___OP13">#REF!</definedName>
    <definedName name="___OP14">#REF!</definedName>
    <definedName name="___OP15">#REF!</definedName>
    <definedName name="___OP2">#REF!</definedName>
    <definedName name="___OP3">#REF!</definedName>
    <definedName name="___OP4">#REF!</definedName>
    <definedName name="___OP5">#REF!</definedName>
    <definedName name="___OP6">#REF!</definedName>
    <definedName name="___OP7">#REF!</definedName>
    <definedName name="___OP8">#REF!</definedName>
    <definedName name="___OP9">#REF!</definedName>
    <definedName name="___PG10">#REF!</definedName>
    <definedName name="___PG2">#REF!</definedName>
    <definedName name="___PG5">#REF!</definedName>
    <definedName name="___PG8">#REF!</definedName>
    <definedName name="___PG9">#REF!</definedName>
    <definedName name="___so2">#REF!</definedName>
    <definedName name="__123Graph_X" hidden="1">#REF!</definedName>
    <definedName name="__1S" hidden="1">#REF!</definedName>
    <definedName name="__261_3000TV">#REF!</definedName>
    <definedName name="__261_5100TV">#REF!</definedName>
    <definedName name="__DAT1">#REF!</definedName>
    <definedName name="__DAT13">#REF!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key2" hidden="1">#REF!</definedName>
    <definedName name="__OP1">#REF!</definedName>
    <definedName name="__OP10">#REF!</definedName>
    <definedName name="__OP11">#REF!</definedName>
    <definedName name="__OP12">#REF!</definedName>
    <definedName name="__OP13">#REF!</definedName>
    <definedName name="__OP14">#REF!</definedName>
    <definedName name="__OP15">#REF!</definedName>
    <definedName name="__OP2">#REF!</definedName>
    <definedName name="__OP3">#REF!</definedName>
    <definedName name="__OP4">#REF!</definedName>
    <definedName name="__OP5">#REF!</definedName>
    <definedName name="__OP6">#REF!</definedName>
    <definedName name="__OP7">#REF!</definedName>
    <definedName name="__OP8">#REF!</definedName>
    <definedName name="__OP9">#REF!</definedName>
    <definedName name="__PG10">#REF!</definedName>
    <definedName name="__PG2">#REF!</definedName>
    <definedName name="__PG5">#REF!</definedName>
    <definedName name="__PG8">#REF!</definedName>
    <definedName name="__PG9">#REF!</definedName>
    <definedName name="__so2">#REF!</definedName>
    <definedName name="_1__123Graph_AHC_COMP" hidden="1">#REF!</definedName>
    <definedName name="_1_0_S" hidden="1">#REF!</definedName>
    <definedName name="_12_0_S" hidden="1">#REF!</definedName>
    <definedName name="_1S" hidden="1">#REF!</definedName>
    <definedName name="_2__123Graph_AHEAT_VALUE" hidden="1">#REF!</definedName>
    <definedName name="_2_0_S" hidden="1">#REF!</definedName>
    <definedName name="_24hrEF">#REF!</definedName>
    <definedName name="_261_3000TV">#REF!</definedName>
    <definedName name="_261_5100TV">#REF!</definedName>
    <definedName name="_3__123Graph_ALBS_DAY" hidden="1">#REF!</definedName>
    <definedName name="_3_0_S" hidden="1">#REF!</definedName>
    <definedName name="_3S" hidden="1">#REF!</definedName>
    <definedName name="_4__123Graph_BLBS_DAY" hidden="1">#REF!</definedName>
    <definedName name="_4S" hidden="1">#REF!</definedName>
    <definedName name="_5__123Graph_CLBS_DAY" hidden="1">#REF!</definedName>
    <definedName name="_6__123Graph_XCOMP_COST" hidden="1">#REF!</definedName>
    <definedName name="_6_0_S" hidden="1">#REF!</definedName>
    <definedName name="_6_9_94">#REF!</definedName>
    <definedName name="_7__123Graph_XHC_COMP" hidden="1">#REF!</definedName>
    <definedName name="_8__123Graph_XHEAT_VALUE" hidden="1">#REF!</definedName>
    <definedName name="_9__123Graph_XLBS_DAY" hidden="1">#REF!</definedName>
    <definedName name="_DAT10">#REF!</definedName>
    <definedName name="_DAT11">#REF!</definedName>
    <definedName name="_DAT12">#REF!</definedName>
    <definedName name="_DAT15">#REF!</definedName>
    <definedName name="_DAT16">#REF!</definedName>
    <definedName name="_DAT17">#REF!</definedName>
    <definedName name="_DAT18">#REF!</definedName>
    <definedName name="_DAT19">#REF!</definedName>
    <definedName name="_DAT9">#REF!</definedName>
    <definedName name="_Fill" hidden="1">#REF!</definedName>
    <definedName name="_xlnm._FilterDatabase" localSheetId="1" hidden="1">'2. Emissions Units &amp; Activities'!$B$6:$S$116</definedName>
    <definedName name="_xlnm._FilterDatabase" localSheetId="2" hidden="1">'3. Pollutant Emissions - EF'!$A$7:$O$716</definedName>
    <definedName name="_xlnm._FilterDatabase" localSheetId="5" hidden="1">'Acids Bases Plating CMP PTE'!$C$2:$L$307</definedName>
    <definedName name="_xlnm._FilterDatabase" localSheetId="4" hidden="1">'Gas and Liquid Precursor PTE'!$A$3:$M$3</definedName>
    <definedName name="_xlnm._FilterDatabase" localSheetId="6" hidden="1">'Photoresist and Organics PTE'!$C$2:$L$158</definedName>
    <definedName name="_Key1" hidden="1">#REF!</definedName>
    <definedName name="_Key2" hidden="1">#REF!</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2">#REF!</definedName>
    <definedName name="_OP3">#REF!</definedName>
    <definedName name="_OP4">#REF!</definedName>
    <definedName name="_OP5">#REF!</definedName>
    <definedName name="_OP6">#REF!</definedName>
    <definedName name="_OP7">#REF!</definedName>
    <definedName name="_OP8">#REF!</definedName>
    <definedName name="_OP9">#REF!</definedName>
    <definedName name="_Order1" hidden="1">255</definedName>
    <definedName name="_Order2" hidden="1">255</definedName>
    <definedName name="_PG10">#REF!</definedName>
    <definedName name="_PG2">#REF!</definedName>
    <definedName name="_PG5">#REF!</definedName>
    <definedName name="_PG8">#REF!</definedName>
    <definedName name="_PG9">#REF!</definedName>
    <definedName name="_Regression_Int" hidden="1">1</definedName>
    <definedName name="_Regression_Out" hidden="1">#REF!</definedName>
    <definedName name="_Regression_X" hidden="1">#REF!</definedName>
    <definedName name="_Regression_Y" hidden="1">#REF!</definedName>
    <definedName name="_so2">#REF!</definedName>
    <definedName name="_Sort" hidden="1">#REF!</definedName>
    <definedName name="_SP_GR_">#REF!</definedName>
    <definedName name="_SRC1">#REF!</definedName>
    <definedName name="_SRC10">#REF!</definedName>
    <definedName name="_SRC11">#REF!</definedName>
    <definedName name="_SRC12">#REF!</definedName>
    <definedName name="_SRC13">#REF!</definedName>
    <definedName name="_SRC17">#REF!</definedName>
    <definedName name="_SRC19">#REF!</definedName>
    <definedName name="_SRC2">#REF!</definedName>
    <definedName name="_SRC21">#REF!</definedName>
    <definedName name="_SRC24">#REF!</definedName>
    <definedName name="_SRC25">#REF!</definedName>
    <definedName name="_SRC26">#REF!</definedName>
    <definedName name="_SRC27">#REF!</definedName>
    <definedName name="_SRC28">#REF!</definedName>
    <definedName name="_SRC3">#REF!</definedName>
    <definedName name="_SRC31">#REF!</definedName>
    <definedName name="_SRC32">#REF!</definedName>
    <definedName name="_SRC33">#REF!</definedName>
    <definedName name="_SRC37">#REF!</definedName>
    <definedName name="_SRC38">#REF!</definedName>
    <definedName name="_SRC4">#REF!</definedName>
    <definedName name="_SRC44">#REF!</definedName>
    <definedName name="_SRC46">#REF!</definedName>
    <definedName name="_SRC47">#REF!</definedName>
    <definedName name="_SRC48">#REF!</definedName>
    <definedName name="_SRC49">#REF!</definedName>
    <definedName name="_SRC5">#REF!</definedName>
    <definedName name="_SRC50">#REF!</definedName>
    <definedName name="_SRC55">#REF!</definedName>
    <definedName name="_SRC56">#REF!</definedName>
    <definedName name="_SRC57">#REF!</definedName>
    <definedName name="_SRC58">#REF!</definedName>
    <definedName name="_SRC6">#REF!</definedName>
    <definedName name="_SRC60">#REF!</definedName>
    <definedName name="_SRC61">#REF!</definedName>
    <definedName name="_SRC62">#REF!</definedName>
    <definedName name="_SRC63">#REF!</definedName>
    <definedName name="_SRC64">#REF!</definedName>
    <definedName name="_SRC65">#REF!</definedName>
    <definedName name="_SRC67">#REF!</definedName>
    <definedName name="_SRC68">#REF!</definedName>
    <definedName name="_SRC69">#REF!</definedName>
    <definedName name="_SRC7">#REF!</definedName>
    <definedName name="_SRC70">#REF!</definedName>
    <definedName name="_SRC71">#REF!</definedName>
    <definedName name="_SRC72">#REF!</definedName>
    <definedName name="_SRC73">#REF!</definedName>
    <definedName name="_SRC74">#REF!</definedName>
    <definedName name="_SRC75">#REF!</definedName>
    <definedName name="_SRC76">#REF!</definedName>
    <definedName name="_SRC77">#REF!</definedName>
    <definedName name="_SRC78">#REF!</definedName>
    <definedName name="_SRC8">#REF!</definedName>
    <definedName name="_SRC81">#REF!</definedName>
    <definedName name="_SRC82">#REF!</definedName>
    <definedName name="_SRC83">#REF!</definedName>
    <definedName name="_SRC9">#REF!</definedName>
    <definedName name="_SRC90">#REF!</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abbcc" hidden="1">{#N/A,#N/A,FALSE,"Annual Summary";#N/A,#N/A,FALSE,"Hourly Summary";#N/A,#N/A,FALSE,"Flare Combustion";#N/A,#N/A,FALSE,"Shipping";#N/A,#N/A,FALSE,"Process Turnaround";#N/A,#N/A,FALSE,"Lab Samples";#N/A,#N/A,FALSE,"Product Cycles 5-4";#N/A,#N/A,FALSE,"5-4.1";#N/A,#N/A,FALSE,"5-4.2";#N/A,#N/A,FALSE,"Physical Prop Data"}</definedName>
    <definedName name="aappii" hidden="1">{#N/A,#N/A,FALSE,"Annual Summary";#N/A,#N/A,FALSE,"Hourly Summary";#N/A,#N/A,FALSE,"Flare Combustion";#N/A,#N/A,FALSE,"Shipping";#N/A,#N/A,FALSE,"Process Turnaround";#N/A,#N/A,FALSE,"Lab Samples";#N/A,#N/A,FALSE,"Product Cycles 5-4";#N/A,#N/A,FALSE,"5-4.1";#N/A,#N/A,FALSE,"5-4.2";#N/A,#N/A,FALSE,"Physical Prop Data"}</definedName>
    <definedName name="Ab">#REF!</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ccurate">#REF!</definedName>
    <definedName name="ACT_FUEL_USE">#REF!</definedName>
    <definedName name="ActualAnnualPlywoodProduction">#REF!</definedName>
    <definedName name="ActualDryerProduction">#REF!</definedName>
    <definedName name="ACwvu.Detailed." hidden="1">#REF!</definedName>
    <definedName name="ACwvu.Detailed._.and._.Summary." hidden="1">#REF!</definedName>
    <definedName name="ACwvu.Summary." hidden="1">#REF!</definedName>
    <definedName name="ad" hidden="1">{#N/A,#N/A,FALSE,"Annual Summary";#N/A,#N/A,FALSE,"Hourly Summary";#N/A,#N/A,FALSE,"Flare Combustion";#N/A,#N/A,FALSE,"Shipping";#N/A,#N/A,FALSE,"Process Turnaround";#N/A,#N/A,FALSE,"Lab Samples";#N/A,#N/A,FALSE,"Product Cycles 5-4";#N/A,#N/A,FALSE,"5-4.1";#N/A,#N/A,FALSE,"5-4.2";#N/A,#N/A,FALSE,"Physical Prop Data"}</definedName>
    <definedName name="adad">#REF!</definedName>
    <definedName name="Additional1">"Edit Box 20"</definedName>
    <definedName name="Additional2">"Edit Box 22"</definedName>
    <definedName name="Additional3">"Edit Box 24"</definedName>
    <definedName name="All_PM10">#REF!</definedName>
    <definedName name="All_PM10_and_TSPbl">#REF!</definedName>
    <definedName name="alpha">#REF!</definedName>
    <definedName name="AnnEF">#REF!</definedName>
    <definedName name="Annual_Spec">#REF!</definedName>
    <definedName name="AnnualSummary" hidden="1">{#N/A,#N/A,FALSE,"Annual Summary";#N/A,#N/A,FALSE,"Hourly Summary";#N/A,#N/A,FALSE,"Flare Combustion";#N/A,#N/A,FALSE,"Shipping";#N/A,#N/A,FALSE,"Process Turnaround";#N/A,#N/A,FALSE,"Lab Samples";#N/A,#N/A,FALSE,"Product Cycles 5-4";#N/A,#N/A,FALSE,"5-4.1";#N/A,#N/A,FALSE,"5-4.2";#N/A,#N/A,FALSE,"Physical Prop Data"}</definedName>
    <definedName name="anscount" hidden="1">2</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reas" localSheetId="5">#REF!</definedName>
    <definedName name="Areas" localSheetId="4">#REF!</definedName>
    <definedName name="Areas" localSheetId="9">#REF!</definedName>
    <definedName name="Areas" localSheetId="6">#REF!</definedName>
    <definedName name="Areas">#REF!</definedName>
    <definedName name="asd" hidden="1">#REF!</definedName>
    <definedName name="asdf" hidden="1">{#N/A,#N/A,FALSE,"Annual Summary";#N/A,#N/A,FALSE,"Hourly Summary";#N/A,#N/A,FALSE,"Flare Combustion";#N/A,#N/A,FALSE,"Shipping";#N/A,#N/A,FALSE,"Process Turnaround";#N/A,#N/A,FALSE,"Lab Samples";#N/A,#N/A,FALSE,"Product Cycles 5-4";#N/A,#N/A,FALSE,"5-4.1";#N/A,#N/A,FALSE,"5-4.2";#N/A,#N/A,FALSE,"Physical Prop Data"}</definedName>
    <definedName name="Auth_key">#REF!</definedName>
    <definedName name="Average_CO">#REF!</definedName>
    <definedName name="Average_NOx">#REF!</definedName>
    <definedName name="Average_SOx">#REF!</definedName>
    <definedName name="avgdpw">#REF!</definedName>
    <definedName name="avgfuel">#REF!</definedName>
    <definedName name="avghour">#REF!</definedName>
    <definedName name="avghpd">#REF!</definedName>
    <definedName name="avgrate">#REF!</definedName>
    <definedName name="avgwpy">#REF!</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#REF!</definedName>
    <definedName name="B1010btu">#REF!</definedName>
    <definedName name="B1011btu">#REF!</definedName>
    <definedName name="B1btu">#REF!</definedName>
    <definedName name="B3btu">#REF!</definedName>
    <definedName name="Bad_Signal">#REF!</definedName>
    <definedName name="Bank">#REF!</definedName>
    <definedName name="base_avg">#REF!</definedName>
    <definedName name="base_peak">#REF!</definedName>
    <definedName name="BLC">#REF!</definedName>
    <definedName name="BLD">#REF!</definedName>
    <definedName name="BOIL_SIZE_TYPE">#REF!</definedName>
    <definedName name="BoilerHAPs">#REF!</definedName>
    <definedName name="CABANA1">#REF!</definedName>
    <definedName name="CABANA2">#REF!</definedName>
    <definedName name="CABANA3">#REF!</definedName>
    <definedName name="CABANA4">#REF!</definedName>
    <definedName name="CALC_FUEL_USE">#REF!</definedName>
    <definedName name="Carbons">#REF!</definedName>
    <definedName name="CAS_numbers" localSheetId="5">#REF!</definedName>
    <definedName name="CAS_numbers" localSheetId="4">#REF!</definedName>
    <definedName name="CAS_numbers" localSheetId="9">#REF!</definedName>
    <definedName name="CAS_numbers" localSheetId="6">#REF!</definedName>
    <definedName name="CAS_numbers">#REF!</definedName>
    <definedName name="CD">#REF!</definedName>
    <definedName name="CE1H1">#REF!</definedName>
    <definedName name="CE1H10">#REF!</definedName>
    <definedName name="CE1H11">#REF!</definedName>
    <definedName name="CE1H12">#REF!</definedName>
    <definedName name="CE1H13">#REF!</definedName>
    <definedName name="CE1H14">#REF!</definedName>
    <definedName name="CE1H15">#REF!</definedName>
    <definedName name="CE1H2">#REF!</definedName>
    <definedName name="CE1H3">#REF!</definedName>
    <definedName name="CE1H4">#REF!</definedName>
    <definedName name="CE1H5">#REF!</definedName>
    <definedName name="CE1H6">#REF!</definedName>
    <definedName name="CE1H7">#REF!</definedName>
    <definedName name="CE1H8">#REF!</definedName>
    <definedName name="CE1H9">#REF!</definedName>
    <definedName name="CE1IH1">#REF!</definedName>
    <definedName name="CE1IH2">#REF!</definedName>
    <definedName name="CE1IH3">#REF!</definedName>
    <definedName name="CE1IH4">#REF!</definedName>
    <definedName name="CE1IH5">#REF!</definedName>
    <definedName name="CE2H1">#REF!</definedName>
    <definedName name="CE2H10">#REF!</definedName>
    <definedName name="CE2H11">#REF!</definedName>
    <definedName name="CE2H12">#REF!</definedName>
    <definedName name="CE2H13">#REF!</definedName>
    <definedName name="CE2H14">#REF!</definedName>
    <definedName name="CE2H15">#REF!</definedName>
    <definedName name="CE2H2">#REF!</definedName>
    <definedName name="CE2H3">#REF!</definedName>
    <definedName name="CE2H4">#REF!</definedName>
    <definedName name="CE2H5">#REF!</definedName>
    <definedName name="CE2H6">#REF!</definedName>
    <definedName name="CE2H7">#REF!</definedName>
    <definedName name="CE2H8">#REF!</definedName>
    <definedName name="CE2H9">#REF!</definedName>
    <definedName name="CE2IH1">#REF!</definedName>
    <definedName name="CE2IH2">#REF!</definedName>
    <definedName name="CE2IH3">#REF!</definedName>
    <definedName name="CE2IH4">#REF!</definedName>
    <definedName name="CE2IH5">#REF!</definedName>
    <definedName name="CEM_Downtime">#REF!</definedName>
    <definedName name="Cg">#REF!</definedName>
    <definedName name="ChemData">#REF!</definedName>
    <definedName name="chemical_names" localSheetId="5">#REF!</definedName>
    <definedName name="chemical_names" localSheetId="4">#REF!</definedName>
    <definedName name="chemical_names" localSheetId="9">#REF!</definedName>
    <definedName name="chemical_names" localSheetId="6">#REF!</definedName>
    <definedName name="chemical_names">#REF!</definedName>
    <definedName name="Chemicals" localSheetId="5">#REF!</definedName>
    <definedName name="Chemicals" localSheetId="4">#REF!</definedName>
    <definedName name="Chemicals" localSheetId="9">#REF!</definedName>
    <definedName name="Chemicals" localSheetId="6">#REF!</definedName>
    <definedName name="Chemicals">#REF!</definedName>
    <definedName name="chems">#REF!</definedName>
    <definedName name="Clay_max">#REF!</definedName>
    <definedName name="Clay_percent">#REF!</definedName>
    <definedName name="cleanup">#REF!</definedName>
    <definedName name="Clinker_Limit">#REF!</definedName>
    <definedName name="Cn">#REF!</definedName>
    <definedName name="co">#REF!</definedName>
    <definedName name="CO_Downtime">#REF!</definedName>
    <definedName name="CO_EPA_K_Factor">#REF!</definedName>
    <definedName name="CO_Molecular_Weight">#REF!</definedName>
    <definedName name="CO_ppm_Range_Max">#REF!</definedName>
    <definedName name="CO_ppm_Range_Min">#REF!</definedName>
    <definedName name="CO_ppm_Table">#REF!</definedName>
    <definedName name="CO_ResultTable">#REF!</definedName>
    <definedName name="CO_Tons">#REF!</definedName>
    <definedName name="Coal">#REF!</definedName>
    <definedName name="CoalMax">#REF!</definedName>
    <definedName name="COBbtu">#REF!</definedName>
    <definedName name="coce">#REF!</definedName>
    <definedName name="Code" hidden="1">#REF!</definedName>
    <definedName name="COEF">#REF!</definedName>
    <definedName name="COfactor">#REF!</definedName>
    <definedName name="Combined">SUMMARY,Detailed</definedName>
    <definedName name="CompName">#REF!</definedName>
    <definedName name="Contam">#REF!</definedName>
    <definedName name="corate">#REF!</definedName>
    <definedName name="CostofGoodsMfg">#REF!</definedName>
    <definedName name="CPLEXOP1">#REF!</definedName>
    <definedName name="CPLEXOP2">#REF!</definedName>
    <definedName name="CPLOP1">#REF!</definedName>
    <definedName name="CPLOP10">#REF!</definedName>
    <definedName name="CPLOP11">#REF!</definedName>
    <definedName name="CPLOP12">#REF!</definedName>
    <definedName name="CPLOP13">#REF!</definedName>
    <definedName name="CPLOP14">#REF!</definedName>
    <definedName name="CPLOP15">#REF!</definedName>
    <definedName name="CPLOP2">#REF!</definedName>
    <definedName name="CPLOP3">#REF!</definedName>
    <definedName name="CPLOP4">#REF!</definedName>
    <definedName name="CPLOP5">#REF!</definedName>
    <definedName name="CPLOP6">#REF!</definedName>
    <definedName name="CPLOP7">#REF!</definedName>
    <definedName name="CPLOP8">#REF!</definedName>
    <definedName name="CPLOP9">#REF!</definedName>
    <definedName name="CPSEXOP1">#REF!</definedName>
    <definedName name="CPSEXOP2">#REF!</definedName>
    <definedName name="CPSOP1">#REF!</definedName>
    <definedName name="CPSOP10">#REF!</definedName>
    <definedName name="CPSOP11">#REF!</definedName>
    <definedName name="CPSOP12">#REF!</definedName>
    <definedName name="CPSOP13">#REF!</definedName>
    <definedName name="CPSOP14">#REF!</definedName>
    <definedName name="CPSOP15">#REF!</definedName>
    <definedName name="CPSOP2">#REF!</definedName>
    <definedName name="CPSOP3">#REF!</definedName>
    <definedName name="CPSOP4">#REF!</definedName>
    <definedName name="CPSOP5">#REF!</definedName>
    <definedName name="CPSOP6">#REF!</definedName>
    <definedName name="CPSOP7">#REF!</definedName>
    <definedName name="CPSOP8">#REF!</definedName>
    <definedName name="CPSOP9">#REF!</definedName>
    <definedName name="Cpsteam">#REF!</definedName>
    <definedName name="CpSVG">#REF!</definedName>
    <definedName name="_xlnm.Criteria">#REF!</definedName>
    <definedName name="CrushHrs">#REF!</definedName>
    <definedName name="csr"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T_EF">#REF!</definedName>
    <definedName name="CT_ER">#REF!</definedName>
    <definedName name="CVDEXOP1">#REF!</definedName>
    <definedName name="CVDEXOP2">#REF!</definedName>
    <definedName name="CVLEXOP1">#REF!</definedName>
    <definedName name="CVLEXOP2">#REF!</definedName>
    <definedName name="CVLOP1">#REF!</definedName>
    <definedName name="CVLOP10">#REF!</definedName>
    <definedName name="CVLOP11">#REF!</definedName>
    <definedName name="CVLOP12">#REF!</definedName>
    <definedName name="CVLOP13">#REF!</definedName>
    <definedName name="CVLOP14">#REF!</definedName>
    <definedName name="CVLOP15">#REF!</definedName>
    <definedName name="CVLOP2">#REF!</definedName>
    <definedName name="CVLOP3">#REF!</definedName>
    <definedName name="CVLOP4">#REF!</definedName>
    <definedName name="CVLOP5">#REF!</definedName>
    <definedName name="CVLOP6">#REF!</definedName>
    <definedName name="CVLOP7">#REF!</definedName>
    <definedName name="CVLOP8">#REF!</definedName>
    <definedName name="CVLOP9">#REF!</definedName>
    <definedName name="CVSEXOP1">#REF!</definedName>
    <definedName name="CVSEXOP2">#REF!</definedName>
    <definedName name="CVSOP1">#REF!</definedName>
    <definedName name="CVSOP10">#REF!</definedName>
    <definedName name="CVSOP11">#REF!</definedName>
    <definedName name="CVSOP12">#REF!</definedName>
    <definedName name="CVSOP13">#REF!</definedName>
    <definedName name="CVSOP14">#REF!</definedName>
    <definedName name="CVSOP15">#REF!</definedName>
    <definedName name="CVSOP2">#REF!</definedName>
    <definedName name="CVSOP3">#REF!</definedName>
    <definedName name="CVSOP4">#REF!</definedName>
    <definedName name="CVSOP5">#REF!</definedName>
    <definedName name="CVSOP6">#REF!</definedName>
    <definedName name="CVSOP7">#REF!</definedName>
    <definedName name="CVSOP8">#REF!</definedName>
    <definedName name="CVSOP9">#REF!</definedName>
    <definedName name="D">#REF!</definedName>
    <definedName name="data1" hidden="1">#REF!</definedName>
    <definedName name="data2" hidden="1">#REF!</definedName>
    <definedName name="data3" hidden="1">#REF!</definedName>
    <definedName name="_xlnm.Database">#N/A</definedName>
    <definedName name="Days">#REF!</definedName>
    <definedName name="Days_in_Report">#REF!</definedName>
    <definedName name="dd" hidden="1">{#N/A,#N/A,FALSE,"Rates";#N/A,#N/A,FALSE,"Summary";#N/A,#N/A,FALSE,"Boilers";#N/A,#N/A,FALSE,"Cyclones";#N/A,#N/A,FALSE,"Saws";#N/A,#N/A,FALSE,"Drops";#N/A,#N/A,FALSE,"Piles";#N/A,#N/A,FALSE,"Roads";#N/A,#N/A,FALSE,"Tanks";#N/A,#N/A,FALSE,"Kilns";#N/A,#N/A,FALSE,"Model"}</definedName>
    <definedName name="ddd" hidden="1">{#N/A,#N/A,FALSE,"Rates";#N/A,#N/A,FALSE,"Summary";#N/A,#N/A,FALSE,"Boilers";#N/A,#N/A,FALSE,"Cyclones";#N/A,#N/A,FALSE,"Saws";#N/A,#N/A,FALSE,"Drops";#N/A,#N/A,FALSE,"Piles";#N/A,#N/A,FALSE,"Roads";#N/A,#N/A,FALSE,"Tanks";#N/A,#N/A,FALSE,"Kilns";#N/A,#N/A,FALSE,"Model"}</definedName>
    <definedName name="De">#REF!</definedName>
    <definedName name="Decrepitation_Kiln">#REF!</definedName>
    <definedName name="Density">#REF!</definedName>
    <definedName name="df"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a"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i">#REF!</definedName>
    <definedName name="Diesel">#REF!</definedName>
    <definedName name="Discount" hidden="1">#REF!</definedName>
    <definedName name="display_area_2" hidden="1">#REF!</definedName>
    <definedName name="Dist_Units">#REF!</definedName>
    <definedName name="DISTILLATE">#REF!</definedName>
    <definedName name="Dome">#REF!</definedName>
    <definedName name="DPb">#REF!</definedName>
    <definedName name="DPv">#REF!</definedName>
    <definedName name="DTv">#REF!</definedName>
    <definedName name="E">#REF!</definedName>
    <definedName name="e147\">#REF!</definedName>
    <definedName name="ee" hidden="1">{#N/A,#N/A,FALSE,"Rates";#N/A,#N/A,FALSE,"Summary";#N/A,#N/A,FALSE,"Boilers";#N/A,#N/A,FALSE,"Cyclones";#N/A,#N/A,FALSE,"Saws";#N/A,#N/A,FALSE,"Drops";#N/A,#N/A,FALSE,"Piles";#N/A,#N/A,FALSE,"Roads";#N/A,#N/A,FALSE,"Tanks";#N/A,#N/A,FALSE,"Kilns";#N/A,#N/A,FALSE,"Model"}</definedName>
    <definedName name="Eff">#REF!</definedName>
    <definedName name="EHSData1">#REF!</definedName>
    <definedName name="EHSData13">#REF!</definedName>
    <definedName name="EHSTitle1">#REF!</definedName>
    <definedName name="EHSTitle13">#REF!</definedName>
    <definedName name="EHSTitle5">#REF!</definedName>
    <definedName name="EIyear">#REF!</definedName>
    <definedName name="Emiss_Info">#REF!</definedName>
    <definedName name="emission">#REF!</definedName>
    <definedName name="Emissions_by_OPN_Freeport">#REF!</definedName>
    <definedName name="End_Date">#REF!</definedName>
    <definedName name="End_of_Month">#REF!</definedName>
    <definedName name="ENGINE_CALCULATIONS__Unspecified_Engine">#REF!,#REF!,#REF!,#REF!</definedName>
    <definedName name="Enter_Start_Date">#REF!</definedName>
    <definedName name="EPA">#REF!</definedName>
    <definedName name="Equipment">#REF!</definedName>
    <definedName name="ESL_LT">#REF!</definedName>
    <definedName name="ESL_ST">#REF!</definedName>
    <definedName name="EU_SCC">#REF!</definedName>
    <definedName name="EUIndex">#REF!</definedName>
    <definedName name="EUIndexColumns">#REF!</definedName>
    <definedName name="EXOP1">#REF!</definedName>
    <definedName name="EXOP2">#REF!</definedName>
    <definedName name="EXOPNM1">#REF!</definedName>
    <definedName name="EXOPNM2">#REF!</definedName>
    <definedName name="_xlnm.Extract">#REF!</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#REF!</definedName>
    <definedName name="F2201btu">#REF!</definedName>
    <definedName name="F3804btu">#REF!</definedName>
    <definedName name="F3901btu">#REF!</definedName>
    <definedName name="F4131btu">#REF!</definedName>
    <definedName name="F4150btu">#REF!</definedName>
    <definedName name="F4160btu">#REF!</definedName>
    <definedName name="F4170btu">#REF!</definedName>
    <definedName name="F4180btu">#REF!</definedName>
    <definedName name="FCCUFeedbtu">#REF!</definedName>
    <definedName name="FCode" hidden="1">#REF!</definedName>
    <definedName name="FinHrs">#REF!</definedName>
    <definedName name="FinMax">#REF!</definedName>
    <definedName name="FIRING_METHOD">#REF!</definedName>
    <definedName name="five">#REF!</definedName>
    <definedName name="Flare_Chem_List">#REF!</definedName>
    <definedName name="Flare_Emission_Sum">#REF!</definedName>
    <definedName name="Flare_General">#REF!</definedName>
    <definedName name="Flare_Strm_01">#REF!</definedName>
    <definedName name="Flare_Strm_02">#REF!</definedName>
    <definedName name="Flare_Strm_03">#REF!</definedName>
    <definedName name="Flare_Strm_04">#REF!</definedName>
    <definedName name="Flare_Strm_05">#REF!</definedName>
    <definedName name="Flare_Strm_06">#REF!</definedName>
    <definedName name="Flare_Strm_07">#REF!</definedName>
    <definedName name="Flare_Strm_08">#REF!</definedName>
    <definedName name="Flare_Strm_09">#REF!</definedName>
    <definedName name="Flare_Strm_10">#REF!</definedName>
    <definedName name="Flare_Strm_11">#REF!</definedName>
    <definedName name="Flare_Strm_12">#REF!</definedName>
    <definedName name="Flare_Strm_13">#REF!</definedName>
    <definedName name="Flare_Strm_14">#REF!</definedName>
    <definedName name="Flare_Strm_15">#REF!</definedName>
    <definedName name="Flare_Strm_16">#REF!</definedName>
    <definedName name="Flare_Strm_17">#REF!</definedName>
    <definedName name="Flare_Strm_18">#REF!</definedName>
    <definedName name="Flare_Strm_19">#REF!</definedName>
    <definedName name="Flare_Strm_20">#REF!</definedName>
    <definedName name="Flare_Strm_List_Bottom">#REF!</definedName>
    <definedName name="Flare_Strm_List_Top">#REF!</definedName>
    <definedName name="Flare_top">#REF!</definedName>
    <definedName name="Flow_Range_Max">#REF!</definedName>
    <definedName name="Flow_Range_Min">#REF!</definedName>
    <definedName name="flowsheet_rate">#REF!</definedName>
    <definedName name="flowsheet_vent">#REF!</definedName>
    <definedName name="fndSigFig">#REF!</definedName>
    <definedName name="fnsSigFig">#REF!</definedName>
    <definedName name="four">#REF!</definedName>
    <definedName name="FourCLB">#REF!</definedName>
    <definedName name="FourCRB">#REF!</definedName>
    <definedName name="FUEL">#REF!</definedName>
    <definedName name="FUEL_OIL_TYPE">#REF!</definedName>
    <definedName name="Fuel_Type">#REF!</definedName>
    <definedName name="Fuel_Usage">#REF!</definedName>
    <definedName name="Fugitive_Emission_Sum">#REF!</definedName>
    <definedName name="Fugitive_Strm_01">#REF!</definedName>
    <definedName name="Fugitive_Strm_01_Emissions">#REF!</definedName>
    <definedName name="Fugitive_Strm_02">#REF!</definedName>
    <definedName name="Fugitive_Strm_02_Emissions">#REF!</definedName>
    <definedName name="Fugitive_Strm_03">#REF!</definedName>
    <definedName name="Fugitive_Strm_03_Emissions">#REF!</definedName>
    <definedName name="Fugitive_Strm_04">#REF!</definedName>
    <definedName name="Fugitive_Strm_04_Emissions">#REF!</definedName>
    <definedName name="Fugitive_Strm_05">#REF!</definedName>
    <definedName name="Fugitive_Strm_05_Emissions">#REF!</definedName>
    <definedName name="Fugitive_Strm_06">#REF!</definedName>
    <definedName name="Fugitive_Strm_06_Emissions">#REF!</definedName>
    <definedName name="Fugitive_Strm_07">#REF!</definedName>
    <definedName name="Fugitive_Strm_07_Emissions">#REF!</definedName>
    <definedName name="Fugitive_Strm_08">#REF!</definedName>
    <definedName name="Fugitive_Strm_08_Emissions">#REF!</definedName>
    <definedName name="Fugitive_Strm_09">#REF!</definedName>
    <definedName name="Fugitive_Strm_09_Emissions">#REF!</definedName>
    <definedName name="Fugitive_Strm_10">#REF!</definedName>
    <definedName name="Fugitive_Strm_10_Emissions">#REF!</definedName>
    <definedName name="Fugitive_Strm_11">#REF!</definedName>
    <definedName name="Fugitive_Strm_11_Emissions">#REF!</definedName>
    <definedName name="Fugitive_Strm_12">#REF!</definedName>
    <definedName name="Fugitive_Strm_12_Emissions">#REF!</definedName>
    <definedName name="Fugitive_Strm_13">#REF!</definedName>
    <definedName name="Fugitive_Strm_13_Emissions">#REF!</definedName>
    <definedName name="Fugitive_Strm_14">#REF!</definedName>
    <definedName name="Fugitive_Strm_14_Emissions">#REF!</definedName>
    <definedName name="Fugitive_Strm_15">#REF!</definedName>
    <definedName name="Fugitive_Strm_15_Emissions">#REF!</definedName>
    <definedName name="Fugitive_Strm_16">#REF!</definedName>
    <definedName name="Fugitive_Strm_16_Emissions">#REF!</definedName>
    <definedName name="Fugitive_Strm_17">#REF!</definedName>
    <definedName name="Fugitive_Strm_17_Emissions">#REF!</definedName>
    <definedName name="Fugitive_Strm_18">#REF!</definedName>
    <definedName name="Fugitive_Strm_18_Emissions">#REF!</definedName>
    <definedName name="Fugitive_Strm_19">#REF!</definedName>
    <definedName name="Fugitive_Strm_19_Emissions">#REF!</definedName>
    <definedName name="Fugitive_Strm_20">#REF!</definedName>
    <definedName name="Fugitive_Strm_20_Emissions">#REF!</definedName>
    <definedName name="Fugitive_Strm_List">#REF!</definedName>
    <definedName name="Fugitive_Top">#REF!</definedName>
    <definedName name="future_avg">#REF!</definedName>
    <definedName name="future_peak">#REF!</definedName>
    <definedName name="FWPbtu">#REF!</definedName>
    <definedName name="Gals">#REF!</definedName>
    <definedName name="gas">#REF!</definedName>
    <definedName name="gh"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g">SUMMARY,Detailed</definedName>
    <definedName name="GO_T0_18">#REF!</definedName>
    <definedName name="GO_TO_1">#REF!</definedName>
    <definedName name="GO_TO_10">#REF!</definedName>
    <definedName name="GO_TO_11">#REF!</definedName>
    <definedName name="GO_TO_12">#REF!</definedName>
    <definedName name="GO_TO_13">#REF!</definedName>
    <definedName name="GO_TO_14">#REF!</definedName>
    <definedName name="GO_TO_15">#REF!</definedName>
    <definedName name="GO_TO_16">#REF!</definedName>
    <definedName name="GO_TO_17">#REF!</definedName>
    <definedName name="GO_TO_19">#REF!</definedName>
    <definedName name="GO_TO_2">#REF!</definedName>
    <definedName name="GO_TO_20">#REF!</definedName>
    <definedName name="GO_TO_3">#REF!</definedName>
    <definedName name="GO_TO_4">#REF!</definedName>
    <definedName name="GO_TO_5">#REF!</definedName>
    <definedName name="GO_TO_6">#REF!</definedName>
    <definedName name="GO_TO_7">#REF!</definedName>
    <definedName name="GO_TO_8">#REF!</definedName>
    <definedName name="GO_TO_9">#REF!</definedName>
    <definedName name="GOTO1">#REF!</definedName>
    <definedName name="GotoMainMenu">[0]!GotoMainMenu</definedName>
    <definedName name="GotoPrintMenu">[0]!GotoPrintMenu</definedName>
    <definedName name="GotoPrintViewMenu">[0]!GotoPrintViewMenu</definedName>
    <definedName name="GotoUtilityMenu">[0]!GotoUtilityMenu</definedName>
    <definedName name="GRAVIMETRIC">#REF!</definedName>
    <definedName name="Gyp_percent">#REF!</definedName>
    <definedName name="H101Ebtu">#REF!</definedName>
    <definedName name="H102btu">#REF!</definedName>
    <definedName name="H10C1">#REF!</definedName>
    <definedName name="H10C10">#REF!</definedName>
    <definedName name="H10C11">#REF!</definedName>
    <definedName name="H10C12">#REF!</definedName>
    <definedName name="H10C13">#REF!</definedName>
    <definedName name="H10C14">#REF!</definedName>
    <definedName name="H10C15">#REF!</definedName>
    <definedName name="H10C2">#REF!</definedName>
    <definedName name="H10C3">#REF!</definedName>
    <definedName name="H10C4">#REF!</definedName>
    <definedName name="H10C5">#REF!</definedName>
    <definedName name="H10C6">#REF!</definedName>
    <definedName name="H10C7">#REF!</definedName>
    <definedName name="H10C8">#REF!</definedName>
    <definedName name="H10C9">#REF!</definedName>
    <definedName name="H1101btu">#REF!</definedName>
    <definedName name="H11C1">#REF!</definedName>
    <definedName name="H11C10">#REF!</definedName>
    <definedName name="H11C11">#REF!</definedName>
    <definedName name="H11C12">#REF!</definedName>
    <definedName name="H11C13">#REF!</definedName>
    <definedName name="H11C14">#REF!</definedName>
    <definedName name="H11C15">#REF!</definedName>
    <definedName name="H11C2">#REF!</definedName>
    <definedName name="H11C3">#REF!</definedName>
    <definedName name="H11C4">#REF!</definedName>
    <definedName name="H11C5">#REF!</definedName>
    <definedName name="H11C6">#REF!</definedName>
    <definedName name="H11C7">#REF!</definedName>
    <definedName name="H11C8">#REF!</definedName>
    <definedName name="H11C9">#REF!</definedName>
    <definedName name="H12C1">#REF!</definedName>
    <definedName name="H12C10">#REF!</definedName>
    <definedName name="H12C11">#REF!</definedName>
    <definedName name="H12C12">#REF!</definedName>
    <definedName name="H12C13">#REF!</definedName>
    <definedName name="H12C14">#REF!</definedName>
    <definedName name="H12C15">#REF!</definedName>
    <definedName name="H12C2">#REF!</definedName>
    <definedName name="H12C3">#REF!</definedName>
    <definedName name="H12C4">#REF!</definedName>
    <definedName name="H12C5">#REF!</definedName>
    <definedName name="H12C6">#REF!</definedName>
    <definedName name="H12C7">#REF!</definedName>
    <definedName name="H12C8">#REF!</definedName>
    <definedName name="H12C9">#REF!</definedName>
    <definedName name="H13C1">#REF!</definedName>
    <definedName name="H13C10">#REF!</definedName>
    <definedName name="H13C11">#REF!</definedName>
    <definedName name="H13C12">#REF!</definedName>
    <definedName name="H13C13">#REF!</definedName>
    <definedName name="H13C14">#REF!</definedName>
    <definedName name="H13C15">#REF!</definedName>
    <definedName name="H13C2">#REF!</definedName>
    <definedName name="H13C3">#REF!</definedName>
    <definedName name="H13C4">#REF!</definedName>
    <definedName name="H13C5">#REF!</definedName>
    <definedName name="H13C6">#REF!</definedName>
    <definedName name="H13C7">#REF!</definedName>
    <definedName name="H13C8">#REF!</definedName>
    <definedName name="H13C9">#REF!</definedName>
    <definedName name="H14C1">#REF!</definedName>
    <definedName name="H14C10">#REF!</definedName>
    <definedName name="H14C11">#REF!</definedName>
    <definedName name="H14C12">#REF!</definedName>
    <definedName name="H14C13">#REF!</definedName>
    <definedName name="H14C14">#REF!</definedName>
    <definedName name="H14C15">#REF!</definedName>
    <definedName name="H14C2">#REF!</definedName>
    <definedName name="H14C3">#REF!</definedName>
    <definedName name="H14C4">#REF!</definedName>
    <definedName name="H14C5">#REF!</definedName>
    <definedName name="H14C6">#REF!</definedName>
    <definedName name="H14C7">#REF!</definedName>
    <definedName name="H14C8">#REF!</definedName>
    <definedName name="H14C9">#REF!</definedName>
    <definedName name="H15C1">#REF!</definedName>
    <definedName name="H15C10">#REF!</definedName>
    <definedName name="H15C11">#REF!</definedName>
    <definedName name="H15C12">#REF!</definedName>
    <definedName name="H15C13">#REF!</definedName>
    <definedName name="H15C14">#REF!</definedName>
    <definedName name="H15C15">#REF!</definedName>
    <definedName name="H15C2">#REF!</definedName>
    <definedName name="H15C3">#REF!</definedName>
    <definedName name="H15C4">#REF!</definedName>
    <definedName name="H15C5">#REF!</definedName>
    <definedName name="H15C6">#REF!</definedName>
    <definedName name="H15C7">#REF!</definedName>
    <definedName name="H15C8">#REF!</definedName>
    <definedName name="H15C9">#REF!</definedName>
    <definedName name="H1601btu">#REF!</definedName>
    <definedName name="H1C1">#REF!</definedName>
    <definedName name="H1C10">#REF!</definedName>
    <definedName name="H1C11">#REF!</definedName>
    <definedName name="H1C12">#REF!</definedName>
    <definedName name="H1C13">#REF!</definedName>
    <definedName name="H1C14">#REF!</definedName>
    <definedName name="H1C15">#REF!</definedName>
    <definedName name="H1C2">#REF!</definedName>
    <definedName name="H1C3">#REF!</definedName>
    <definedName name="H1C4">#REF!</definedName>
    <definedName name="H1C5">#REF!</definedName>
    <definedName name="H1C6">#REF!</definedName>
    <definedName name="H1C7">#REF!</definedName>
    <definedName name="H1C8">#REF!</definedName>
    <definedName name="H1C9">#REF!</definedName>
    <definedName name="H2C1">#REF!</definedName>
    <definedName name="H2C10">#REF!</definedName>
    <definedName name="H2C11">#REF!</definedName>
    <definedName name="H2C12">#REF!</definedName>
    <definedName name="H2C13">#REF!</definedName>
    <definedName name="H2C14">#REF!</definedName>
    <definedName name="H2C15">#REF!</definedName>
    <definedName name="H2C2">#REF!</definedName>
    <definedName name="H2C3">#REF!</definedName>
    <definedName name="H2C4">#REF!</definedName>
    <definedName name="H2C5">#REF!</definedName>
    <definedName name="H2C6">#REF!</definedName>
    <definedName name="H2C7">#REF!</definedName>
    <definedName name="H2C8">#REF!</definedName>
    <definedName name="H2C9">#REF!</definedName>
    <definedName name="h2olbgal">#REF!</definedName>
    <definedName name="H2ventedoutFlare">#REF!</definedName>
    <definedName name="H3505btu">#REF!</definedName>
    <definedName name="H3C1">#REF!</definedName>
    <definedName name="H3C10">#REF!</definedName>
    <definedName name="H3C11">#REF!</definedName>
    <definedName name="H3C12">#REF!</definedName>
    <definedName name="H3C13">#REF!</definedName>
    <definedName name="H3C14">#REF!</definedName>
    <definedName name="H3C15">#REF!</definedName>
    <definedName name="H3C2">#REF!</definedName>
    <definedName name="H3C3">#REF!</definedName>
    <definedName name="H3C4">#REF!</definedName>
    <definedName name="H3C5">#REF!</definedName>
    <definedName name="H3C6">#REF!</definedName>
    <definedName name="H3C7">#REF!</definedName>
    <definedName name="H3C8">#REF!</definedName>
    <definedName name="H3C9">#REF!</definedName>
    <definedName name="H401btu">#REF!</definedName>
    <definedName name="H402btu">#REF!</definedName>
    <definedName name="H4C1">#REF!</definedName>
    <definedName name="H4C10">#REF!</definedName>
    <definedName name="H4C11">#REF!</definedName>
    <definedName name="H4C12">#REF!</definedName>
    <definedName name="H4C13">#REF!</definedName>
    <definedName name="H4C14">#REF!</definedName>
    <definedName name="H4C15">#REF!</definedName>
    <definedName name="H4C2">#REF!</definedName>
    <definedName name="H4C3">#REF!</definedName>
    <definedName name="H4C4">#REF!</definedName>
    <definedName name="H4C5">#REF!</definedName>
    <definedName name="H4C6">#REF!</definedName>
    <definedName name="H4C7">#REF!</definedName>
    <definedName name="H4C8">#REF!</definedName>
    <definedName name="H4C9">#REF!</definedName>
    <definedName name="H5C1">#REF!</definedName>
    <definedName name="H5C10">#REF!</definedName>
    <definedName name="H5C11">#REF!</definedName>
    <definedName name="H5C12">#REF!</definedName>
    <definedName name="H5C13">#REF!</definedName>
    <definedName name="H5C14">#REF!</definedName>
    <definedName name="H5C15">#REF!</definedName>
    <definedName name="H5C2">#REF!</definedName>
    <definedName name="H5C3">#REF!</definedName>
    <definedName name="H5C4">#REF!</definedName>
    <definedName name="H5C5">#REF!</definedName>
    <definedName name="H5C6">#REF!</definedName>
    <definedName name="H5C7">#REF!</definedName>
    <definedName name="H5C8">#REF!</definedName>
    <definedName name="H5C9">#REF!</definedName>
    <definedName name="H6C1">#REF!</definedName>
    <definedName name="H6C10">#REF!</definedName>
    <definedName name="H6C11">#REF!</definedName>
    <definedName name="H6C12">#REF!</definedName>
    <definedName name="H6C13">#REF!</definedName>
    <definedName name="H6C14">#REF!</definedName>
    <definedName name="H6C15">#REF!</definedName>
    <definedName name="H6C2">#REF!</definedName>
    <definedName name="H6C3">#REF!</definedName>
    <definedName name="H6C4">#REF!</definedName>
    <definedName name="H6C5">#REF!</definedName>
    <definedName name="H6C6">#REF!</definedName>
    <definedName name="H6C7">#REF!</definedName>
    <definedName name="H6C8">#REF!</definedName>
    <definedName name="H6C9">#REF!</definedName>
    <definedName name="H7C1">#REF!</definedName>
    <definedName name="H7C10">#REF!</definedName>
    <definedName name="H7C11">#REF!</definedName>
    <definedName name="H7C12">#REF!</definedName>
    <definedName name="H7C13">#REF!</definedName>
    <definedName name="H7C14">#REF!</definedName>
    <definedName name="H7C15">#REF!</definedName>
    <definedName name="H7C2">#REF!</definedName>
    <definedName name="H7C3">#REF!</definedName>
    <definedName name="H7C4">#REF!</definedName>
    <definedName name="H7C5">#REF!</definedName>
    <definedName name="H7C6">#REF!</definedName>
    <definedName name="H7C7">#REF!</definedName>
    <definedName name="H7C8">#REF!</definedName>
    <definedName name="H7C9">#REF!</definedName>
    <definedName name="H8C1">#REF!</definedName>
    <definedName name="H8C10">#REF!</definedName>
    <definedName name="H8C11">#REF!</definedName>
    <definedName name="H8C12">#REF!</definedName>
    <definedName name="H8C13">#REF!</definedName>
    <definedName name="H8C14">#REF!</definedName>
    <definedName name="H8C15">#REF!</definedName>
    <definedName name="H8C2">#REF!</definedName>
    <definedName name="H8C3">#REF!</definedName>
    <definedName name="H8C4">#REF!</definedName>
    <definedName name="H8C5">#REF!</definedName>
    <definedName name="H8C6">#REF!</definedName>
    <definedName name="H8C7">#REF!</definedName>
    <definedName name="H8C8">#REF!</definedName>
    <definedName name="H8C9">#REF!</definedName>
    <definedName name="H9C1">#REF!</definedName>
    <definedName name="H9C10">#REF!</definedName>
    <definedName name="H9C11">#REF!</definedName>
    <definedName name="H9C12">#REF!</definedName>
    <definedName name="H9C13">#REF!</definedName>
    <definedName name="H9C14">#REF!</definedName>
    <definedName name="H9C15">#REF!</definedName>
    <definedName name="H9C2">#REF!</definedName>
    <definedName name="H9C3">#REF!</definedName>
    <definedName name="H9C4">#REF!</definedName>
    <definedName name="H9C5">#REF!</definedName>
    <definedName name="H9C6">#REF!</definedName>
    <definedName name="H9C7">#REF!</definedName>
    <definedName name="H9C8">#REF!</definedName>
    <definedName name="H9C9">#REF!</definedName>
    <definedName name="HAPs">#REF!</definedName>
    <definedName name="HC_soil_HC_content">#REF!</definedName>
    <definedName name="HDC_Attribute">#REF!</definedName>
    <definedName name="HDC_attributes">#REF!</definedName>
    <definedName name="HDC_chart1.def">#REF!</definedName>
    <definedName name="HDC_chart2.def">#REF!</definedName>
    <definedName name="HDC_chart3.def">#REF!</definedName>
    <definedName name="HDC_chart4.def">#REF!</definedName>
    <definedName name="HDC_chartn.NoSeries">#REF!</definedName>
    <definedName name="HDC_Chartn.TagList">#REF!</definedName>
    <definedName name="HDC_Connect">#REF!</definedName>
    <definedName name="HDC_data.out">#REF!</definedName>
    <definedName name="HDC_def.float">4</definedName>
    <definedName name="HDC_def.option">1</definedName>
    <definedName name="HDC_desc">#REF!</definedName>
    <definedName name="HDC_GetData.Time">34708.5716782407</definedName>
    <definedName name="HDC_HeadFootDef">#REF!</definedName>
    <definedName name="HDC_inp.end">#REF!</definedName>
    <definedName name="HDC_inp.interval">#REF!</definedName>
    <definedName name="HDC_inp.nopnts">#REF!</definedName>
    <definedName name="HDC_inp.start">#REF!</definedName>
    <definedName name="HDC_N.Columns">#REF!</definedName>
    <definedName name="HDC_N.Rows">#REF!</definedName>
    <definedName name="HDC_NoofCharts">#REF!</definedName>
    <definedName name="HDC_nopnts">#REF!</definedName>
    <definedName name="HDC_out1">#REF!</definedName>
    <definedName name="HDC_Paper.Size">#REF!</definedName>
    <definedName name="HDC_Portrait">#REF!</definedName>
    <definedName name="HDC_PrintDef">#REF!</definedName>
    <definedName name="HDC_res.end">#REF!</definedName>
    <definedName name="HDC_res.interval">#REF!</definedName>
    <definedName name="HDC_res.nopnts">#REF!</definedName>
    <definedName name="HDC_res.start">#REF!</definedName>
    <definedName name="HDC_server.name">#REF!</definedName>
    <definedName name="HDC_tag.attr">#REF!</definedName>
    <definedName name="HDC_tag.end">#REF!</definedName>
    <definedName name="HDC_tag.names">#REF!</definedName>
    <definedName name="HDC_tag.number">8</definedName>
    <definedName name="HDC_tag.start">#REF!</definedName>
    <definedName name="HDC_time.stamp">#REF!</definedName>
    <definedName name="HDC_unit.desc">#REF!</definedName>
    <definedName name="HDC_ViewOption">#REF!</definedName>
    <definedName name="HEAD">#REF!</definedName>
    <definedName name="Header">#REF!</definedName>
    <definedName name="HEAT_VALUE">#REF!</definedName>
    <definedName name="Heater">#REF!</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iddenRows" hidden="1">#REF!</definedName>
    <definedName name="Hl">#REF!</definedName>
    <definedName name="Hlx">#REF!</definedName>
    <definedName name="HOC">#REF!</definedName>
    <definedName name="Home">#REF!</definedName>
    <definedName name="HomeChemList">#REF!</definedName>
    <definedName name="HOT_OIL_HEATER">#REF!</definedName>
    <definedName name="HOUR_PER_YEAR">#REF!</definedName>
    <definedName name="Hourly_Spec">#REF!</definedName>
    <definedName name="Hours">#REF!</definedName>
    <definedName name="Hrd">#REF!</definedName>
    <definedName name="Hro">#REF!</definedName>
    <definedName name="Hroc">#REF!</definedName>
    <definedName name="Hrod">#REF!</definedName>
    <definedName name="Hs">#REF!</definedName>
    <definedName name="Hvo">#REF!</definedName>
    <definedName name="I">#REF!</definedName>
    <definedName name="IH1C1">#REF!</definedName>
    <definedName name="IH1C10">#REF!</definedName>
    <definedName name="IH1C11">#REF!</definedName>
    <definedName name="IH1C12">#REF!</definedName>
    <definedName name="IH1C13">#REF!</definedName>
    <definedName name="IH1C14">#REF!</definedName>
    <definedName name="IH1C15">#REF!</definedName>
    <definedName name="IH1C2">#REF!</definedName>
    <definedName name="IH1C3">#REF!</definedName>
    <definedName name="IH1C4">#REF!</definedName>
    <definedName name="IH1C5">#REF!</definedName>
    <definedName name="IH1C6">#REF!</definedName>
    <definedName name="IH1C7">#REF!</definedName>
    <definedName name="IH1C8">#REF!</definedName>
    <definedName name="IH1C9">#REF!</definedName>
    <definedName name="IH2C1">#REF!</definedName>
    <definedName name="IH2C10">#REF!</definedName>
    <definedName name="IH2C11">#REF!</definedName>
    <definedName name="IH2C12">#REF!</definedName>
    <definedName name="IH2C13">#REF!</definedName>
    <definedName name="IH2C14">#REF!</definedName>
    <definedName name="IH2C15">#REF!</definedName>
    <definedName name="IH2C2">#REF!</definedName>
    <definedName name="IH2C3">#REF!</definedName>
    <definedName name="IH2C4">#REF!</definedName>
    <definedName name="IH2C5">#REF!</definedName>
    <definedName name="IH2C6">#REF!</definedName>
    <definedName name="IH2C7">#REF!</definedName>
    <definedName name="IH2C8">#REF!</definedName>
    <definedName name="IH2C9">#REF!</definedName>
    <definedName name="IH3C1">#REF!</definedName>
    <definedName name="IH3C10">#REF!</definedName>
    <definedName name="IH3C11">#REF!</definedName>
    <definedName name="IH3C12">#REF!</definedName>
    <definedName name="IH3C13">#REF!</definedName>
    <definedName name="IH3C14">#REF!</definedName>
    <definedName name="IH3C15">#REF!</definedName>
    <definedName name="IH3C2">#REF!</definedName>
    <definedName name="IH3C3">#REF!</definedName>
    <definedName name="IH3C4">#REF!</definedName>
    <definedName name="IH3C5">#REF!</definedName>
    <definedName name="IH3C6">#REF!</definedName>
    <definedName name="IH3C7">#REF!</definedName>
    <definedName name="IH3C8">#REF!</definedName>
    <definedName name="IH3C9">#REF!</definedName>
    <definedName name="IH4C1">#REF!</definedName>
    <definedName name="IH4C10">#REF!</definedName>
    <definedName name="IH4C11">#REF!</definedName>
    <definedName name="IH4C12">#REF!</definedName>
    <definedName name="IH4C13">#REF!</definedName>
    <definedName name="IH4C14">#REF!</definedName>
    <definedName name="IH4C15">#REF!</definedName>
    <definedName name="IH4C2">#REF!</definedName>
    <definedName name="IH4C3">#REF!</definedName>
    <definedName name="IH4C4">#REF!</definedName>
    <definedName name="IH4C5">#REF!</definedName>
    <definedName name="IH4C6">#REF!</definedName>
    <definedName name="IH4C7">#REF!</definedName>
    <definedName name="IH4C8">#REF!</definedName>
    <definedName name="IH4C9">#REF!</definedName>
    <definedName name="IH5C1">#REF!</definedName>
    <definedName name="IH5C10">#REF!</definedName>
    <definedName name="IH5C11">#REF!</definedName>
    <definedName name="IH5C12">#REF!</definedName>
    <definedName name="IH5C13">#REF!</definedName>
    <definedName name="IH5C14">#REF!</definedName>
    <definedName name="IH5C15">#REF!</definedName>
    <definedName name="IH5C2">#REF!</definedName>
    <definedName name="IH5C3">#REF!</definedName>
    <definedName name="IH5C4">#REF!</definedName>
    <definedName name="IH5C5">#REF!</definedName>
    <definedName name="IH5C6">#REF!</definedName>
    <definedName name="IH5C7">#REF!</definedName>
    <definedName name="IH5C8">#REF!</definedName>
    <definedName name="IH5C9">#REF!</definedName>
    <definedName name="Input">#REF!</definedName>
    <definedName name="Input1">#REF!</definedName>
    <definedName name="InputData">#REF!</definedName>
    <definedName name="Inputs_are_shaded_gray_throughout">#REF!</definedName>
    <definedName name="Int">#REF!</definedName>
    <definedName name="inter1">#REF!</definedName>
    <definedName name="inter2">#REF!</definedName>
    <definedName name="inter3">#REF!</definedName>
    <definedName name="inter4">#REF!</definedName>
    <definedName name="inter5">#REF!</definedName>
    <definedName name="interest">#REF!</definedName>
    <definedName name="Isobutyl">#REF!</definedName>
    <definedName name="isopropyl">#REF!</definedName>
    <definedName name="jj" hidden="1">#REF!</definedName>
    <definedName name="jk" hidden="1">#REF!</definedName>
    <definedName name="Ke">#REF!</definedName>
    <definedName name="Kerosene">#REF!</definedName>
    <definedName name="Kiln_Down_Display">#REF!</definedName>
    <definedName name="Kiln_Feed_Tag">#REF!</definedName>
    <definedName name="Kiln_O2">#REF!</definedName>
    <definedName name="KilnHrs">#REF!</definedName>
    <definedName name="KilnMinFeed">#REF!</definedName>
    <definedName name="KilnText">#REF!</definedName>
    <definedName name="kk" hidden="1">{#N/A,#N/A,FALSE,"Annual Summary";#N/A,#N/A,FALSE,"Hourly Summary";#N/A,#N/A,FALSE,"Flare Combustion";#N/A,#N/A,FALSE,"Shipping";#N/A,#N/A,FALSE,"Process Turnaround";#N/A,#N/A,FALSE,"Lab Samples";#N/A,#N/A,FALSE,"Product Cycles 5-4";#N/A,#N/A,FALSE,"5-4.1";#N/A,#N/A,FALSE,"5-4.2";#N/A,#N/A,FALSE,"Physical Prop Data"}</definedName>
    <definedName name="KKmax">#REF!</definedName>
    <definedName name="Kn">#REF!</definedName>
    <definedName name="Kp">#REF!</definedName>
    <definedName name="Ks">#REF!</definedName>
    <definedName name="L1_CO_Downtime">#REF!</definedName>
    <definedName name="L1_NOx_Downtime">#REF!</definedName>
    <definedName name="L1_Opacity_Downtime">#REF!</definedName>
    <definedName name="L1_SOx_Downtime">#REF!</definedName>
    <definedName name="L1_SOx_Prior_Downtime">#REF!</definedName>
    <definedName name="L2_KF_Recirculation_Gate">#REF!</definedName>
    <definedName name="lbhr2gs">#REF!</definedName>
    <definedName name="Lbs_Hr_EPA_conversion_factor">#REF!</definedName>
    <definedName name="LD_data">#REF!</definedName>
    <definedName name="LDA_Dry_Annual">#REF!</definedName>
    <definedName name="LDA_Dry_Aug">#REF!</definedName>
    <definedName name="LDA_Dry_Jul">#REF!</definedName>
    <definedName name="LDA_Dry_Jun">#REF!</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qheight">#REF!</definedName>
    <definedName name="Literal_Month">#REF!</definedName>
    <definedName name="Load_Emission_btm">#REF!</definedName>
    <definedName name="Load_HomeChemList">#REF!</definedName>
    <definedName name="LOAD_LOSS_">#REF!</definedName>
    <definedName name="Load_Strm_01">#REF!</definedName>
    <definedName name="Load_Strm_01_Comp">#REF!</definedName>
    <definedName name="Load_Strm_01_Emissions">#REF!</definedName>
    <definedName name="Load_Strm_02">#REF!</definedName>
    <definedName name="Load_Strm_02_Comp">#REF!</definedName>
    <definedName name="Load_Strm_02_Emissions">#REF!</definedName>
    <definedName name="Load_Strm_03">#REF!</definedName>
    <definedName name="Load_Strm_03_Comp">#REF!</definedName>
    <definedName name="Load_Strm_03_Emissions">#REF!</definedName>
    <definedName name="Load_Strm_04">#REF!</definedName>
    <definedName name="Load_Strm_04_Comp">#REF!</definedName>
    <definedName name="Load_Strm_04_Emissions">#REF!</definedName>
    <definedName name="Load_Strm_05">#REF!</definedName>
    <definedName name="Load_Strm_05_Comp">#REF!</definedName>
    <definedName name="Load_Strm_05_Emissions">#REF!</definedName>
    <definedName name="Load_Strm_06">#REF!</definedName>
    <definedName name="Load_Strm_06_Comp">#REF!</definedName>
    <definedName name="Load_Strm_06_Emissions">#REF!</definedName>
    <definedName name="Load_Strm_07">#REF!</definedName>
    <definedName name="Load_Strm_07_Comp">#REF!</definedName>
    <definedName name="Load_Strm_07_Emissions">#REF!</definedName>
    <definedName name="Load_Strm_08">#REF!</definedName>
    <definedName name="Load_Strm_08_Comp">#REF!</definedName>
    <definedName name="Load_Strm_08_Emissions">#REF!</definedName>
    <definedName name="Load_Strm_09">#REF!</definedName>
    <definedName name="Load_Strm_09_Comp">#REF!</definedName>
    <definedName name="Load_Strm_09_Emissions">#REF!</definedName>
    <definedName name="Load_Strm_10">#REF!</definedName>
    <definedName name="Load_Strm_10_Comp">#REF!</definedName>
    <definedName name="Load_Strm_10_Emissions">#REF!</definedName>
    <definedName name="Load_Strm_11">#REF!</definedName>
    <definedName name="Load_Strm_11_Comp">#REF!</definedName>
    <definedName name="Load_Strm_11_Emissions">#REF!</definedName>
    <definedName name="Load_Strm_12">#REF!</definedName>
    <definedName name="Load_Strm_12_Comp">#REF!</definedName>
    <definedName name="Load_Strm_12_Emissions">#REF!</definedName>
    <definedName name="Load_Strm_13">#REF!</definedName>
    <definedName name="Load_Strm_13_Comp">#REF!</definedName>
    <definedName name="Load_Strm_13_Emissions">#REF!</definedName>
    <definedName name="Load_Strm_14">#REF!</definedName>
    <definedName name="Load_Strm_14_Comp">#REF!</definedName>
    <definedName name="Load_Strm_14_Emissions">#REF!</definedName>
    <definedName name="Load_Strm_15">#REF!</definedName>
    <definedName name="Load_Strm_15_Comp">#REF!</definedName>
    <definedName name="Load_Strm_15_Emissions">#REF!</definedName>
    <definedName name="Load_Strm_16">#REF!</definedName>
    <definedName name="Load_Strm_16_Comp">#REF!</definedName>
    <definedName name="Load_Strm_16_Emissions">#REF!</definedName>
    <definedName name="Load_Strm_17">#REF!</definedName>
    <definedName name="Load_Strm_17_Comp">#REF!</definedName>
    <definedName name="Load_Strm_17_Emissions">#REF!</definedName>
    <definedName name="Load_Strm_18">#REF!</definedName>
    <definedName name="Load_Strm_18_Comp">#REF!</definedName>
    <definedName name="Load_Strm_18_Emissions">#REF!</definedName>
    <definedName name="Load_Strm_19">#REF!</definedName>
    <definedName name="Load_Strm_19_Comp">#REF!</definedName>
    <definedName name="Load_Strm_19_Emissions">#REF!</definedName>
    <definedName name="Load_Strm_20">#REF!</definedName>
    <definedName name="Load_Strm_20_Comp">#REF!</definedName>
    <definedName name="Load_Strm_20_Emissions">#REF!</definedName>
    <definedName name="Load_Strm_Lis_Btm">#REF!</definedName>
    <definedName name="Load_Strm_List">#REF!</definedName>
    <definedName name="Load_Top">#REF!</definedName>
    <definedName name="location">#REF!</definedName>
    <definedName name="Ls">#REF!</definedName>
    <definedName name="LTAP_Standards">#REF!</definedName>
    <definedName name="Lw">#REF!</definedName>
    <definedName name="m">#REF!</definedName>
    <definedName name="ManualXAxis">"Check Box 12"</definedName>
    <definedName name="ManualYAxis">"Check Box 17"</definedName>
    <definedName name="match">#REF!</definedName>
    <definedName name="Max">#REF!</definedName>
    <definedName name="Max_Ann_Avg_FG">#REF!</definedName>
    <definedName name="Max_HC_soil_HC_content">#REF!</definedName>
    <definedName name="MAX_HEAT_INPUT">#REF!</definedName>
    <definedName name="MaxAnnHrs">#REF!</definedName>
    <definedName name="MAXCOLBHOUR">#REF!</definedName>
    <definedName name="maxdpw">#REF!</definedName>
    <definedName name="maxfuel">#REF!</definedName>
    <definedName name="maxhour">#REF!</definedName>
    <definedName name="maxhpd">#REF!</definedName>
    <definedName name="MaximumDryerProduction">#REF!</definedName>
    <definedName name="MAXNOXLBHOUR">#REF!</definedName>
    <definedName name="maxrate">#REF!</definedName>
    <definedName name="maxwpy">#REF!</definedName>
    <definedName name="MaxXAxis">"Edit Box 14"</definedName>
    <definedName name="MaxYAxis">"Edit Box 19"</definedName>
    <definedName name="MethaneUse">#REF!</definedName>
    <definedName name="Mineral_Oil">#REF!</definedName>
    <definedName name="MinXAxis">"Edit Box 13"</definedName>
    <definedName name="MinYAxis">"Edit Box 18"</definedName>
    <definedName name="MITI">[0]!MITI</definedName>
    <definedName name="MODINPUT_H2SO4" hidden="1">{"Detailed",#N/A,FALSE,"GAS-COMB";"Summary",#N/A,FALSE,"GAS-COMB"}</definedName>
    <definedName name="Moisture">#REF!</definedName>
    <definedName name="Month">"SRU"</definedName>
    <definedName name="Month_Has_29?">#REF!</definedName>
    <definedName name="Month_Has_30?">#REF!</definedName>
    <definedName name="Month_Has_31?">#REF!</definedName>
    <definedName name="Month_of_Interest">#REF!</definedName>
    <definedName name="msw" hidden="1">{#N/A,#N/A,FALSE,"Rates";#N/A,#N/A,FALSE,"Summary";#N/A,#N/A,FALSE,"Boilers";#N/A,#N/A,FALSE,"Cyclones";#N/A,#N/A,FALSE,"Saws";#N/A,#N/A,FALSE,"Drops";#N/A,#N/A,FALSE,"Piles";#N/A,#N/A,FALSE,"Roads";#N/A,#N/A,FALSE,"Tanks";#N/A,#N/A,FALSE,"Kilns";#N/A,#N/A,FALSE,"Model"}</definedName>
    <definedName name="Multiplier" localSheetId="5">#REF!</definedName>
    <definedName name="Multiplier" localSheetId="4">#REF!</definedName>
    <definedName name="Multiplier" localSheetId="9">#REF!</definedName>
    <definedName name="Multiplier" localSheetId="6">#REF!</definedName>
    <definedName name="Multiplier">#REF!</definedName>
    <definedName name="Mv">#REF!</definedName>
    <definedName name="mw">#REF!</definedName>
    <definedName name="MW_67">#REF!</definedName>
    <definedName name="MW_data">#REF!</definedName>
    <definedName name="MW_HCN">#REF!</definedName>
    <definedName name="mwC">#REF!</definedName>
    <definedName name="MWCO2">#REF!</definedName>
    <definedName name="MWt">#REF!</definedName>
    <definedName name="N">#REF!</definedName>
    <definedName name="Name">"Aromatics and Dienes"</definedName>
    <definedName name="nametable">#REF!</definedName>
    <definedName name="nametable1">#REF!</definedName>
    <definedName name="NATGASSUM">#REF!</definedName>
    <definedName name="Natural_Gas">#REF!</definedName>
    <definedName name="NetHOC">#REF!</definedName>
    <definedName name="New.Allowables">#REF!</definedName>
    <definedName name="NG_HV">#REF!</definedName>
    <definedName name="ngheatcontent">#REF!</definedName>
    <definedName name="NH3_conc">#REF!</definedName>
    <definedName name="No_6">#REF!</definedName>
    <definedName name="NoData">#REF!</definedName>
    <definedName name="NormalPrintRange">#REF!</definedName>
    <definedName name="nox">#REF!</definedName>
    <definedName name="NOx_Downtime">#REF!</definedName>
    <definedName name="NOx_EPA_K_Factor">#REF!</definedName>
    <definedName name="NOx_Molecular_Weight">#REF!</definedName>
    <definedName name="NOx_ppm_Range_Max">#REF!</definedName>
    <definedName name="NOx_ppm_Range_Min">#REF!</definedName>
    <definedName name="NOx_ppm_Table">#REF!</definedName>
    <definedName name="NOx_ResultTable">#REF!</definedName>
    <definedName name="NOx_Tons">#REF!</definedName>
    <definedName name="noxce">#REF!</definedName>
    <definedName name="NOXEF">#REF!</definedName>
    <definedName name="NOxFactor">#REF!</definedName>
    <definedName name="noxrate">#REF!</definedName>
    <definedName name="NSRUIncin">#REF!</definedName>
    <definedName name="NT">#REF!</definedName>
    <definedName name="num">#REF!</definedName>
    <definedName name="O2_Table">#REF!</definedName>
    <definedName name="Old">#REF!</definedName>
    <definedName name="one">#REF!</definedName>
    <definedName name="One_Hour">#REF!</definedName>
    <definedName name="OneHour_CO">#REF!</definedName>
    <definedName name="OneHour_NOx">#REF!</definedName>
    <definedName name="OneHour_SOx">#REF!</definedName>
    <definedName name="Opacity_Downtime">#REF!</definedName>
    <definedName name="Operating_Days">#REF!</definedName>
    <definedName name="OPNM1">#REF!</definedName>
    <definedName name="OPNM10">#REF!</definedName>
    <definedName name="OPNM11">#REF!</definedName>
    <definedName name="OPNM12">#REF!</definedName>
    <definedName name="OPNM13">#REF!</definedName>
    <definedName name="OPNM14">#REF!</definedName>
    <definedName name="OPNM15">#REF!</definedName>
    <definedName name="OPNM2">#REF!</definedName>
    <definedName name="OPNM3">#REF!</definedName>
    <definedName name="OPNM4">#REF!</definedName>
    <definedName name="OPNM5">#REF!</definedName>
    <definedName name="OPNM6">#REF!</definedName>
    <definedName name="OPNM7">#REF!</definedName>
    <definedName name="OPNM8">#REF!</definedName>
    <definedName name="OPNM9">#REF!</definedName>
    <definedName name="OrderTable" hidden="1">#REF!</definedName>
    <definedName name="Ore">#REF!</definedName>
    <definedName name="OUTPUT">#REF!</definedName>
    <definedName name="p">#REF!</definedName>
    <definedName name="Pa">#REF!</definedName>
    <definedName name="Pbp">#REF!</definedName>
    <definedName name="PBR"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v">#REF!</definedName>
    <definedName name="PD_25_hours">#REF!</definedName>
    <definedName name="Phase">#REF!</definedName>
    <definedName name="Physprops">#REF!</definedName>
    <definedName name="pm">#REF!</definedName>
    <definedName name="PM_CONT_EFF">#REF!</definedName>
    <definedName name="PM_EF">#REF!</definedName>
    <definedName name="PM10_CONT_EFF">#REF!</definedName>
    <definedName name="PM2.5_CONT_EFF">#REF!</definedName>
    <definedName name="pmce">#REF!</definedName>
    <definedName name="PMEF">#REF!</definedName>
    <definedName name="pmrate">#REF!</definedName>
    <definedName name="ppyCO">#REF!</definedName>
    <definedName name="ppyCO2">#REF!</definedName>
    <definedName name="ppyEmit">#REF!</definedName>
    <definedName name="ppyNOx">#REF!</definedName>
    <definedName name="Prange">#REF!</definedName>
    <definedName name="_xlnm.Print_Area" localSheetId="5">'Acids Bases Plating CMP PTE'!$A$1:$L$318</definedName>
    <definedName name="_xlnm.Print_Area" localSheetId="7">'Boilers POU VOC Control PTE'!$A$2:$G$185</definedName>
    <definedName name="_xlnm.Print_Area" localSheetId="8">'Diesel Generators PTE'!$A$1:$A$94</definedName>
    <definedName name="_xlnm.Print_Area" localSheetId="4">'Gas and Liquid Precursor PTE'!$A$1:$M$149</definedName>
    <definedName name="_xlnm.Print_Area" localSheetId="6">'Photoresist and Organics PTE'!$A$1:$M$160</definedName>
    <definedName name="PRINT_AREA_MI">#REF!</definedName>
    <definedName name="_xlnm.Print_Titles">#N/A</definedName>
    <definedName name="PRINTSUMMARY">#REF!</definedName>
    <definedName name="PROD">#REF!</definedName>
    <definedName name="PRODEF">#REF!</definedName>
    <definedName name="ProdForm" hidden="1">#REF!</definedName>
    <definedName name="Product" hidden="1">#REF!</definedName>
    <definedName name="Propane">#REF!</definedName>
    <definedName name="PT_SOURCE">#REF!</definedName>
    <definedName name="PT_SOURCE_Columns">#REF!</definedName>
    <definedName name="PT_SRC">#REF!</definedName>
    <definedName name="Ptitle_Fugi_1">#REF!,#REF!</definedName>
    <definedName name="Ptitle_Fugi_2">#REF!,#REF!</definedName>
    <definedName name="PUMP">#REF!</definedName>
    <definedName name="Pva">#REF!</definedName>
    <definedName name="Pvap">#REF!</definedName>
    <definedName name="Pvn">#REF!</definedName>
    <definedName name="Pvx">#REF!</definedName>
    <definedName name="Q">#REF!</definedName>
    <definedName name="Qg">#REF!</definedName>
    <definedName name="Query1">#REF!</definedName>
    <definedName name="rated">#REF!</definedName>
    <definedName name="Ratio">#REF!</definedName>
    <definedName name="RawActual">#REF!</definedName>
    <definedName name="RawHrs">#REF!</definedName>
    <definedName name="Rawmax">#REF!</definedName>
    <definedName name="RCArea" hidden="1">#REF!</definedName>
    <definedName name="RCO_capture">#REF!</definedName>
    <definedName name="RCO_CO_control">#REF!</definedName>
    <definedName name="RCO_NOx_control">#REF!</definedName>
    <definedName name="RCO_PM_control">#REF!</definedName>
    <definedName name="RCO_SO2_control">#REF!</definedName>
    <definedName name="RCO_VOC_control">#REF!</definedName>
    <definedName name="_xlnm.Recorder">#REF!</definedName>
    <definedName name="References">#REF!</definedName>
    <definedName name="Reg_No">#N/A</definedName>
    <definedName name="repeat">#REF!</definedName>
    <definedName name="ReportingYear">#REF!</definedName>
    <definedName name="RESIDUAL">#REF!</definedName>
    <definedName name="ResultsSummary">#REF!</definedName>
    <definedName name="Rr">#REF!</definedName>
    <definedName name="Run1Input">#REF!</definedName>
    <definedName name="Run2Input">#REF!</definedName>
    <definedName name="Run3Input">#REF!</definedName>
    <definedName name="RunTime_days">#REF!</definedName>
    <definedName name="sand_only">#REF!,#REF!,#REF!,#REF!</definedName>
    <definedName name="SAPBEXrevision" hidden="1">10</definedName>
    <definedName name="SAPBEXsysID" hidden="1">"BWP"</definedName>
    <definedName name="SAPBEXwbID" hidden="1">"6BE1CVLWKVY9BYDN5RVHT5N3P"</definedName>
    <definedName name="SAT_FAC">#REF!</definedName>
    <definedName name="scc">#REF!</definedName>
    <definedName name="Select1">#REF!</definedName>
    <definedName name="silt">#REF!</definedName>
    <definedName name="SixMinuteOpacity">#REF!</definedName>
    <definedName name="slope1">#REF!</definedName>
    <definedName name="slope2">#REF!</definedName>
    <definedName name="slope3">#REF!</definedName>
    <definedName name="slope4">#REF!</definedName>
    <definedName name="slope5">#REF!</definedName>
    <definedName name="so2ce">#REF!</definedName>
    <definedName name="SO2EF">#REF!</definedName>
    <definedName name="so2rate">#REF!</definedName>
    <definedName name="SOx_Downtime">#REF!</definedName>
    <definedName name="SOx_EPA_K_Factor">#REF!</definedName>
    <definedName name="SOx_Molecular_Weight">#REF!</definedName>
    <definedName name="SOx_ppm_Range_Max">#REF!</definedName>
    <definedName name="SOx_ppm_Range_Min">#REF!</definedName>
    <definedName name="SOx_ppm_Table">#REF!</definedName>
    <definedName name="SOx_Prior_Downtime">#REF!</definedName>
    <definedName name="SOx_ResultTable">#REF!</definedName>
    <definedName name="SOx_Tons">#REF!</definedName>
    <definedName name="spec">#REF!</definedName>
    <definedName name="SpecialPrice" hidden="1">#REF!</definedName>
    <definedName name="specm">#REF!</definedName>
    <definedName name="SPLASHC">#REF!</definedName>
    <definedName name="SPLASHD">#REF!</definedName>
    <definedName name="SPLASHD_5">#REF!</definedName>
    <definedName name="Sr">#REF!</definedName>
    <definedName name="SRUIbtu">#REF!</definedName>
    <definedName name="St">#REF!</definedName>
    <definedName name="Stack_CO_Tag">#REF!</definedName>
    <definedName name="Stack_Flow_Tag">#REF!</definedName>
    <definedName name="Stack_NOx_Tag">#REF!</definedName>
    <definedName name="Stack_SOx_Tag">#REF!</definedName>
    <definedName name="StackFlowTable">#REF!</definedName>
    <definedName name="STACKS">#REF!</definedName>
    <definedName name="Start_Date">#REF!</definedName>
    <definedName name="Start10">#REF!</definedName>
    <definedName name="Start101">#REF!</definedName>
    <definedName name="Start102">#REF!</definedName>
    <definedName name="Start108">#REF!</definedName>
    <definedName name="Start11">#REF!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6">#REF!</definedName>
    <definedName name="Start18">#REF!</definedName>
    <definedName name="Start19">#REF!</definedName>
    <definedName name="Start2">#REF!</definedName>
    <definedName name="Start20">#REF!</definedName>
    <definedName name="Start21">#REF!</definedName>
    <definedName name="Start22">#REF!</definedName>
    <definedName name="Start23">#REF!</definedName>
    <definedName name="Start24">#REF!</definedName>
    <definedName name="Start26">#REF!</definedName>
    <definedName name="Start27">#REF!</definedName>
    <definedName name="Start29">#REF!</definedName>
    <definedName name="Start3">#REF!</definedName>
    <definedName name="Start31">#REF!</definedName>
    <definedName name="Start37">#REF!</definedName>
    <definedName name="Start38">#REF!</definedName>
    <definedName name="Start39">#REF!</definedName>
    <definedName name="Start40">#REF!</definedName>
    <definedName name="Start41">#REF!</definedName>
    <definedName name="Start42">#REF!</definedName>
    <definedName name="Start5">#REF!</definedName>
    <definedName name="Start54">#REF!</definedName>
    <definedName name="Start56">#REF!</definedName>
    <definedName name="Start63">#REF!</definedName>
    <definedName name="Start64">#REF!</definedName>
    <definedName name="Start7">#REF!</definedName>
    <definedName name="Start87">#REF!</definedName>
    <definedName name="Start88">#REF!</definedName>
    <definedName name="Start89">#REF!</definedName>
    <definedName name="Start91">#REF!</definedName>
    <definedName name="status">#REF!</definedName>
    <definedName name="Step">#REF!</definedName>
    <definedName name="Step_Name">#REF!</definedName>
    <definedName name="SU">#REF!</definedName>
    <definedName name="SUBC">#REF!</definedName>
    <definedName name="SUBD">#REF!</definedName>
    <definedName name="SUBD_5">#REF!</definedName>
    <definedName name="sulfur">#REF!</definedName>
    <definedName name="SULFUR_CONTENT">#REF!</definedName>
    <definedName name="SUMMARY">#REF!</definedName>
    <definedName name="Suppliers" localSheetId="5">#REF!</definedName>
    <definedName name="Suppliers" localSheetId="4">#REF!</definedName>
    <definedName name="Suppliers" localSheetId="9">#REF!</definedName>
    <definedName name="Suppliers" localSheetId="6">#REF!</definedName>
    <definedName name="Suppliers">#REF!</definedName>
    <definedName name="SVGCp">#REF!</definedName>
    <definedName name="Swvu.Detailed." hidden="1">#REF!</definedName>
    <definedName name="Swvu.Detailed._.and._.Summary." hidden="1">#REF!</definedName>
    <definedName name="Swvu.Summary." hidden="1">#REF!</definedName>
    <definedName name="T">#REF!</definedName>
    <definedName name="T10H2545Max">#REF!</definedName>
    <definedName name="T250_3003">#REF!</definedName>
    <definedName name="T250_3003_O3_Season">#REF!</definedName>
    <definedName name="T260_3013">#REF!</definedName>
    <definedName name="T260_3013_O3_Season">#REF!</definedName>
    <definedName name="T260_3014">#REF!</definedName>
    <definedName name="T260_3014_O3_Season">#REF!</definedName>
    <definedName name="T261_5100_O3_Season">#REF!</definedName>
    <definedName name="T450_3007_VP02">#REF!</definedName>
    <definedName name="T450_3008_VP02">#REF!</definedName>
    <definedName name="T450_3008_VP03_O3_Season">#REF!</definedName>
    <definedName name="T450_3008_VP12_">#REF!</definedName>
    <definedName name="T450_307_VP12">#REF!</definedName>
    <definedName name="T454_3000">#REF!</definedName>
    <definedName name="T4543000_O3_Season">#REF!</definedName>
    <definedName name="Taa">#REF!</definedName>
    <definedName name="TABLE">#REF!</definedName>
    <definedName name="Table_1_a">#REF!</definedName>
    <definedName name="Table1a">#REF!</definedName>
    <definedName name="Table2">#REF!</definedName>
    <definedName name="Tan">#REF!</definedName>
    <definedName name="tank">#REF!</definedName>
    <definedName name="Tank_Emis">#REF!</definedName>
    <definedName name="Tank_Emis_Summary">#REF!</definedName>
    <definedName name="Tank_Emission">#REF!</definedName>
    <definedName name="Tax">#REF!</definedName>
    <definedName name="Tb">#REF!</definedName>
    <definedName name="tbl_ProdInfo" hidden="1">#REF!</definedName>
    <definedName name="TEMP">#REF!</definedName>
    <definedName name="TEMP_67">#REF!</definedName>
    <definedName name="test">#REF!</definedName>
    <definedName name="TEST0">#REF!</definedName>
    <definedName name="test1"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Averages">#REF!</definedName>
    <definedName name="TESTHKEY">#REF!</definedName>
    <definedName name="testing" hidden="1">{"Detailed",#N/A,FALSE,"GAS-COMB";"Summary",#N/A,FALSE,"GAS-COMB"}</definedName>
    <definedName name="TESTKEYS">#REF!</definedName>
    <definedName name="tests2" hidden="1">#REF!</definedName>
    <definedName name="TESTVKEY">#REF!</definedName>
    <definedName name="Tf">#REF!</definedName>
    <definedName name="three">#REF!</definedName>
    <definedName name="ThreeHour_SOx">#REF!</definedName>
    <definedName name="Title">#REF!</definedName>
    <definedName name="TITLE1">#REF!</definedName>
    <definedName name="TITLE2">#REF!</definedName>
    <definedName name="Tla">#REF!</definedName>
    <definedName name="Tln">#REF!</definedName>
    <definedName name="Tlx">#REF!</definedName>
    <definedName name="ton_lb">#REF!</definedName>
    <definedName name="TOT_P_">#REF!</definedName>
    <definedName name="TOT_P_67">#REF!</definedName>
    <definedName name="TOT_P2_">#REF!</definedName>
    <definedName name="Total">#REF!</definedName>
    <definedName name="TotalCO_ppy">#REF!</definedName>
    <definedName name="TotalCO2_ppy">#REF!</definedName>
    <definedName name="tote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Flow">#REF!</definedName>
    <definedName name="TOXICS">#REF!</definedName>
    <definedName name="TP">#REF!</definedName>
    <definedName name="TPH_Range_Max">#REF!</definedName>
    <definedName name="TPH_Range_Min">#REF!</definedName>
    <definedName name="TPH_Table">#REF!</definedName>
    <definedName name="TPYFeed">#REF!</definedName>
    <definedName name="TPYFlow">#REF!</definedName>
    <definedName name="Tr">#REF!</definedName>
    <definedName name="Trange">#REF!</definedName>
    <definedName name="TRV_Acodes">#REF!</definedName>
    <definedName name="Ts">#REF!</definedName>
    <definedName name="Tsteam">#REF!</definedName>
    <definedName name="Tsvg">#REF!</definedName>
    <definedName name="ttttt">[0]!ttttt</definedName>
    <definedName name="Turbine">#REF!</definedName>
    <definedName name="TwentyFourHour_SOx">#REF!</definedName>
    <definedName name="two">#REF!</definedName>
    <definedName name="TwoCLB">#REF!</definedName>
    <definedName name="Type">#REF!</definedName>
    <definedName name="U10H1">#REF!</definedName>
    <definedName name="U10H10">#REF!</definedName>
    <definedName name="U10H11">#REF!</definedName>
    <definedName name="U10H12">#REF!</definedName>
    <definedName name="U10H13">#REF!</definedName>
    <definedName name="U10H14">#REF!</definedName>
    <definedName name="U10H15">#REF!</definedName>
    <definedName name="U10H2">#REF!</definedName>
    <definedName name="U10H3">#REF!</definedName>
    <definedName name="U10H4">#REF!</definedName>
    <definedName name="U10H5">#REF!</definedName>
    <definedName name="U10H6">#REF!</definedName>
    <definedName name="U10H7">#REF!</definedName>
    <definedName name="U10H8">#REF!</definedName>
    <definedName name="U10H9">#REF!</definedName>
    <definedName name="U10IH1">#REF!</definedName>
    <definedName name="U10IH2">#REF!</definedName>
    <definedName name="U10IH3">#REF!</definedName>
    <definedName name="U10IH4">#REF!</definedName>
    <definedName name="U10IH5">#REF!</definedName>
    <definedName name="U11H1">#REF!</definedName>
    <definedName name="U11H10">#REF!</definedName>
    <definedName name="U11H11">#REF!</definedName>
    <definedName name="U11H12">#REF!</definedName>
    <definedName name="U11H13">#REF!</definedName>
    <definedName name="U11H14">#REF!</definedName>
    <definedName name="U11H15">#REF!</definedName>
    <definedName name="U11H2">#REF!</definedName>
    <definedName name="U11H3">#REF!</definedName>
    <definedName name="U11H4">#REF!</definedName>
    <definedName name="U11H5">#REF!</definedName>
    <definedName name="U11H6">#REF!</definedName>
    <definedName name="U11H7">#REF!</definedName>
    <definedName name="U11H8">#REF!</definedName>
    <definedName name="U11H9">#REF!</definedName>
    <definedName name="U11IH1">#REF!</definedName>
    <definedName name="U11IH2">#REF!</definedName>
    <definedName name="U11IH3">#REF!</definedName>
    <definedName name="U11IH4">#REF!</definedName>
    <definedName name="U11IH5">#REF!</definedName>
    <definedName name="U12H1">#REF!</definedName>
    <definedName name="U12H10">#REF!</definedName>
    <definedName name="U12H11">#REF!</definedName>
    <definedName name="U12H12">#REF!</definedName>
    <definedName name="U12H13">#REF!</definedName>
    <definedName name="U12H14">#REF!</definedName>
    <definedName name="U12H15">#REF!</definedName>
    <definedName name="U12H2">#REF!</definedName>
    <definedName name="U12H3">#REF!</definedName>
    <definedName name="U12H4">#REF!</definedName>
    <definedName name="U12H5">#REF!</definedName>
    <definedName name="U12H6">#REF!</definedName>
    <definedName name="U12H7">#REF!</definedName>
    <definedName name="U12H8">#REF!</definedName>
    <definedName name="U12H9">#REF!</definedName>
    <definedName name="U12IH1">#REF!</definedName>
    <definedName name="U12IH2">#REF!</definedName>
    <definedName name="U12IH3">#REF!</definedName>
    <definedName name="U12IH4">#REF!</definedName>
    <definedName name="U12IH5">#REF!</definedName>
    <definedName name="U13H1">#REF!</definedName>
    <definedName name="U13H10">#REF!</definedName>
    <definedName name="U13H11">#REF!</definedName>
    <definedName name="U13H12">#REF!</definedName>
    <definedName name="U13H13">#REF!</definedName>
    <definedName name="U13H14">#REF!</definedName>
    <definedName name="U13H15">#REF!</definedName>
    <definedName name="U13H2">#REF!</definedName>
    <definedName name="U13H3">#REF!</definedName>
    <definedName name="U13H4">#REF!</definedName>
    <definedName name="U13H5">#REF!</definedName>
    <definedName name="U13H6">#REF!</definedName>
    <definedName name="U13H7">#REF!</definedName>
    <definedName name="U13H8">#REF!</definedName>
    <definedName name="U13H9">#REF!</definedName>
    <definedName name="U13IH1">#REF!</definedName>
    <definedName name="U13IH2">#REF!</definedName>
    <definedName name="U13IH3">#REF!</definedName>
    <definedName name="U13IH4">#REF!</definedName>
    <definedName name="U13IH5">#REF!</definedName>
    <definedName name="U14H1">#REF!</definedName>
    <definedName name="U14H10">#REF!</definedName>
    <definedName name="U14H11">#REF!</definedName>
    <definedName name="U14H12">#REF!</definedName>
    <definedName name="U14H13">#REF!</definedName>
    <definedName name="U14H14">#REF!</definedName>
    <definedName name="U14H15">#REF!</definedName>
    <definedName name="U14H2">#REF!</definedName>
    <definedName name="U14H3">#REF!</definedName>
    <definedName name="U14H4">#REF!</definedName>
    <definedName name="U14H5">#REF!</definedName>
    <definedName name="U14H6">#REF!</definedName>
    <definedName name="U14H7">#REF!</definedName>
    <definedName name="U14H8">#REF!</definedName>
    <definedName name="U14H9">#REF!</definedName>
    <definedName name="U14IH1">#REF!</definedName>
    <definedName name="U14IH2">#REF!</definedName>
    <definedName name="U14IH3">#REF!</definedName>
    <definedName name="U14IH4">#REF!</definedName>
    <definedName name="U14IH5">#REF!</definedName>
    <definedName name="U15H1">#REF!</definedName>
    <definedName name="U15H10">#REF!</definedName>
    <definedName name="U15H11">#REF!</definedName>
    <definedName name="U15H12">#REF!</definedName>
    <definedName name="U15H13">#REF!</definedName>
    <definedName name="U15H14">#REF!</definedName>
    <definedName name="U15H15">#REF!</definedName>
    <definedName name="U15H2">#REF!</definedName>
    <definedName name="U15H3">#REF!</definedName>
    <definedName name="U15H4">#REF!</definedName>
    <definedName name="U15H5">#REF!</definedName>
    <definedName name="U15H6">#REF!</definedName>
    <definedName name="U15H7">#REF!</definedName>
    <definedName name="U15H8">#REF!</definedName>
    <definedName name="U15H9">#REF!</definedName>
    <definedName name="U15IH1">#REF!</definedName>
    <definedName name="U15IH2">#REF!</definedName>
    <definedName name="U15IH3">#REF!</definedName>
    <definedName name="U15IH4">#REF!</definedName>
    <definedName name="U15IH5">#REF!</definedName>
    <definedName name="U1H1">#REF!</definedName>
    <definedName name="U1H10">#REF!</definedName>
    <definedName name="U1H11">#REF!</definedName>
    <definedName name="U1H12">#REF!</definedName>
    <definedName name="U1H13">#REF!</definedName>
    <definedName name="U1H14">#REF!</definedName>
    <definedName name="U1H15">#REF!</definedName>
    <definedName name="U1H2">#REF!</definedName>
    <definedName name="U1H3">#REF!</definedName>
    <definedName name="U1H4">#REF!</definedName>
    <definedName name="U1H5">#REF!</definedName>
    <definedName name="U1H6">#REF!</definedName>
    <definedName name="U1H7">#REF!</definedName>
    <definedName name="U1H8">#REF!</definedName>
    <definedName name="U1H9">#REF!</definedName>
    <definedName name="U1IH1">#REF!</definedName>
    <definedName name="U1IH2">#REF!</definedName>
    <definedName name="U1IH3">#REF!</definedName>
    <definedName name="U1IH4">#REF!</definedName>
    <definedName name="U1IH5">#REF!</definedName>
    <definedName name="U2H1">#REF!</definedName>
    <definedName name="U2H10">#REF!</definedName>
    <definedName name="U2H11">#REF!</definedName>
    <definedName name="U2H12">#REF!</definedName>
    <definedName name="U2H13">#REF!</definedName>
    <definedName name="U2H14">#REF!</definedName>
    <definedName name="U2H15">#REF!</definedName>
    <definedName name="U2H2">#REF!</definedName>
    <definedName name="U2H3">#REF!</definedName>
    <definedName name="U2H4">#REF!</definedName>
    <definedName name="U2H5">#REF!</definedName>
    <definedName name="U2H6">#REF!</definedName>
    <definedName name="U2H7">#REF!</definedName>
    <definedName name="U2H8">#REF!</definedName>
    <definedName name="U2H9">#REF!</definedName>
    <definedName name="U2IH1">#REF!</definedName>
    <definedName name="U2IH2">#REF!</definedName>
    <definedName name="U2IH3">#REF!</definedName>
    <definedName name="U2IH4">#REF!</definedName>
    <definedName name="U2IH5">#REF!</definedName>
    <definedName name="U3H1">#REF!</definedName>
    <definedName name="U3H10">#REF!</definedName>
    <definedName name="U3H11">#REF!</definedName>
    <definedName name="U3H12">#REF!</definedName>
    <definedName name="U3H13">#REF!</definedName>
    <definedName name="U3H14">#REF!</definedName>
    <definedName name="U3H15">#REF!</definedName>
    <definedName name="U3H2">#REF!</definedName>
    <definedName name="U3H3">#REF!</definedName>
    <definedName name="U3H4">#REF!</definedName>
    <definedName name="U3H5">#REF!</definedName>
    <definedName name="U3H6">#REF!</definedName>
    <definedName name="U3H7">#REF!</definedName>
    <definedName name="U3H8">#REF!</definedName>
    <definedName name="U3H9">#REF!</definedName>
    <definedName name="U3IH1">#REF!</definedName>
    <definedName name="U3IH2">#REF!</definedName>
    <definedName name="U3IH3">#REF!</definedName>
    <definedName name="U3IH4">#REF!</definedName>
    <definedName name="U3IH5">#REF!</definedName>
    <definedName name="U4H1">#REF!</definedName>
    <definedName name="U4H10">#REF!</definedName>
    <definedName name="U4H11">#REF!</definedName>
    <definedName name="U4H12">#REF!</definedName>
    <definedName name="U4H13">#REF!</definedName>
    <definedName name="U4H14">#REF!</definedName>
    <definedName name="U4H15">#REF!</definedName>
    <definedName name="U4H2">#REF!</definedName>
    <definedName name="U4H3">#REF!</definedName>
    <definedName name="U4H4">#REF!</definedName>
    <definedName name="U4H5">#REF!</definedName>
    <definedName name="U4H6">#REF!</definedName>
    <definedName name="U4H7">#REF!</definedName>
    <definedName name="U4H8">#REF!</definedName>
    <definedName name="U4H9">#REF!</definedName>
    <definedName name="U4IH1">#REF!</definedName>
    <definedName name="U4IH2">#REF!</definedName>
    <definedName name="U4IH3">#REF!</definedName>
    <definedName name="U4IH4">#REF!</definedName>
    <definedName name="U4IH5">#REF!</definedName>
    <definedName name="U5H1">#REF!</definedName>
    <definedName name="U5H10">#REF!</definedName>
    <definedName name="U5H11">#REF!</definedName>
    <definedName name="U5H12">#REF!</definedName>
    <definedName name="U5H13">#REF!</definedName>
    <definedName name="U5H14">#REF!</definedName>
    <definedName name="U5H15">#REF!</definedName>
    <definedName name="U5H2">#REF!</definedName>
    <definedName name="U5H3">#REF!</definedName>
    <definedName name="U5H4">#REF!</definedName>
    <definedName name="U5H5">#REF!</definedName>
    <definedName name="U5H6">#REF!</definedName>
    <definedName name="U5H7">#REF!</definedName>
    <definedName name="U5H8">#REF!</definedName>
    <definedName name="U5H9">#REF!</definedName>
    <definedName name="U5IH1">#REF!</definedName>
    <definedName name="U5IH2">#REF!</definedName>
    <definedName name="U5IH3">#REF!</definedName>
    <definedName name="U5IH4">#REF!</definedName>
    <definedName name="U5IH5">#REF!</definedName>
    <definedName name="U6H1">#REF!</definedName>
    <definedName name="U6H10">#REF!</definedName>
    <definedName name="U6H11">#REF!</definedName>
    <definedName name="U6H12">#REF!</definedName>
    <definedName name="U6H13">#REF!</definedName>
    <definedName name="U6H14">#REF!</definedName>
    <definedName name="U6H15">#REF!</definedName>
    <definedName name="U6H2">#REF!</definedName>
    <definedName name="U6H3">#REF!</definedName>
    <definedName name="U6H4">#REF!</definedName>
    <definedName name="U6H5">#REF!</definedName>
    <definedName name="U6H6">#REF!</definedName>
    <definedName name="U6H7">#REF!</definedName>
    <definedName name="U6H8">#REF!</definedName>
    <definedName name="U6H9">#REF!</definedName>
    <definedName name="U6IH1">#REF!</definedName>
    <definedName name="U6IH2">#REF!</definedName>
    <definedName name="U6IH3">#REF!</definedName>
    <definedName name="U6IH4">#REF!</definedName>
    <definedName name="U6IH5">#REF!</definedName>
    <definedName name="U7H1">#REF!</definedName>
    <definedName name="U7H10">#REF!</definedName>
    <definedName name="U7H11">#REF!</definedName>
    <definedName name="U7H12">#REF!</definedName>
    <definedName name="U7H13">#REF!</definedName>
    <definedName name="U7H14">#REF!</definedName>
    <definedName name="U7H15">#REF!</definedName>
    <definedName name="U7H2">#REF!</definedName>
    <definedName name="U7H3">#REF!</definedName>
    <definedName name="U7H4">#REF!</definedName>
    <definedName name="U7H5">#REF!</definedName>
    <definedName name="U7H6">#REF!</definedName>
    <definedName name="U7H7">#REF!</definedName>
    <definedName name="U7H8">#REF!</definedName>
    <definedName name="U7H9">#REF!</definedName>
    <definedName name="U7IH1">#REF!</definedName>
    <definedName name="U7IH2">#REF!</definedName>
    <definedName name="U7IH3">#REF!</definedName>
    <definedName name="U7IH4">#REF!</definedName>
    <definedName name="U7IH5">#REF!</definedName>
    <definedName name="U8H1">#REF!</definedName>
    <definedName name="U8H10">#REF!</definedName>
    <definedName name="U8H11">#REF!</definedName>
    <definedName name="U8H12">#REF!</definedName>
    <definedName name="U8H13">#REF!</definedName>
    <definedName name="U8H14">#REF!</definedName>
    <definedName name="U8H15">#REF!</definedName>
    <definedName name="U8H2">#REF!</definedName>
    <definedName name="U8H3">#REF!</definedName>
    <definedName name="U8H4">#REF!</definedName>
    <definedName name="U8H5">#REF!</definedName>
    <definedName name="U8H6">#REF!</definedName>
    <definedName name="U8H7">#REF!</definedName>
    <definedName name="U8H8">#REF!</definedName>
    <definedName name="U8H9">#REF!</definedName>
    <definedName name="U8IH1">#REF!</definedName>
    <definedName name="U8IH2">#REF!</definedName>
    <definedName name="U8IH3">#REF!</definedName>
    <definedName name="U8IH4">#REF!</definedName>
    <definedName name="U8IH5">#REF!</definedName>
    <definedName name="U9H1">#REF!</definedName>
    <definedName name="U9H10">#REF!</definedName>
    <definedName name="U9H11">#REF!</definedName>
    <definedName name="U9H12">#REF!</definedName>
    <definedName name="U9H13">#REF!</definedName>
    <definedName name="U9H14">#REF!</definedName>
    <definedName name="U9H15">#REF!</definedName>
    <definedName name="U9H2">#REF!</definedName>
    <definedName name="U9H3">#REF!</definedName>
    <definedName name="U9H4">#REF!</definedName>
    <definedName name="U9H5">#REF!</definedName>
    <definedName name="U9H6">#REF!</definedName>
    <definedName name="U9H7">#REF!</definedName>
    <definedName name="U9H8">#REF!</definedName>
    <definedName name="U9H9">#REF!</definedName>
    <definedName name="U9IH1">#REF!</definedName>
    <definedName name="U9IH2">#REF!</definedName>
    <definedName name="U9IH3">#REF!</definedName>
    <definedName name="U9IH4">#REF!</definedName>
    <definedName name="U9IH5">#REF!</definedName>
    <definedName name="UE1H1">#REF!</definedName>
    <definedName name="UE1H10">#REF!</definedName>
    <definedName name="UE1H11">#REF!</definedName>
    <definedName name="UE1H12">#REF!</definedName>
    <definedName name="UE1H13">#REF!</definedName>
    <definedName name="UE1H14">#REF!</definedName>
    <definedName name="UE1H15">#REF!</definedName>
    <definedName name="UE1H2">#REF!</definedName>
    <definedName name="UE1H3">#REF!</definedName>
    <definedName name="UE1H4">#REF!</definedName>
    <definedName name="UE1H5">#REF!</definedName>
    <definedName name="UE1H6">#REF!</definedName>
    <definedName name="UE1H7">#REF!</definedName>
    <definedName name="UE1H8">#REF!</definedName>
    <definedName name="UE1H9">#REF!</definedName>
    <definedName name="UE1IH1">#REF!</definedName>
    <definedName name="UE1IH2">#REF!</definedName>
    <definedName name="UE1IH3">#REF!</definedName>
    <definedName name="UE1IH4">#REF!</definedName>
    <definedName name="UE1IH5">#REF!</definedName>
    <definedName name="UE2H1">#REF!</definedName>
    <definedName name="UE2H10">#REF!</definedName>
    <definedName name="UE2H11">#REF!</definedName>
    <definedName name="UE2H12">#REF!</definedName>
    <definedName name="UE2H13">#REF!</definedName>
    <definedName name="UE2H14">#REF!</definedName>
    <definedName name="UE2H15">#REF!</definedName>
    <definedName name="UE2H2">#REF!</definedName>
    <definedName name="UE2H3">#REF!</definedName>
    <definedName name="UE2H4">#REF!</definedName>
    <definedName name="UE2H5">#REF!</definedName>
    <definedName name="UE2H6">#REF!</definedName>
    <definedName name="UE2H7">#REF!</definedName>
    <definedName name="UE2H8">#REF!</definedName>
    <definedName name="UE2H9">#REF!</definedName>
    <definedName name="UE2IH1">#REF!</definedName>
    <definedName name="UE2IH2">#REF!</definedName>
    <definedName name="UE2IH3">#REF!</definedName>
    <definedName name="UE2IH4">#REF!</definedName>
    <definedName name="UE2IH5">#REF!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UNIFORMANCES3R15C10" hidden="1">#REF!</definedName>
    <definedName name="UNIFORMANCES3R15C11" hidden="1">#REF!</definedName>
    <definedName name="UNIFORMANCES3R15C12" hidden="1">#REF!</definedName>
    <definedName name="UNIFORMANCES3R15C13" hidden="1">#REF!</definedName>
    <definedName name="UNIFORMANCES3R15C14" hidden="1">#REF!</definedName>
    <definedName name="UNIFORMANCES3R15C15" hidden="1">#REF!</definedName>
    <definedName name="UNIFORMANCES3R15C16" hidden="1">#REF!</definedName>
    <definedName name="UNIFORMANCES3R15C17" hidden="1">#REF!</definedName>
    <definedName name="UNIFORMANCES3R15C18" hidden="1">#REF!</definedName>
    <definedName name="UNIFORMANCES3R15C19" hidden="1">#REF!</definedName>
    <definedName name="UNIFORMANCES3R15C2" hidden="1">#REF!</definedName>
    <definedName name="UNIFORMANCES3R15C20" hidden="1">#REF!</definedName>
    <definedName name="UNIFORMANCES3R15C21" hidden="1">#REF!</definedName>
    <definedName name="UNIFORMANCES3R15C22" hidden="1">#REF!</definedName>
    <definedName name="UNIFORMANCES3R15C23" hidden="1">#REF!</definedName>
    <definedName name="UNIFORMANCES3R15C24" hidden="1">#REF!</definedName>
    <definedName name="UNIFORMANCES3R15C25" hidden="1">#REF!</definedName>
    <definedName name="UNIFORMANCES3R15C26" hidden="1">#REF!</definedName>
    <definedName name="UNIFORMANCES3R15C27" hidden="1">#REF!</definedName>
    <definedName name="UNIFORMANCES3R15C28" hidden="1">#REF!</definedName>
    <definedName name="UNIFORMANCES3R15C29" hidden="1">#REF!</definedName>
    <definedName name="UNIFORMANCES3R15C30" hidden="1">#REF!</definedName>
    <definedName name="UNIFORMANCES3R15C31" hidden="1">#REF!</definedName>
    <definedName name="UNIFORMANCES3R15C32" hidden="1">#REF!</definedName>
    <definedName name="UNIFORMANCES3R15C33" hidden="1">#REF!</definedName>
    <definedName name="UNIFORMANCES3R15C34" hidden="1">#REF!</definedName>
    <definedName name="UNIFORMANCES3R15C35" hidden="1">#REF!</definedName>
    <definedName name="UNIFORMANCES3R15C36" hidden="1">#REF!</definedName>
    <definedName name="UNIFORMANCES3R15C37" hidden="1">#REF!</definedName>
    <definedName name="UNIFORMANCES3R15C38" hidden="1">#REF!</definedName>
    <definedName name="UNIFORMANCES3R15C39" hidden="1">#REF!</definedName>
    <definedName name="UNIFORMANCES3R15C4" hidden="1">#REF!</definedName>
    <definedName name="UNIFORMANCES3R15C40" hidden="1">#REF!</definedName>
    <definedName name="UNIFORMANCES3R15C41" hidden="1">#REF!</definedName>
    <definedName name="UNIFORMANCES3R15C42" hidden="1">#REF!</definedName>
    <definedName name="UNIFORMANCES3R15C43" hidden="1">#REF!</definedName>
    <definedName name="UNIFORMANCES3R15C44" hidden="1">#REF!</definedName>
    <definedName name="UNIFORMANCES3R15C45" hidden="1">#REF!</definedName>
    <definedName name="UNIFORMANCES3R15C46" hidden="1">#REF!</definedName>
    <definedName name="UNIFORMANCES3R15C47" hidden="1">#REF!</definedName>
    <definedName name="UNIFORMANCES3R15C48" hidden="1">#REF!</definedName>
    <definedName name="UNIFORMANCES3R15C49" hidden="1">#REF!</definedName>
    <definedName name="UNIFORMANCES3R15C5" hidden="1">#REF!</definedName>
    <definedName name="UNIFORMANCES3R15C52" hidden="1">#REF!</definedName>
    <definedName name="UNIFORMANCES3R15C53" hidden="1">#REF!</definedName>
    <definedName name="UNIFORMANCES3R15C54" hidden="1">#REF!</definedName>
    <definedName name="UNIFORMANCES3R15C55" hidden="1">#REF!</definedName>
    <definedName name="UNIFORMANCES3R15C56" hidden="1">#REF!</definedName>
    <definedName name="UNIFORMANCES3R15C57" hidden="1">#REF!</definedName>
    <definedName name="UNIFORMANCES3R15C58" hidden="1">#REF!</definedName>
    <definedName name="UNIFORMANCES3R15C59" hidden="1">#REF!</definedName>
    <definedName name="UNIFORMANCES3R15C6" hidden="1">#REF!</definedName>
    <definedName name="UNIFORMANCES3R15C60" hidden="1">#REF!</definedName>
    <definedName name="UNIFORMANCES3R15C61" hidden="1">#REF!</definedName>
    <definedName name="UNIFORMANCES3R15C62" hidden="1">#REF!</definedName>
    <definedName name="UNIFORMANCES3R15C63" hidden="1">#REF!</definedName>
    <definedName name="UNIFORMANCES3R15C64" hidden="1">#REF!</definedName>
    <definedName name="UNIFORMANCES3R15C65" hidden="1">#REF!</definedName>
    <definedName name="UNIFORMANCES3R15C66" hidden="1">#REF!</definedName>
    <definedName name="UNIFORMANCES3R15C67" hidden="1">#REF!</definedName>
    <definedName name="UNIFORMANCES3R15C68" hidden="1">#REF!</definedName>
    <definedName name="UNIFORMANCES3R15C69" hidden="1">#REF!</definedName>
    <definedName name="UNIFORMANCES3R15C7" hidden="1">#REF!</definedName>
    <definedName name="UNIFORMANCES3R15C70" hidden="1">#REF!</definedName>
    <definedName name="UNIFORMANCES3R15C8" hidden="1">#REF!</definedName>
    <definedName name="UNIFORMANCES3R15C9" hidden="1">#REF!</definedName>
    <definedName name="UNIFORMANCES4R5C11" hidden="1">#REF!</definedName>
    <definedName name="UNIFORMANCES4R5C22" hidden="1">#REF!</definedName>
    <definedName name="UNIT_LBHR">"(lb/hr)"</definedName>
    <definedName name="UNIT_LBTON">"(lb/ton)"</definedName>
    <definedName name="Units" localSheetId="5">#REF!</definedName>
    <definedName name="Units" localSheetId="4">#REF!</definedName>
    <definedName name="Units" localSheetId="9">#REF!</definedName>
    <definedName name="Units" localSheetId="6">#REF!</definedName>
    <definedName name="Units">#REF!</definedName>
    <definedName name="UPLEXOP1">#REF!</definedName>
    <definedName name="UPLEXOP2">#REF!</definedName>
    <definedName name="UPLOP1">#REF!</definedName>
    <definedName name="UPLOP10">#REF!</definedName>
    <definedName name="UPLOP11">#REF!</definedName>
    <definedName name="UPLOP12">#REF!</definedName>
    <definedName name="UPLOP13">#REF!</definedName>
    <definedName name="UPLOP14">#REF!</definedName>
    <definedName name="UPLOP15">#REF!</definedName>
    <definedName name="UPLOP2">#REF!</definedName>
    <definedName name="UPLOP3">#REF!</definedName>
    <definedName name="UPLOP4">#REF!</definedName>
    <definedName name="UPLOP5">#REF!</definedName>
    <definedName name="UPLOP6">#REF!</definedName>
    <definedName name="UPLOP7">#REF!</definedName>
    <definedName name="UPLOP8">#REF!</definedName>
    <definedName name="UPLOP9">#REF!</definedName>
    <definedName name="UPSEXOP1">#REF!</definedName>
    <definedName name="UPSEXOP2">#REF!</definedName>
    <definedName name="UPSOP1">#REF!</definedName>
    <definedName name="UPSOP10">#REF!</definedName>
    <definedName name="UPSOP11">#REF!</definedName>
    <definedName name="UPSOP12">#REF!</definedName>
    <definedName name="UPSOP13">#REF!</definedName>
    <definedName name="UPSOP14">#REF!</definedName>
    <definedName name="UPSOP15">#REF!</definedName>
    <definedName name="UPSOP2">#REF!</definedName>
    <definedName name="UPSOP3">#REF!</definedName>
    <definedName name="UPSOP4">#REF!</definedName>
    <definedName name="UPSOP5">#REF!</definedName>
    <definedName name="UPSOP6">#REF!</definedName>
    <definedName name="UPSOP7">#REF!</definedName>
    <definedName name="UPSOP8">#REF!</definedName>
    <definedName name="UPSOP9">#REF!</definedName>
    <definedName name="Uptime">#REF!</definedName>
    <definedName name="UVDEXOP1">#REF!</definedName>
    <definedName name="UVDEXOP2">#REF!</definedName>
    <definedName name="UVLEXOP1">#REF!</definedName>
    <definedName name="UVLEXOP2">#REF!</definedName>
    <definedName name="UVLOP1">#REF!</definedName>
    <definedName name="UVLOP10">#REF!</definedName>
    <definedName name="UVLOP11">#REF!</definedName>
    <definedName name="UVLOP12">#REF!</definedName>
    <definedName name="UVLOP13">#REF!</definedName>
    <definedName name="UVLOP14">#REF!</definedName>
    <definedName name="UVLOP15">#REF!</definedName>
    <definedName name="UVLOP2">#REF!</definedName>
    <definedName name="UVLOP3">#REF!</definedName>
    <definedName name="UVLOP4">#REF!</definedName>
    <definedName name="UVLOP5">#REF!</definedName>
    <definedName name="UVLOP6">#REF!</definedName>
    <definedName name="UVLOP7">#REF!</definedName>
    <definedName name="UVLOP8">#REF!</definedName>
    <definedName name="UVLOP9">#REF!</definedName>
    <definedName name="UVSEXOP1">#REF!</definedName>
    <definedName name="UVSEXOP2">#REF!</definedName>
    <definedName name="UVSOP1">#REF!</definedName>
    <definedName name="UVSOP10">#REF!</definedName>
    <definedName name="UVSOP11">#REF!</definedName>
    <definedName name="UVSOP12">#REF!</definedName>
    <definedName name="UVSOP13">#REF!</definedName>
    <definedName name="UVSOP14">#REF!</definedName>
    <definedName name="UVSOP15">#REF!</definedName>
    <definedName name="UVSOP2">#REF!</definedName>
    <definedName name="UVSOP3">#REF!</definedName>
    <definedName name="UVSOP4">#REF!</definedName>
    <definedName name="UVSOP5">#REF!</definedName>
    <definedName name="UVSOP6">#REF!</definedName>
    <definedName name="UVSOP7">#REF!</definedName>
    <definedName name="UVSOP8">#REF!</definedName>
    <definedName name="UVSOP9">#REF!</definedName>
    <definedName name="V">#REF!</definedName>
    <definedName name="V_MW_">#REF!</definedName>
    <definedName name="V_MW_67">#REF!</definedName>
    <definedName name="V_MW2_">#REF!</definedName>
    <definedName name="valve_ct">#REF!</definedName>
    <definedName name="VAP_P_67">#REF!</definedName>
    <definedName name="VEL">#REF!</definedName>
    <definedName name="version_date" localSheetId="5">#REF!</definedName>
    <definedName name="version_date" localSheetId="4">#REF!</definedName>
    <definedName name="version_date" localSheetId="9">#REF!</definedName>
    <definedName name="version_date" localSheetId="6">#REF!</definedName>
    <definedName name="version_date">#REF!</definedName>
    <definedName name="version_number" localSheetId="5">#REF!</definedName>
    <definedName name="version_number" localSheetId="4">#REF!</definedName>
    <definedName name="version_number" localSheetId="9">#REF!</definedName>
    <definedName name="version_number" localSheetId="6">#REF!</definedName>
    <definedName name="version_number">#REF!</definedName>
    <definedName name="Vlx">#REF!</definedName>
    <definedName name="VOC">#REF!</definedName>
    <definedName name="VOCfuel">#REF!</definedName>
    <definedName name="VOLUMES">#REF!</definedName>
    <definedName name="vom">#REF!</definedName>
    <definedName name="vomce">#REF!</definedName>
    <definedName name="VOMEF">#REF!</definedName>
    <definedName name="vomrate">#REF!</definedName>
    <definedName name="VP_data">#REF!</definedName>
    <definedName name="Vv">#REF!</definedName>
    <definedName name="Vvv">#REF!</definedName>
    <definedName name="WhichKiln">#REF!</definedName>
    <definedName name="Without_PM_NH3_HAP">#REF!,#REF!,#REF!,#REF!</definedName>
    <definedName name="wrn.1995._.TEDI._.Calcs." hidden="1">{#N/A,#N/A,TRUE,"TEDI Calc's (Summary)";#N/A,#N/A,TRUE,"TEDI Calc's (Detailed)"}</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all." hidden="1">{#N/A,#N/A,FALSE,"Results";#N/A,#N/A,FALSE,"Composition";#N/A,#N/A,FALSE,"Speciation"}</definedName>
    <definedName name="wrn.COMPLETEPRINT." hidden="1">{#N/A,#N/A,FALSE,"Rates";#N/A,#N/A,FALSE,"Summary";#N/A,#N/A,FALSE,"Boilers";#N/A,#N/A,FALSE,"Cyclones";#N/A,#N/A,FALSE,"Saws";#N/A,#N/A,FALSE,"Drops";#N/A,#N/A,FALSE,"Piles";#N/A,#N/A,FALSE,"Roads";#N/A,#N/A,FALSE,"Tanks";#N/A,#N/A,FALSE,"Kilns";#N/A,#N/A,FALSE,"Model"}</definedName>
    <definedName name="wrn.Compositions." hidden="1">{"Compositions",#N/A,FALSE,"TTU Summary"}</definedName>
    <definedName name="wrn.Criteria._.Summary." hidden="1">{"CO",#N/A,FALSE,"Criteria Summary";"H2S",#N/A,FALSE,"Criteria Summary";"NOx",#N/A,FALSE,"Criteria Summary";"Other TRS",#N/A,FALSE,"Criteria Summary";"PM10",#N/A,FALSE,"Criteria Summary";"SO2",#N/A,FALSE,"Criteria Summary";"VOC",#N/A,FALSE,"Criteria Summary";#N/A,#N/A,FALSE,"VOC Summary";#N/A,#N/A,FALSE,"Other Toxics"}</definedName>
    <definedName name="wrn.Crosby._.Modeling._.Summary." hidden="1">{#N/A,#N/A,FALSE,"Modeled Emissions";#N/A,#N/A,FALSE,"Modeling Results"}</definedName>
    <definedName name="wrn.Data._.Reduction." hidden="1">{"Inputs",#N/A,FALSE,"Data Reduction";"Outputs",#N/A,FALSE,"Data Reduction";"Cycle Deck Comparison",#N/A,FALSE,"Data Reduction"}</definedName>
    <definedName name="wrn.Detailed._.and._.Summary._.Report." hidden="1">{"Detailed",#N/A,FALSE,"GAS-COMB";"Summary",#N/A,FALSE,"GAS-COMB"}</definedName>
    <definedName name="wrn.Detailed._.Report." hidden="1">{"Detailed",#N/A,FALSE,"GAS-COMB"}</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hidden="1">{"Input Section",#N/A,FALSE,"TTU Summary"}</definedName>
    <definedName name="wrn.Instructions." hidden="1">{"Instructions",#N/A,FALSE,"TTU Summary"}</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utput._.Reports." hidden="1">{"Total TTU Output",#N/A,FALSE,"TTU Summary";"B_68 OPN Output",#N/A,FALSE,"TTU Summary";"B_19 OPN Output",#N/A,FALSE,"TTU Summary"}</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hidden="1">{"F210 detailed output",#N/A,FALSE,"F-210 TTU";"F11 detailed output",#N/A,FALSE,"F-11 TTU"}</definedName>
    <definedName name="wrn.Print._.B68._.Details." hidden="1">{"f-603 detailed output",#N/A,FALSE,"FTB-603 TTU";"f-2 detailed output",#N/A,FALSE,"F-2 TTU"}</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port" hidden="1">{"Page1",#N/A,FALSE,"Flare1"}</definedName>
    <definedName name="wrn.report." hidden="1">{#N/A,#N/A,FALSE,"F1-Currrent";#N/A,#N/A,FALSE,"F2-Current";#N/A,#N/A,FALSE,"F2-Proposed";#N/A,#N/A,FALSE,"F3-Current";#N/A,#N/A,FALSE,"F4-Current";#N/A,#N/A,FALSE,"F4-Proposed";#N/A,#N/A,FALSE,"Controls"}</definedName>
    <definedName name="wrn.report1." hidden="1">{"Page1",#N/A,FALSE,"Flare1"}</definedName>
    <definedName name="wrn.Report2." hidden="1">{"page2",#N/A,FALSE,"Flare1"}</definedName>
    <definedName name="wrn.Reporting._.Responsibilites." hidden="1">{"Reporting Responsibilities",#N/A,FALSE,"TTU Summary"}</definedName>
    <definedName name="wrn.rp1." hidden="1">{"sum1",#N/A,TRUE,"Summary";"boil",#N/A,TRUE,"Boilers";"paints95",#N/A,TRUE,"Paints";"tanks95",#N/A,TRUE,"TANKINBD";"dock1",#N/A,TRUE,"DOCKS";"tcars1",#N/A,TRUE,"TCARS";"trucks1",#N/A,TRUE,"TTRUCKS";"sol1",#N/A,TRUE,"Solvents";"wwt1",#N/A,TRUE,"WWT";"fug",#N/A,TRUE,"Fugitives"}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BMIT." hidden="1">{"MODELING",#N/A,TRUE,"BPIP"}</definedName>
    <definedName name="wrn.Summary." hidden="1">{"CO",#N/A,FALSE,"Summary Sheet";"H2S",#N/A,FALSE,"Summary Sheet";"NOx",#N/A,FALSE,"Summary Sheet";"SO2",#N/A,FALSE,"Summary Sheet";"PM",#N/A,FALSE,"Summary Sheet";"TRS",#N/A,FALSE,"Summary Sheet";"VOCs",#N/A,FALSE,"Summary Sheet"}</definedName>
    <definedName name="wrn.Summary._.Report." hidden="1">{"Summary",#N/A,FALSE,"GAS-COMB"}</definedName>
    <definedName name="wrn.T5COMBO._.Report." hidden="1">{#N/A,#N/A,FALSE,"Reconciled Quantified Sources";#N/A,#N/A,FALSE,"Source Group Splitting";#N/A,#N/A,FALSE,"CO";#N/A,#N/A,FALSE,"H2S";#N/A,#N/A,FALSE,"NOx";#N/A,#N/A,FALSE,"Other TRS";#N/A,#N/A,FALSE,"SO2";#N/A,#N/A,FALSE,"PM";#N/A,#N/A,FALSE,"VOC";#N/A,#N/A,FALSE,"Other Toxics"}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TU._.Detail." hidden="1">{"B68 TTU Detail",#N/A,FALSE,"TTU Summary";"B19 TTU Detail",#N/A,FALSE,"TTU Summary"}</definedName>
    <definedName name="ws3_EU_ID_blank" localSheetId="5">#REF!</definedName>
    <definedName name="ws3_EU_ID_blank" localSheetId="4">#REF!</definedName>
    <definedName name="ws3_EU_ID_blank" localSheetId="9">#REF!</definedName>
    <definedName name="ws3_EU_ID_blank" localSheetId="6">#REF!</definedName>
    <definedName name="ws3_EU_ID_blank">#REF!</definedName>
    <definedName name="ws3_matching_error_msg" localSheetId="5">#REF!</definedName>
    <definedName name="ws3_matching_error_msg" localSheetId="4">#REF!</definedName>
    <definedName name="ws3_matching_error_msg" localSheetId="9">#REF!</definedName>
    <definedName name="ws3_matching_error_msg" localSheetId="6">#REF!</definedName>
    <definedName name="ws3_matching_error_msg">#REF!</definedName>
    <definedName name="wSheet.Name101">#REF!</definedName>
    <definedName name="wSheet.Name102">#REF!</definedName>
    <definedName name="wSheet.Name108">#REF!</definedName>
    <definedName name="wSheet.Name111">#REF!</definedName>
    <definedName name="wSheet.Name112">#REF!</definedName>
    <definedName name="wSheet.Name113">#REF!</definedName>
    <definedName name="wSheet.Name114">#REF!</definedName>
    <definedName name="wSheet.Name115">#REF!</definedName>
    <definedName name="wSheet.Name116">#REF!</definedName>
    <definedName name="wSheet.Name117">#REF!</definedName>
    <definedName name="wSheet.Name118">#REF!</definedName>
    <definedName name="wSheet.Name25">#REF!</definedName>
    <definedName name="wSheet.Name26">#REF!</definedName>
    <definedName name="wSheet.Name27">#REF!</definedName>
    <definedName name="wSheet.Name28">#REF!</definedName>
    <definedName name="wSheet.Name29">#REF!</definedName>
    <definedName name="wSheet.Name30">#REF!</definedName>
    <definedName name="wSheet.Name32">#REF!</definedName>
    <definedName name="wSheet.Name33">#REF!</definedName>
    <definedName name="wSheet.Name34">#REF!</definedName>
    <definedName name="wSheet.Name35">#REF!</definedName>
    <definedName name="wSheet.Name39">#REF!</definedName>
    <definedName name="wSheet.Name4">#REF!</definedName>
    <definedName name="wSheet.Name42">#REF!</definedName>
    <definedName name="wSheet.Name48">#REF!</definedName>
    <definedName name="wSheet.Name49">#REF!</definedName>
    <definedName name="wSheet.Name50">#REF!</definedName>
    <definedName name="wSheet.Name51">#REF!</definedName>
    <definedName name="wSheet.Name52">#REF!</definedName>
    <definedName name="wSheet.Name53">#REF!</definedName>
    <definedName name="wSheet.Name54">#REF!</definedName>
    <definedName name="wSheet.Name55">#REF!</definedName>
    <definedName name="wSheet.Name56">#REF!</definedName>
    <definedName name="wSheet.Name57">#REF!</definedName>
    <definedName name="wSheet.Name58">#REF!</definedName>
    <definedName name="wSheet.Name59">#REF!</definedName>
    <definedName name="wSheet.Name6">#REF!</definedName>
    <definedName name="wSheet.Name60">#REF!</definedName>
    <definedName name="wSheet.Name61">#REF!</definedName>
    <definedName name="wSheet.Name64">#REF!</definedName>
    <definedName name="wSheet.Name68">#REF!</definedName>
    <definedName name="wSheet.Name7">#REF!</definedName>
    <definedName name="wSheet.Name77">#REF!</definedName>
    <definedName name="wSheet.Name87">#REF!</definedName>
    <definedName name="wSheet.Name88">#REF!</definedName>
    <definedName name="wSheet.Name89">#REF!</definedName>
    <definedName name="wSheet.Name91">#REF!</definedName>
    <definedName name="Wv">#REF!</definedName>
    <definedName name="wvu.Detailed."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_.and._.Summary."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Summary."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WTP">#REF!</definedName>
    <definedName name="XAxisTitle">"Edit Box 32"</definedName>
    <definedName name="xxx" hidden="1">{#N/A,#N/A,FALSE,"Annual Summary";#N/A,#N/A,FALSE,"Hourly Summary";#N/A,#N/A,FALSE,"Flare Combustion";#N/A,#N/A,FALSE,"Shipping";#N/A,#N/A,FALSE,"Process Turnaround";#N/A,#N/A,FALSE,"Lab Samples";#N/A,#N/A,FALSE,"Product Cycles 5-4";#N/A,#N/A,FALSE,"5-4.1";#N/A,#N/A,FALSE,"5-4.2";#N/A,#N/A,FALSE,"Physical Prop Data"}</definedName>
    <definedName name="xxxx">#REF!</definedName>
    <definedName name="xxxxxx" hidden="1">{"Detailed",#N/A,FALSE,"GAS-COMB";"Summary",#N/A,FALSE,"GAS-COMB"}</definedName>
    <definedName name="YAxisTitle">"Edit Box 33"</definedName>
    <definedName name="yr_hr">#REF!</definedName>
    <definedName name="z" hidden="1">{#N/A,#N/A,FALSE,"Annual Summary";#N/A,#N/A,FALSE,"Hourly Summary";#N/A,#N/A,FALSE,"Flare Combustion";#N/A,#N/A,FALSE,"Shipping";#N/A,#N/A,FALSE,"Process Turnaround";#N/A,#N/A,FALSE,"Lab Samples";#N/A,#N/A,FALSE,"Product Cycles 5-4";#N/A,#N/A,FALSE,"5-4.1";#N/A,#N/A,FALSE,"5-4.2";#N/A,#N/A,FALSE,"Physical Prop Data"}</definedName>
    <definedName name="Zero">#REF!</definedName>
    <definedName name="zzzzz">[0]!zzzzz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26" l="1"/>
  <c r="I115" i="26"/>
  <c r="I116" i="26"/>
  <c r="I92" i="26"/>
  <c r="I93" i="26"/>
  <c r="I94" i="26"/>
  <c r="I95" i="26"/>
  <c r="I96" i="26"/>
  <c r="I97" i="26"/>
  <c r="I98" i="26"/>
  <c r="I99" i="26"/>
  <c r="I100" i="26"/>
  <c r="I101" i="26"/>
  <c r="I102" i="26"/>
  <c r="I103" i="26"/>
  <c r="I104" i="26"/>
  <c r="I105" i="26"/>
  <c r="I106" i="26"/>
  <c r="I107" i="26"/>
  <c r="I108" i="26"/>
  <c r="I109" i="26"/>
  <c r="I110" i="26"/>
  <c r="I111" i="26"/>
  <c r="I112" i="26"/>
  <c r="I113"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46" i="26"/>
  <c r="I47" i="26"/>
  <c r="I48" i="26"/>
  <c r="I33" i="26"/>
  <c r="I34" i="26"/>
  <c r="I35" i="26"/>
  <c r="I36" i="26"/>
  <c r="I37" i="26"/>
  <c r="I38" i="26"/>
  <c r="I39" i="26"/>
  <c r="I40" i="26"/>
  <c r="I41" i="26"/>
  <c r="I42" i="26"/>
  <c r="I43" i="26"/>
  <c r="I44" i="26"/>
  <c r="I45" i="26"/>
  <c r="I32" i="26"/>
  <c r="J7" i="26"/>
  <c r="J12" i="26"/>
  <c r="J11" i="26"/>
  <c r="J10" i="26"/>
  <c r="J9" i="26"/>
  <c r="J8" i="26"/>
  <c r="G113" i="35" l="1"/>
  <c r="G49" i="35"/>
  <c r="G84" i="35"/>
  <c r="G52" i="35"/>
  <c r="G51" i="35"/>
  <c r="G35" i="35"/>
  <c r="G34" i="35"/>
  <c r="AM309" i="36" l="1"/>
  <c r="AL309" i="36"/>
  <c r="AK309" i="36"/>
  <c r="AJ309" i="36"/>
  <c r="AI309" i="36"/>
  <c r="AH309" i="36"/>
  <c r="AG309" i="36"/>
  <c r="AF309" i="36"/>
  <c r="AE309" i="36"/>
  <c r="AD309" i="36"/>
  <c r="AC309" i="36"/>
  <c r="AB309" i="36"/>
  <c r="AM305" i="36"/>
  <c r="AL305" i="36"/>
  <c r="AK305" i="36"/>
  <c r="AJ305" i="36"/>
  <c r="AI305" i="36"/>
  <c r="AH305" i="36"/>
  <c r="AG305" i="36"/>
  <c r="AF305" i="36"/>
  <c r="AD305" i="36"/>
  <c r="AC305" i="36"/>
  <c r="AB305" i="36"/>
  <c r="AM304" i="36"/>
  <c r="AL304" i="36"/>
  <c r="AK304" i="36"/>
  <c r="AJ304" i="36"/>
  <c r="AI304" i="36"/>
  <c r="AH304" i="36"/>
  <c r="AG304" i="36"/>
  <c r="AF304" i="36"/>
  <c r="AE304" i="36"/>
  <c r="AD304" i="36"/>
  <c r="AC304" i="36"/>
  <c r="AB304" i="36"/>
  <c r="AM303" i="36"/>
  <c r="AL303" i="36"/>
  <c r="AK303" i="36"/>
  <c r="AJ303" i="36"/>
  <c r="AI303" i="36"/>
  <c r="AH303" i="36"/>
  <c r="AG303" i="36"/>
  <c r="AF303" i="36"/>
  <c r="AE303" i="36"/>
  <c r="AD303" i="36"/>
  <c r="AC303" i="36"/>
  <c r="AM296" i="36"/>
  <c r="AL296" i="36"/>
  <c r="AK296" i="36"/>
  <c r="AJ296" i="36"/>
  <c r="AI296" i="36"/>
  <c r="AH296" i="36"/>
  <c r="AG296" i="36"/>
  <c r="AF296" i="36"/>
  <c r="AE296" i="36"/>
  <c r="AD296" i="36"/>
  <c r="AC296" i="36"/>
  <c r="AB296" i="36"/>
  <c r="AM295" i="36"/>
  <c r="AL295" i="36"/>
  <c r="AK295" i="36"/>
  <c r="AJ295" i="36"/>
  <c r="AI295" i="36"/>
  <c r="AH295" i="36"/>
  <c r="AG295" i="36"/>
  <c r="AF295" i="36"/>
  <c r="AE295" i="36"/>
  <c r="AD295" i="36"/>
  <c r="AC295" i="36"/>
  <c r="AB295" i="36"/>
  <c r="AM294" i="36"/>
  <c r="AL294" i="36"/>
  <c r="AK294" i="36"/>
  <c r="AJ294" i="36"/>
  <c r="AI294" i="36"/>
  <c r="AH294" i="36"/>
  <c r="AG294" i="36"/>
  <c r="AF294" i="36"/>
  <c r="AE294" i="36"/>
  <c r="AD294" i="36"/>
  <c r="AC294" i="36"/>
  <c r="AB294" i="36"/>
  <c r="AM293" i="36"/>
  <c r="AL293" i="36"/>
  <c r="AK293" i="36"/>
  <c r="AJ293" i="36"/>
  <c r="AI293" i="36"/>
  <c r="AH293" i="36"/>
  <c r="AG293" i="36"/>
  <c r="AF293" i="36"/>
  <c r="AE293" i="36"/>
  <c r="AD293" i="36"/>
  <c r="AC293" i="36"/>
  <c r="AB293" i="36"/>
  <c r="AM292" i="36"/>
  <c r="AL292" i="36"/>
  <c r="AK292" i="36"/>
  <c r="AJ292" i="36"/>
  <c r="AI292" i="36"/>
  <c r="AH292" i="36"/>
  <c r="AG292" i="36"/>
  <c r="AF292" i="36"/>
  <c r="AE292" i="36"/>
  <c r="AD292" i="36"/>
  <c r="AC292" i="36"/>
  <c r="AB292" i="36"/>
  <c r="AM291" i="36"/>
  <c r="AL291" i="36"/>
  <c r="AK291" i="36"/>
  <c r="AJ291" i="36"/>
  <c r="AI291" i="36"/>
  <c r="AH291" i="36"/>
  <c r="AG291" i="36"/>
  <c r="AF291" i="36"/>
  <c r="AE291" i="36"/>
  <c r="AD291" i="36"/>
  <c r="AC291" i="36"/>
  <c r="AB291" i="36"/>
  <c r="AM290" i="36"/>
  <c r="AK290" i="36"/>
  <c r="AJ290" i="36"/>
  <c r="AI290" i="36"/>
  <c r="AH290" i="36"/>
  <c r="AG290" i="36"/>
  <c r="AF290" i="36"/>
  <c r="AE290" i="36"/>
  <c r="AD290" i="36"/>
  <c r="AC290" i="36"/>
  <c r="AB290" i="36"/>
  <c r="AM289" i="36"/>
  <c r="AL289" i="36"/>
  <c r="AK289" i="36"/>
  <c r="AJ289" i="36"/>
  <c r="AI289" i="36"/>
  <c r="AH289" i="36"/>
  <c r="AG289" i="36"/>
  <c r="AF289" i="36"/>
  <c r="AE289" i="36"/>
  <c r="AD289" i="36"/>
  <c r="AC289" i="36"/>
  <c r="AB289" i="36"/>
  <c r="AM288" i="36"/>
  <c r="AL288" i="36"/>
  <c r="AK288" i="36"/>
  <c r="AJ288" i="36"/>
  <c r="AI288" i="36"/>
  <c r="AH288" i="36"/>
  <c r="AG288" i="36"/>
  <c r="AF288" i="36"/>
  <c r="AE288" i="36"/>
  <c r="AD288" i="36"/>
  <c r="AC288" i="36"/>
  <c r="AB288" i="36"/>
  <c r="AM287" i="36"/>
  <c r="AL287" i="36"/>
  <c r="AK287" i="36"/>
  <c r="AJ287" i="36"/>
  <c r="AI287" i="36"/>
  <c r="AH287" i="36"/>
  <c r="AG287" i="36"/>
  <c r="AF287" i="36"/>
  <c r="AE287" i="36"/>
  <c r="AD287" i="36"/>
  <c r="AC287" i="36"/>
  <c r="AB287" i="36"/>
  <c r="AM286" i="36"/>
  <c r="AL286" i="36"/>
  <c r="AK286" i="36"/>
  <c r="AJ286" i="36"/>
  <c r="AH286" i="36"/>
  <c r="AG286" i="36"/>
  <c r="AF286" i="36"/>
  <c r="AE286" i="36"/>
  <c r="AD286" i="36"/>
  <c r="AC286" i="36"/>
  <c r="AB286" i="36"/>
  <c r="AM285" i="36"/>
  <c r="AL285" i="36"/>
  <c r="AK285" i="36"/>
  <c r="AJ285" i="36"/>
  <c r="AI285" i="36"/>
  <c r="AH285" i="36"/>
  <c r="AG285" i="36"/>
  <c r="AF285" i="36"/>
  <c r="AE285" i="36"/>
  <c r="AD285" i="36"/>
  <c r="AC285" i="36"/>
  <c r="AB285" i="36"/>
  <c r="AM284" i="36"/>
  <c r="AL284" i="36"/>
  <c r="AK284" i="36"/>
  <c r="AJ284" i="36"/>
  <c r="AI284" i="36"/>
  <c r="AH284" i="36"/>
  <c r="AG284" i="36"/>
  <c r="AF284" i="36"/>
  <c r="AE284" i="36"/>
  <c r="AD284" i="36"/>
  <c r="AC284" i="36"/>
  <c r="AB284" i="36"/>
  <c r="AM283" i="36"/>
  <c r="AL283" i="36"/>
  <c r="AK283" i="36"/>
  <c r="AJ283" i="36"/>
  <c r="AI283" i="36"/>
  <c r="AG283" i="36"/>
  <c r="AF283" i="36"/>
  <c r="AE283" i="36"/>
  <c r="AD283" i="36"/>
  <c r="AC283" i="36"/>
  <c r="AB283" i="36"/>
  <c r="AM282" i="36"/>
  <c r="AL282" i="36"/>
  <c r="AK282" i="36"/>
  <c r="AJ282" i="36"/>
  <c r="AI282" i="36"/>
  <c r="AH282" i="36"/>
  <c r="AG282" i="36"/>
  <c r="AF282" i="36"/>
  <c r="AE282" i="36"/>
  <c r="AD282" i="36"/>
  <c r="AC282" i="36"/>
  <c r="AB282" i="36"/>
  <c r="AM281" i="36"/>
  <c r="AL281" i="36"/>
  <c r="AK281" i="36"/>
  <c r="AJ281" i="36"/>
  <c r="AI281" i="36"/>
  <c r="AH281" i="36"/>
  <c r="AF281" i="36"/>
  <c r="AE281" i="36"/>
  <c r="AD281" i="36"/>
  <c r="AC281" i="36"/>
  <c r="AB281" i="36"/>
  <c r="AM280" i="36"/>
  <c r="AL280" i="36"/>
  <c r="AK280" i="36"/>
  <c r="AJ280" i="36"/>
  <c r="AI280" i="36"/>
  <c r="AH280" i="36"/>
  <c r="AG280" i="36"/>
  <c r="AF280" i="36"/>
  <c r="AE280" i="36"/>
  <c r="AD280" i="36"/>
  <c r="AC280" i="36"/>
  <c r="AB280" i="36"/>
  <c r="AM279" i="36"/>
  <c r="AL279" i="36"/>
  <c r="AK279" i="36"/>
  <c r="AJ279" i="36"/>
  <c r="AI279" i="36"/>
  <c r="AH279" i="36"/>
  <c r="AG279" i="36"/>
  <c r="AF279" i="36"/>
  <c r="AE279" i="36"/>
  <c r="AD279" i="36"/>
  <c r="AC279" i="36"/>
  <c r="AB279" i="36"/>
  <c r="AM278" i="36"/>
  <c r="AL278" i="36"/>
  <c r="AK278" i="36"/>
  <c r="AJ278" i="36"/>
  <c r="AI278" i="36"/>
  <c r="AH278" i="36"/>
  <c r="AG278" i="36"/>
  <c r="AE278" i="36"/>
  <c r="AD278" i="36"/>
  <c r="AC278" i="36"/>
  <c r="AB278" i="36"/>
  <c r="AM277" i="36"/>
  <c r="AL277" i="36"/>
  <c r="AK277" i="36"/>
  <c r="AJ277" i="36"/>
  <c r="AI277" i="36"/>
  <c r="AH277" i="36"/>
  <c r="AG277" i="36"/>
  <c r="AF277" i="36"/>
  <c r="AE277" i="36"/>
  <c r="AD277" i="36"/>
  <c r="AC277" i="36"/>
  <c r="AB277" i="36"/>
  <c r="AM276" i="36"/>
  <c r="AL276" i="36"/>
  <c r="AK276" i="36"/>
  <c r="AJ276" i="36"/>
  <c r="AI276" i="36"/>
  <c r="AH276" i="36"/>
  <c r="AG276" i="36"/>
  <c r="AF276" i="36"/>
  <c r="AE276" i="36"/>
  <c r="AD276" i="36"/>
  <c r="AC276" i="36"/>
  <c r="AB276" i="36"/>
  <c r="AM275" i="36"/>
  <c r="AL275" i="36"/>
  <c r="AK275" i="36"/>
  <c r="AJ275" i="36"/>
  <c r="AI275" i="36"/>
  <c r="AH275" i="36"/>
  <c r="AG275" i="36"/>
  <c r="AF275" i="36"/>
  <c r="AE275" i="36"/>
  <c r="AD275" i="36"/>
  <c r="AC275" i="36"/>
  <c r="AB275" i="36"/>
  <c r="AM274" i="36"/>
  <c r="AL274" i="36"/>
  <c r="AK274" i="36"/>
  <c r="AJ274" i="36"/>
  <c r="AI274" i="36"/>
  <c r="AH274" i="36"/>
  <c r="AG274" i="36"/>
  <c r="AF274" i="36"/>
  <c r="AE274" i="36"/>
  <c r="AD274" i="36"/>
  <c r="AC274" i="36"/>
  <c r="AB274" i="36"/>
  <c r="AM273" i="36"/>
  <c r="AL273" i="36"/>
  <c r="AK273" i="36"/>
  <c r="AJ273" i="36"/>
  <c r="AI273" i="36"/>
  <c r="AH273" i="36"/>
  <c r="AG273" i="36"/>
  <c r="AF273" i="36"/>
  <c r="AD273" i="36"/>
  <c r="AC273" i="36"/>
  <c r="AB273" i="36"/>
  <c r="AM272" i="36"/>
  <c r="AL272" i="36"/>
  <c r="AK272" i="36"/>
  <c r="AJ272" i="36"/>
  <c r="AI272" i="36"/>
  <c r="AH272" i="36"/>
  <c r="AG272" i="36"/>
  <c r="AF272" i="36"/>
  <c r="AE272" i="36"/>
  <c r="AD272" i="36"/>
  <c r="AC272" i="36"/>
  <c r="AB272" i="36"/>
  <c r="AL271" i="36"/>
  <c r="AK271" i="36"/>
  <c r="AJ271" i="36"/>
  <c r="AI271" i="36"/>
  <c r="AH271" i="36"/>
  <c r="AG271" i="36"/>
  <c r="AF271" i="36"/>
  <c r="AE271" i="36"/>
  <c r="AD271" i="36"/>
  <c r="AC271" i="36"/>
  <c r="AB271" i="36"/>
  <c r="AM270" i="36"/>
  <c r="AL270" i="36"/>
  <c r="AK270" i="36"/>
  <c r="AJ270" i="36"/>
  <c r="AI270" i="36"/>
  <c r="AH270" i="36"/>
  <c r="AG270" i="36"/>
  <c r="AF270" i="36"/>
  <c r="AE270" i="36"/>
  <c r="AC270" i="36"/>
  <c r="AB270" i="36"/>
  <c r="AM269" i="36"/>
  <c r="AL269" i="36"/>
  <c r="AK269" i="36"/>
  <c r="AJ269" i="36"/>
  <c r="AI269" i="36"/>
  <c r="AH269" i="36"/>
  <c r="AG269" i="36"/>
  <c r="AF269" i="36"/>
  <c r="AE269" i="36"/>
  <c r="AD269" i="36"/>
  <c r="AB269" i="36"/>
  <c r="AM268" i="36"/>
  <c r="AL268" i="36"/>
  <c r="AK268" i="36"/>
  <c r="AJ268" i="36"/>
  <c r="AI268" i="36"/>
  <c r="AH268" i="36"/>
  <c r="AG268" i="36"/>
  <c r="AF268" i="36"/>
  <c r="AE268" i="36"/>
  <c r="AD268" i="36"/>
  <c r="AC268" i="36"/>
  <c r="AB268" i="36"/>
  <c r="AM267" i="36"/>
  <c r="AL267" i="36"/>
  <c r="AK267" i="36"/>
  <c r="AJ267" i="36"/>
  <c r="AI267" i="36"/>
  <c r="AH267" i="36"/>
  <c r="AG267" i="36"/>
  <c r="AF267" i="36"/>
  <c r="AE267" i="36"/>
  <c r="AD267" i="36"/>
  <c r="AC267" i="36"/>
  <c r="AB267" i="36"/>
  <c r="AM266" i="36"/>
  <c r="AL266" i="36"/>
  <c r="AK266" i="36"/>
  <c r="AJ266" i="36"/>
  <c r="AI266" i="36"/>
  <c r="AH266" i="36"/>
  <c r="AG266" i="36"/>
  <c r="AF266" i="36"/>
  <c r="AE266" i="36"/>
  <c r="AD266" i="36"/>
  <c r="AC266" i="36"/>
  <c r="AB266" i="36"/>
  <c r="AM265" i="36"/>
  <c r="AL265" i="36"/>
  <c r="AK265" i="36"/>
  <c r="AJ265" i="36"/>
  <c r="AI265" i="36"/>
  <c r="AH265" i="36"/>
  <c r="AG265" i="36"/>
  <c r="AF265" i="36"/>
  <c r="AE265" i="36"/>
  <c r="AD265" i="36"/>
  <c r="AC265" i="36"/>
  <c r="AB265" i="36"/>
  <c r="AM264" i="36"/>
  <c r="AL264" i="36"/>
  <c r="AK264" i="36"/>
  <c r="AJ264" i="36"/>
  <c r="AI264" i="36"/>
  <c r="AH264" i="36"/>
  <c r="AG264" i="36"/>
  <c r="AF264" i="36"/>
  <c r="AE264" i="36"/>
  <c r="AD264" i="36"/>
  <c r="AC264" i="36"/>
  <c r="AM263" i="36"/>
  <c r="AL263" i="36"/>
  <c r="AK263" i="36"/>
  <c r="AJ263" i="36"/>
  <c r="AI263" i="36"/>
  <c r="AH263" i="36"/>
  <c r="AG263" i="36"/>
  <c r="AF263" i="36"/>
  <c r="AE263" i="36"/>
  <c r="AD263" i="36"/>
  <c r="AC263" i="36"/>
  <c r="AB263" i="36"/>
  <c r="AM262" i="36"/>
  <c r="AL262" i="36"/>
  <c r="AK262" i="36"/>
  <c r="AJ262" i="36"/>
  <c r="AI262" i="36"/>
  <c r="AH262" i="36"/>
  <c r="AG262" i="36"/>
  <c r="AF262" i="36"/>
  <c r="AE262" i="36"/>
  <c r="AD262" i="36"/>
  <c r="AC262" i="36"/>
  <c r="AB262" i="36"/>
  <c r="AM261" i="36"/>
  <c r="AL261" i="36"/>
  <c r="AK261" i="36"/>
  <c r="AJ261" i="36"/>
  <c r="AI261" i="36"/>
  <c r="AH261" i="36"/>
  <c r="AG261" i="36"/>
  <c r="AF261" i="36"/>
  <c r="AE261" i="36"/>
  <c r="AD261" i="36"/>
  <c r="AC261" i="36"/>
  <c r="AB261" i="36"/>
  <c r="AM260" i="36"/>
  <c r="AL260" i="36"/>
  <c r="AK260" i="36"/>
  <c r="AJ260" i="36"/>
  <c r="AI260" i="36"/>
  <c r="AH260" i="36"/>
  <c r="AG260" i="36"/>
  <c r="AF260" i="36"/>
  <c r="AE260" i="36"/>
  <c r="AD260" i="36"/>
  <c r="AC260" i="36"/>
  <c r="AB260" i="36"/>
  <c r="AM259" i="36"/>
  <c r="AL259" i="36"/>
  <c r="AK259" i="36"/>
  <c r="AJ259" i="36"/>
  <c r="AI259" i="36"/>
  <c r="AH259" i="36"/>
  <c r="AG259" i="36"/>
  <c r="AF259" i="36"/>
  <c r="AE259" i="36"/>
  <c r="AD259" i="36"/>
  <c r="AC259" i="36"/>
  <c r="AB259" i="36"/>
  <c r="AM258" i="36"/>
  <c r="AL258" i="36"/>
  <c r="AK258" i="36"/>
  <c r="AJ258" i="36"/>
  <c r="AI258" i="36"/>
  <c r="AH258" i="36"/>
  <c r="AG258" i="36"/>
  <c r="AF258" i="36"/>
  <c r="AE258" i="36"/>
  <c r="AD258" i="36"/>
  <c r="AC258" i="36"/>
  <c r="AB258" i="36"/>
  <c r="AM257" i="36"/>
  <c r="AL257" i="36"/>
  <c r="AK257" i="36"/>
  <c r="AJ257" i="36"/>
  <c r="AI257" i="36"/>
  <c r="AH257" i="36"/>
  <c r="AG257" i="36"/>
  <c r="AF257" i="36"/>
  <c r="AE257" i="36"/>
  <c r="AD257" i="36"/>
  <c r="AC257" i="36"/>
  <c r="AB257" i="36"/>
  <c r="AM256" i="36"/>
  <c r="AL256" i="36"/>
  <c r="AK256" i="36"/>
  <c r="AJ256" i="36"/>
  <c r="AI256" i="36"/>
  <c r="AH256" i="36"/>
  <c r="AG256" i="36"/>
  <c r="AF256" i="36"/>
  <c r="AE256" i="36"/>
  <c r="AD256" i="36"/>
  <c r="AC256" i="36"/>
  <c r="AB256" i="36"/>
  <c r="AM255" i="36"/>
  <c r="AL255" i="36"/>
  <c r="AK255" i="36"/>
  <c r="AJ255" i="36"/>
  <c r="AI255" i="36"/>
  <c r="AH255" i="36"/>
  <c r="AG255" i="36"/>
  <c r="AF255" i="36"/>
  <c r="AE255" i="36"/>
  <c r="AD255" i="36"/>
  <c r="AC255" i="36"/>
  <c r="AB255" i="36"/>
  <c r="AM254" i="36"/>
  <c r="AL254" i="36"/>
  <c r="AK254" i="36"/>
  <c r="AJ254" i="36"/>
  <c r="AI254" i="36"/>
  <c r="AH254" i="36"/>
  <c r="AG254" i="36"/>
  <c r="AF254" i="36"/>
  <c r="AE254" i="36"/>
  <c r="AD254" i="36"/>
  <c r="AC254" i="36"/>
  <c r="AB254" i="36"/>
  <c r="AM253" i="36"/>
  <c r="AL253" i="36"/>
  <c r="AK253" i="36"/>
  <c r="AJ253" i="36"/>
  <c r="AI253" i="36"/>
  <c r="AH253" i="36"/>
  <c r="AG253" i="36"/>
  <c r="AF253" i="36"/>
  <c r="AE253" i="36"/>
  <c r="AD253" i="36"/>
  <c r="AC253" i="36"/>
  <c r="AB253" i="36"/>
  <c r="AM252" i="36"/>
  <c r="AL252" i="36"/>
  <c r="AK252" i="36"/>
  <c r="AJ252" i="36"/>
  <c r="AI252" i="36"/>
  <c r="AH252" i="36"/>
  <c r="AG252" i="36"/>
  <c r="AF252" i="36"/>
  <c r="AE252" i="36"/>
  <c r="AD252" i="36"/>
  <c r="AC252" i="36"/>
  <c r="AB252" i="36"/>
  <c r="AM251" i="36"/>
  <c r="AL251" i="36"/>
  <c r="AK251" i="36"/>
  <c r="AJ251" i="36"/>
  <c r="AI251" i="36"/>
  <c r="AH251" i="36"/>
  <c r="AG251" i="36"/>
  <c r="AF251" i="36"/>
  <c r="AE251" i="36"/>
  <c r="AD251" i="36"/>
  <c r="AC251" i="36"/>
  <c r="AB251" i="36"/>
  <c r="AM250" i="36"/>
  <c r="AL250" i="36"/>
  <c r="AK250" i="36"/>
  <c r="AJ250" i="36"/>
  <c r="AI250" i="36"/>
  <c r="AH250" i="36"/>
  <c r="AG250" i="36"/>
  <c r="AF250" i="36"/>
  <c r="AE250" i="36"/>
  <c r="AD250" i="36"/>
  <c r="AC250" i="36"/>
  <c r="AB250" i="36"/>
  <c r="AM249" i="36"/>
  <c r="AL249" i="36"/>
  <c r="AK249" i="36"/>
  <c r="AJ249" i="36"/>
  <c r="AI249" i="36"/>
  <c r="AH249" i="36"/>
  <c r="AG249" i="36"/>
  <c r="AF249" i="36"/>
  <c r="AE249" i="36"/>
  <c r="AD249" i="36"/>
  <c r="AC249" i="36"/>
  <c r="AB249" i="36"/>
  <c r="AM248" i="36"/>
  <c r="AL248" i="36"/>
  <c r="AK248" i="36"/>
  <c r="AJ248" i="36"/>
  <c r="AI248" i="36"/>
  <c r="AH248" i="36"/>
  <c r="AG248" i="36"/>
  <c r="AF248" i="36"/>
  <c r="AE248" i="36"/>
  <c r="AD248" i="36"/>
  <c r="AC248" i="36"/>
  <c r="AB248" i="36"/>
  <c r="AM247" i="36"/>
  <c r="AL247" i="36"/>
  <c r="AK247" i="36"/>
  <c r="AJ247" i="36"/>
  <c r="AI247" i="36"/>
  <c r="AH247" i="36"/>
  <c r="AG247" i="36"/>
  <c r="AF247" i="36"/>
  <c r="AE247" i="36"/>
  <c r="AD247" i="36"/>
  <c r="AC247" i="36"/>
  <c r="AB247" i="36"/>
  <c r="AM246" i="36"/>
  <c r="AL246" i="36"/>
  <c r="AK246" i="36"/>
  <c r="AJ246" i="36"/>
  <c r="AI246" i="36"/>
  <c r="AH246" i="36"/>
  <c r="AG246" i="36"/>
  <c r="AF246" i="36"/>
  <c r="AE246" i="36"/>
  <c r="AD246" i="36"/>
  <c r="AC246" i="36"/>
  <c r="AB246" i="36"/>
  <c r="AM245" i="36"/>
  <c r="AL245" i="36"/>
  <c r="AK245" i="36"/>
  <c r="AJ245" i="36"/>
  <c r="AI245" i="36"/>
  <c r="AH245" i="36"/>
  <c r="AG245" i="36"/>
  <c r="AF245" i="36"/>
  <c r="AE245" i="36"/>
  <c r="AD245" i="36"/>
  <c r="AC245" i="36"/>
  <c r="AB245" i="36"/>
  <c r="AM244" i="36"/>
  <c r="AL244" i="36"/>
  <c r="AK244" i="36"/>
  <c r="AJ244" i="36"/>
  <c r="AI244" i="36"/>
  <c r="AH244" i="36"/>
  <c r="AG244" i="36"/>
  <c r="AF244" i="36"/>
  <c r="AE244" i="36"/>
  <c r="AD244" i="36"/>
  <c r="AC244" i="36"/>
  <c r="AB244" i="36"/>
  <c r="AM243" i="36"/>
  <c r="AL243" i="36"/>
  <c r="AK243" i="36"/>
  <c r="AJ243" i="36"/>
  <c r="AI243" i="36"/>
  <c r="AH243" i="36"/>
  <c r="AG243" i="36"/>
  <c r="AF243" i="36"/>
  <c r="AE243" i="36"/>
  <c r="AD243" i="36"/>
  <c r="AC243" i="36"/>
  <c r="AB243" i="36"/>
  <c r="AM242" i="36"/>
  <c r="AL242" i="36"/>
  <c r="AK242" i="36"/>
  <c r="AJ242" i="36"/>
  <c r="AI242" i="36"/>
  <c r="AH242" i="36"/>
  <c r="AG242" i="36"/>
  <c r="AF242" i="36"/>
  <c r="AE242" i="36"/>
  <c r="AD242" i="36"/>
  <c r="AC242" i="36"/>
  <c r="AB242" i="36"/>
  <c r="AM241" i="36"/>
  <c r="AL241" i="36"/>
  <c r="AK241" i="36"/>
  <c r="AJ241" i="36"/>
  <c r="AI241" i="36"/>
  <c r="AH241" i="36"/>
  <c r="AG241" i="36"/>
  <c r="AF241" i="36"/>
  <c r="AE241" i="36"/>
  <c r="AD241" i="36"/>
  <c r="AC241" i="36"/>
  <c r="AB241" i="36"/>
  <c r="AM240" i="36"/>
  <c r="AL240" i="36"/>
  <c r="AK240" i="36"/>
  <c r="AJ240" i="36"/>
  <c r="AI240" i="36"/>
  <c r="AH240" i="36"/>
  <c r="AG240" i="36"/>
  <c r="AF240" i="36"/>
  <c r="AE240" i="36"/>
  <c r="AD240" i="36"/>
  <c r="AC240" i="36"/>
  <c r="AB240" i="36"/>
  <c r="AM239" i="36"/>
  <c r="AL239" i="36"/>
  <c r="AK239" i="36"/>
  <c r="AJ239" i="36"/>
  <c r="AI239" i="36"/>
  <c r="AH239" i="36"/>
  <c r="AG239" i="36"/>
  <c r="AF239" i="36"/>
  <c r="AE239" i="36"/>
  <c r="AD239" i="36"/>
  <c r="AC239" i="36"/>
  <c r="AB239" i="36"/>
  <c r="AM238" i="36"/>
  <c r="AL238" i="36"/>
  <c r="AK238" i="36"/>
  <c r="AJ238" i="36"/>
  <c r="AI238" i="36"/>
  <c r="AH238" i="36"/>
  <c r="AG238" i="36"/>
  <c r="AF238" i="36"/>
  <c r="AE238" i="36"/>
  <c r="AD238" i="36"/>
  <c r="AC238" i="36"/>
  <c r="AB238" i="36"/>
  <c r="AM237" i="36"/>
  <c r="AL237" i="36"/>
  <c r="AK237" i="36"/>
  <c r="AJ237" i="36"/>
  <c r="AI237" i="36"/>
  <c r="AH237" i="36"/>
  <c r="AG237" i="36"/>
  <c r="AF237" i="36"/>
  <c r="AE237" i="36"/>
  <c r="AD237" i="36"/>
  <c r="AC237" i="36"/>
  <c r="AB237" i="36"/>
  <c r="AM236" i="36"/>
  <c r="AL236" i="36"/>
  <c r="AK236" i="36"/>
  <c r="AJ236" i="36"/>
  <c r="AI236" i="36"/>
  <c r="AH236" i="36"/>
  <c r="AG236" i="36"/>
  <c r="AF236" i="36"/>
  <c r="AE236" i="36"/>
  <c r="AD236" i="36"/>
  <c r="AC236" i="36"/>
  <c r="AB236" i="36"/>
  <c r="AM235" i="36"/>
  <c r="AL235" i="36"/>
  <c r="AK235" i="36"/>
  <c r="AJ235" i="36"/>
  <c r="AI235" i="36"/>
  <c r="AH235" i="36"/>
  <c r="AG235" i="36"/>
  <c r="AF235" i="36"/>
  <c r="AE235" i="36"/>
  <c r="AD235" i="36"/>
  <c r="AC235" i="36"/>
  <c r="AB235" i="36"/>
  <c r="AM234" i="36"/>
  <c r="AL234" i="36"/>
  <c r="AK234" i="36"/>
  <c r="AJ234" i="36"/>
  <c r="AI234" i="36"/>
  <c r="AH234" i="36"/>
  <c r="AG234" i="36"/>
  <c r="AF234" i="36"/>
  <c r="AE234" i="36"/>
  <c r="AD234" i="36"/>
  <c r="AC234" i="36"/>
  <c r="AB234" i="36"/>
  <c r="AM233" i="36"/>
  <c r="AL233" i="36"/>
  <c r="AK233" i="36"/>
  <c r="AJ233" i="36"/>
  <c r="AI233" i="36"/>
  <c r="AH233" i="36"/>
  <c r="AG233" i="36"/>
  <c r="AF233" i="36"/>
  <c r="AE233" i="36"/>
  <c r="AD233" i="36"/>
  <c r="AC233" i="36"/>
  <c r="AB233" i="36"/>
  <c r="AM232" i="36"/>
  <c r="AL232" i="36"/>
  <c r="AK232" i="36"/>
  <c r="AJ232" i="36"/>
  <c r="AI232" i="36"/>
  <c r="AH232" i="36"/>
  <c r="AG232" i="36"/>
  <c r="AF232" i="36"/>
  <c r="AE232" i="36"/>
  <c r="AD232" i="36"/>
  <c r="AC232" i="36"/>
  <c r="AB232" i="36"/>
  <c r="AM231" i="36"/>
  <c r="AL231" i="36"/>
  <c r="AK231" i="36"/>
  <c r="AJ231" i="36"/>
  <c r="AI231" i="36"/>
  <c r="AH231" i="36"/>
  <c r="AG231" i="36"/>
  <c r="AF231" i="36"/>
  <c r="AE231" i="36"/>
  <c r="AD231" i="36"/>
  <c r="AC231" i="36"/>
  <c r="AB231" i="36"/>
  <c r="AM230" i="36"/>
  <c r="AL230" i="36"/>
  <c r="AK230" i="36"/>
  <c r="AJ230" i="36"/>
  <c r="AI230" i="36"/>
  <c r="AH230" i="36"/>
  <c r="AG230" i="36"/>
  <c r="AF230" i="36"/>
  <c r="AE230" i="36"/>
  <c r="AD230" i="36"/>
  <c r="AC230" i="36"/>
  <c r="AB230" i="36"/>
  <c r="AM229" i="36"/>
  <c r="AL229" i="36"/>
  <c r="AK229" i="36"/>
  <c r="AJ229" i="36"/>
  <c r="AI229" i="36"/>
  <c r="AH229" i="36"/>
  <c r="AG229" i="36"/>
  <c r="AF229" i="36"/>
  <c r="AE229" i="36"/>
  <c r="AD229" i="36"/>
  <c r="AC229" i="36"/>
  <c r="AB229" i="36"/>
  <c r="AM228" i="36"/>
  <c r="AL228" i="36"/>
  <c r="AK228" i="36"/>
  <c r="AJ228" i="36"/>
  <c r="AI228" i="36"/>
  <c r="AH228" i="36"/>
  <c r="AG228" i="36"/>
  <c r="AF228" i="36"/>
  <c r="AE228" i="36"/>
  <c r="AD228" i="36"/>
  <c r="AC228" i="36"/>
  <c r="AB228" i="36"/>
  <c r="AM227" i="36"/>
  <c r="AL227" i="36"/>
  <c r="AK227" i="36"/>
  <c r="AJ227" i="36"/>
  <c r="AI227" i="36"/>
  <c r="AH227" i="36"/>
  <c r="AG227" i="36"/>
  <c r="AF227" i="36"/>
  <c r="AE227" i="36"/>
  <c r="AD227" i="36"/>
  <c r="AC227" i="36"/>
  <c r="AB227" i="36"/>
  <c r="AM226" i="36"/>
  <c r="AL226" i="36"/>
  <c r="AK226" i="36"/>
  <c r="AJ226" i="36"/>
  <c r="AI226" i="36"/>
  <c r="AH226" i="36"/>
  <c r="AG226" i="36"/>
  <c r="AF226" i="36"/>
  <c r="AE226" i="36"/>
  <c r="AD226" i="36"/>
  <c r="AC226" i="36"/>
  <c r="AB226" i="36"/>
  <c r="AM225" i="36"/>
  <c r="AL225" i="36"/>
  <c r="AK225" i="36"/>
  <c r="AJ225" i="36"/>
  <c r="AI225" i="36"/>
  <c r="AH225" i="36"/>
  <c r="AG225" i="36"/>
  <c r="AF225" i="36"/>
  <c r="AE225" i="36"/>
  <c r="AD225" i="36"/>
  <c r="AC225" i="36"/>
  <c r="AB225" i="36"/>
  <c r="AM224" i="36"/>
  <c r="AL224" i="36"/>
  <c r="AK224" i="36"/>
  <c r="AJ224" i="36"/>
  <c r="AI224" i="36"/>
  <c r="AH224" i="36"/>
  <c r="AG224" i="36"/>
  <c r="AF224" i="36"/>
  <c r="AE224" i="36"/>
  <c r="AD224" i="36"/>
  <c r="AC224" i="36"/>
  <c r="AB224" i="36"/>
  <c r="AM223" i="36"/>
  <c r="AL223" i="36"/>
  <c r="AK223" i="36"/>
  <c r="AJ223" i="36"/>
  <c r="AI223" i="36"/>
  <c r="AH223" i="36"/>
  <c r="AG223" i="36"/>
  <c r="AF223" i="36"/>
  <c r="AE223" i="36"/>
  <c r="AD223" i="36"/>
  <c r="AC223" i="36"/>
  <c r="AB223" i="36"/>
  <c r="AM222" i="36"/>
  <c r="AL222" i="36"/>
  <c r="AK222" i="36"/>
  <c r="AJ222" i="36"/>
  <c r="AI222" i="36"/>
  <c r="AH222" i="36"/>
  <c r="AG222" i="36"/>
  <c r="AF222" i="36"/>
  <c r="AE222" i="36"/>
  <c r="AD222" i="36"/>
  <c r="AC222" i="36"/>
  <c r="AB222" i="36"/>
  <c r="AM221" i="36"/>
  <c r="AL221" i="36"/>
  <c r="AK221" i="36"/>
  <c r="AJ221" i="36"/>
  <c r="AI221" i="36"/>
  <c r="AH221" i="36"/>
  <c r="AG221" i="36"/>
  <c r="AF221" i="36"/>
  <c r="AE221" i="36"/>
  <c r="AD221" i="36"/>
  <c r="AC221" i="36"/>
  <c r="AB221" i="36"/>
  <c r="AM220" i="36"/>
  <c r="AK220" i="36"/>
  <c r="AJ220" i="36"/>
  <c r="AI220" i="36"/>
  <c r="AH220" i="36"/>
  <c r="AG220" i="36"/>
  <c r="AF220" i="36"/>
  <c r="AE220" i="36"/>
  <c r="AD220" i="36"/>
  <c r="AC220" i="36"/>
  <c r="AB220" i="36"/>
  <c r="AM219" i="36"/>
  <c r="AL219" i="36"/>
  <c r="AK219" i="36"/>
  <c r="AJ219" i="36"/>
  <c r="AI219" i="36"/>
  <c r="AH219" i="36"/>
  <c r="AG219" i="36"/>
  <c r="AF219" i="36"/>
  <c r="AE219" i="36"/>
  <c r="AD219" i="36"/>
  <c r="AC219" i="36"/>
  <c r="AB219" i="36"/>
  <c r="AM218" i="36"/>
  <c r="AL218" i="36"/>
  <c r="AK218" i="36"/>
  <c r="AJ218" i="36"/>
  <c r="AI218" i="36"/>
  <c r="AH218" i="36"/>
  <c r="AG218" i="36"/>
  <c r="AF218" i="36"/>
  <c r="AE218" i="36"/>
  <c r="AD218" i="36"/>
  <c r="AC218" i="36"/>
  <c r="AB218" i="36"/>
  <c r="AM217" i="36"/>
  <c r="AL217" i="36"/>
  <c r="AK217" i="36"/>
  <c r="AJ217" i="36"/>
  <c r="AI217" i="36"/>
  <c r="AH217" i="36"/>
  <c r="AG217" i="36"/>
  <c r="AF217" i="36"/>
  <c r="AE217" i="36"/>
  <c r="AD217" i="36"/>
  <c r="AC217" i="36"/>
  <c r="AB217" i="36"/>
  <c r="AM216" i="36"/>
  <c r="AL216" i="36"/>
  <c r="AK216" i="36"/>
  <c r="AJ216" i="36"/>
  <c r="AH216" i="36"/>
  <c r="AG216" i="36"/>
  <c r="AF216" i="36"/>
  <c r="AE216" i="36"/>
  <c r="AD216" i="36"/>
  <c r="AC216" i="36"/>
  <c r="AB216" i="36"/>
  <c r="AM215" i="36"/>
  <c r="AL215" i="36"/>
  <c r="AK215" i="36"/>
  <c r="AJ215" i="36"/>
  <c r="AI215" i="36"/>
  <c r="AH215" i="36"/>
  <c r="AG215" i="36"/>
  <c r="AF215" i="36"/>
  <c r="AE215" i="36"/>
  <c r="AD215" i="36"/>
  <c r="AC215" i="36"/>
  <c r="AB215" i="36"/>
  <c r="AM214" i="36"/>
  <c r="AL214" i="36"/>
  <c r="AK214" i="36"/>
  <c r="AJ214" i="36"/>
  <c r="AI214" i="36"/>
  <c r="AH214" i="36"/>
  <c r="AG214" i="36"/>
  <c r="AF214" i="36"/>
  <c r="AE214" i="36"/>
  <c r="AD214" i="36"/>
  <c r="AC214" i="36"/>
  <c r="AB214" i="36"/>
  <c r="AM213" i="36"/>
  <c r="AL213" i="36"/>
  <c r="AK213" i="36"/>
  <c r="AJ213" i="36"/>
  <c r="AI213" i="36"/>
  <c r="AG213" i="36"/>
  <c r="AF213" i="36"/>
  <c r="AE213" i="36"/>
  <c r="AD213" i="36"/>
  <c r="AC213" i="36"/>
  <c r="AB213" i="36"/>
  <c r="AM212" i="36"/>
  <c r="AL212" i="36"/>
  <c r="AK212" i="36"/>
  <c r="AJ212" i="36"/>
  <c r="AI212" i="36"/>
  <c r="AH212" i="36"/>
  <c r="AG212" i="36"/>
  <c r="AF212" i="36"/>
  <c r="AE212" i="36"/>
  <c r="AD212" i="36"/>
  <c r="AC212" i="36"/>
  <c r="AB212" i="36"/>
  <c r="AM211" i="36"/>
  <c r="AL211" i="36"/>
  <c r="AK211" i="36"/>
  <c r="AJ211" i="36"/>
  <c r="AI211" i="36"/>
  <c r="AH211" i="36"/>
  <c r="AF211" i="36"/>
  <c r="AE211" i="36"/>
  <c r="AD211" i="36"/>
  <c r="AC211" i="36"/>
  <c r="AB211" i="36"/>
  <c r="AM210" i="36"/>
  <c r="AL210" i="36"/>
  <c r="AK210" i="36"/>
  <c r="AJ210" i="36"/>
  <c r="AI210" i="36"/>
  <c r="AH210" i="36"/>
  <c r="AG210" i="36"/>
  <c r="AF210" i="36"/>
  <c r="AE210" i="36"/>
  <c r="AD210" i="36"/>
  <c r="AC210" i="36"/>
  <c r="AB210" i="36"/>
  <c r="AM209" i="36"/>
  <c r="AL209" i="36"/>
  <c r="AK209" i="36"/>
  <c r="AJ209" i="36"/>
  <c r="AI209" i="36"/>
  <c r="AH209" i="36"/>
  <c r="AG209" i="36"/>
  <c r="AF209" i="36"/>
  <c r="AE209" i="36"/>
  <c r="AD209" i="36"/>
  <c r="AC209" i="36"/>
  <c r="AB209" i="36"/>
  <c r="AM208" i="36"/>
  <c r="AL208" i="36"/>
  <c r="AK208" i="36"/>
  <c r="AJ208" i="36"/>
  <c r="AI208" i="36"/>
  <c r="AH208" i="36"/>
  <c r="AG208" i="36"/>
  <c r="AE208" i="36"/>
  <c r="AD208" i="36"/>
  <c r="AC208" i="36"/>
  <c r="AB208" i="36"/>
  <c r="AM207" i="36"/>
  <c r="AL207" i="36"/>
  <c r="AK207" i="36"/>
  <c r="AJ207" i="36"/>
  <c r="AI207" i="36"/>
  <c r="AH207" i="36"/>
  <c r="AG207" i="36"/>
  <c r="AF207" i="36"/>
  <c r="AE207" i="36"/>
  <c r="AD207" i="36"/>
  <c r="AC207" i="36"/>
  <c r="AB207" i="36"/>
  <c r="AM206" i="36"/>
  <c r="AL206" i="36"/>
  <c r="AK206" i="36"/>
  <c r="AJ206" i="36"/>
  <c r="AI206" i="36"/>
  <c r="AH206" i="36"/>
  <c r="AG206" i="36"/>
  <c r="AF206" i="36"/>
  <c r="AE206" i="36"/>
  <c r="AD206" i="36"/>
  <c r="AC206" i="36"/>
  <c r="AB206" i="36"/>
  <c r="AM205" i="36"/>
  <c r="AL205" i="36"/>
  <c r="AK205" i="36"/>
  <c r="AJ205" i="36"/>
  <c r="AI205" i="36"/>
  <c r="AH205" i="36"/>
  <c r="AG205" i="36"/>
  <c r="AF205" i="36"/>
  <c r="AE205" i="36"/>
  <c r="AD205" i="36"/>
  <c r="AC205" i="36"/>
  <c r="AB205" i="36"/>
  <c r="AM204" i="36"/>
  <c r="AL204" i="36"/>
  <c r="AK204" i="36"/>
  <c r="AJ204" i="36"/>
  <c r="AI204" i="36"/>
  <c r="AH204" i="36"/>
  <c r="AG204" i="36"/>
  <c r="AF204" i="36"/>
  <c r="AE204" i="36"/>
  <c r="AD204" i="36"/>
  <c r="AC204" i="36"/>
  <c r="AB204" i="36"/>
  <c r="AM203" i="36"/>
  <c r="AL203" i="36"/>
  <c r="AK203" i="36"/>
  <c r="AJ203" i="36"/>
  <c r="AI203" i="36"/>
  <c r="AH203" i="36"/>
  <c r="AG203" i="36"/>
  <c r="AF203" i="36"/>
  <c r="AD203" i="36"/>
  <c r="AC203" i="36"/>
  <c r="AB203" i="36"/>
  <c r="AM202" i="36"/>
  <c r="AL202" i="36"/>
  <c r="AK202" i="36"/>
  <c r="AJ202" i="36"/>
  <c r="AI202" i="36"/>
  <c r="AH202" i="36"/>
  <c r="AG202" i="36"/>
  <c r="AF202" i="36"/>
  <c r="AE202" i="36"/>
  <c r="AD202" i="36"/>
  <c r="AC202" i="36"/>
  <c r="AB202" i="36"/>
  <c r="AL201" i="36"/>
  <c r="AK201" i="36"/>
  <c r="AJ201" i="36"/>
  <c r="AI201" i="36"/>
  <c r="AH201" i="36"/>
  <c r="AG201" i="36"/>
  <c r="AF201" i="36"/>
  <c r="AE201" i="36"/>
  <c r="AD201" i="36"/>
  <c r="AC201" i="36"/>
  <c r="AB201" i="36"/>
  <c r="AM200" i="36"/>
  <c r="AL200" i="36"/>
  <c r="AK200" i="36"/>
  <c r="AJ200" i="36"/>
  <c r="AI200" i="36"/>
  <c r="AH200" i="36"/>
  <c r="AG200" i="36"/>
  <c r="AF200" i="36"/>
  <c r="AE200" i="36"/>
  <c r="AC200" i="36"/>
  <c r="AB200" i="36"/>
  <c r="AM199" i="36"/>
  <c r="AL199" i="36"/>
  <c r="AK199" i="36"/>
  <c r="AJ199" i="36"/>
  <c r="AI199" i="36"/>
  <c r="AH199" i="36"/>
  <c r="AG199" i="36"/>
  <c r="AF199" i="36"/>
  <c r="AE199" i="36"/>
  <c r="AD199" i="36"/>
  <c r="AB199" i="36"/>
  <c r="AM198" i="36"/>
  <c r="AL198" i="36"/>
  <c r="AK198" i="36"/>
  <c r="AJ198" i="36"/>
  <c r="AI198" i="36"/>
  <c r="AH198" i="36"/>
  <c r="AG198" i="36"/>
  <c r="AF198" i="36"/>
  <c r="AE198" i="36"/>
  <c r="AD198" i="36"/>
  <c r="AC198" i="36"/>
  <c r="AB198" i="36"/>
  <c r="AM197" i="36"/>
  <c r="AL197" i="36"/>
  <c r="AK197" i="36"/>
  <c r="AJ197" i="36"/>
  <c r="AI197" i="36"/>
  <c r="AH197" i="36"/>
  <c r="AG197" i="36"/>
  <c r="AF197" i="36"/>
  <c r="AE197" i="36"/>
  <c r="AD197" i="36"/>
  <c r="AC197" i="36"/>
  <c r="AB197" i="36"/>
  <c r="AM196" i="36"/>
  <c r="AL196" i="36"/>
  <c r="AK196" i="36"/>
  <c r="AJ196" i="36"/>
  <c r="AI196" i="36"/>
  <c r="AH196" i="36"/>
  <c r="AG196" i="36"/>
  <c r="AF196" i="36"/>
  <c r="AE196" i="36"/>
  <c r="AD196" i="36"/>
  <c r="AC196" i="36"/>
  <c r="AB196" i="36"/>
  <c r="AM195" i="36"/>
  <c r="AL195" i="36"/>
  <c r="AK195" i="36"/>
  <c r="AJ195" i="36"/>
  <c r="AI195" i="36"/>
  <c r="AH195" i="36"/>
  <c r="AG195" i="36"/>
  <c r="AF195" i="36"/>
  <c r="AE195" i="36"/>
  <c r="AD195" i="36"/>
  <c r="AC195" i="36"/>
  <c r="AB195" i="36"/>
  <c r="AM194" i="36"/>
  <c r="AL194" i="36"/>
  <c r="AK194" i="36"/>
  <c r="AJ194" i="36"/>
  <c r="AI194" i="36"/>
  <c r="AH194" i="36"/>
  <c r="AG194" i="36"/>
  <c r="AF194" i="36"/>
  <c r="AE194" i="36"/>
  <c r="AD194" i="36"/>
  <c r="AC194" i="36"/>
  <c r="AM193" i="36"/>
  <c r="AL193" i="36"/>
  <c r="AK193" i="36"/>
  <c r="AJ193" i="36"/>
  <c r="AI193" i="36"/>
  <c r="AH193" i="36"/>
  <c r="AG193" i="36"/>
  <c r="AF193" i="36"/>
  <c r="AE193" i="36"/>
  <c r="AD193" i="36"/>
  <c r="AC193" i="36"/>
  <c r="AB193" i="36"/>
  <c r="AM192" i="36"/>
  <c r="AL192" i="36"/>
  <c r="AK192" i="36"/>
  <c r="AJ192" i="36"/>
  <c r="AI192" i="36"/>
  <c r="AH192" i="36"/>
  <c r="AG192" i="36"/>
  <c r="AF192" i="36"/>
  <c r="AE192" i="36"/>
  <c r="AD192" i="36"/>
  <c r="AC192" i="36"/>
  <c r="AB192" i="36"/>
  <c r="AM191" i="36"/>
  <c r="AL191" i="36"/>
  <c r="AK191" i="36"/>
  <c r="AJ191" i="36"/>
  <c r="AI191" i="36"/>
  <c r="AH191" i="36"/>
  <c r="AG191" i="36"/>
  <c r="AF191" i="36"/>
  <c r="AE191" i="36"/>
  <c r="AD191" i="36"/>
  <c r="AC191" i="36"/>
  <c r="AB191" i="36"/>
  <c r="AM190" i="36"/>
  <c r="AL190" i="36"/>
  <c r="AK190" i="36"/>
  <c r="AJ190" i="36"/>
  <c r="AI190" i="36"/>
  <c r="AH190" i="36"/>
  <c r="AG190" i="36"/>
  <c r="AF190" i="36"/>
  <c r="AE190" i="36"/>
  <c r="AD190" i="36"/>
  <c r="AC190" i="36"/>
  <c r="AB190" i="36"/>
  <c r="AM189" i="36"/>
  <c r="AL189" i="36"/>
  <c r="AK189" i="36"/>
  <c r="AJ189" i="36"/>
  <c r="AI189" i="36"/>
  <c r="AH189" i="36"/>
  <c r="AG189" i="36"/>
  <c r="AF189" i="36"/>
  <c r="AE189" i="36"/>
  <c r="AD189" i="36"/>
  <c r="AC189" i="36"/>
  <c r="AB189" i="36"/>
  <c r="AM188" i="36"/>
  <c r="AL188" i="36"/>
  <c r="AK188" i="36"/>
  <c r="AJ188" i="36"/>
  <c r="AI188" i="36"/>
  <c r="AH188" i="36"/>
  <c r="AG188" i="36"/>
  <c r="AF188" i="36"/>
  <c r="AE188" i="36"/>
  <c r="AD188" i="36"/>
  <c r="AC188" i="36"/>
  <c r="AB188" i="36"/>
  <c r="AM187" i="36"/>
  <c r="AL187" i="36"/>
  <c r="AK187" i="36"/>
  <c r="AJ187" i="36"/>
  <c r="AI187" i="36"/>
  <c r="AH187" i="36"/>
  <c r="AG187" i="36"/>
  <c r="AF187" i="36"/>
  <c r="AE187" i="36"/>
  <c r="AD187" i="36"/>
  <c r="AC187" i="36"/>
  <c r="AB187" i="36"/>
  <c r="AM186" i="36"/>
  <c r="AL186" i="36"/>
  <c r="AK186" i="36"/>
  <c r="AJ186" i="36"/>
  <c r="AI186" i="36"/>
  <c r="AH186" i="36"/>
  <c r="AG186" i="36"/>
  <c r="AF186" i="36"/>
  <c r="AE186" i="36"/>
  <c r="AD186" i="36"/>
  <c r="AC186" i="36"/>
  <c r="AB186" i="36"/>
  <c r="AM185" i="36"/>
  <c r="AK185" i="36"/>
  <c r="AJ185" i="36"/>
  <c r="AI185" i="36"/>
  <c r="AH185" i="36"/>
  <c r="AG185" i="36"/>
  <c r="AF185" i="36"/>
  <c r="AE185" i="36"/>
  <c r="AD185" i="36"/>
  <c r="AC185" i="36"/>
  <c r="AB185" i="36"/>
  <c r="AM184" i="36"/>
  <c r="AL184" i="36"/>
  <c r="AK184" i="36"/>
  <c r="AJ184" i="36"/>
  <c r="AI184" i="36"/>
  <c r="AH184" i="36"/>
  <c r="AG184" i="36"/>
  <c r="AF184" i="36"/>
  <c r="AE184" i="36"/>
  <c r="AD184" i="36"/>
  <c r="AC184" i="36"/>
  <c r="AB184" i="36"/>
  <c r="AM183" i="36"/>
  <c r="AL183" i="36"/>
  <c r="AK183" i="36"/>
  <c r="AJ183" i="36"/>
  <c r="AI183" i="36"/>
  <c r="AH183" i="36"/>
  <c r="AG183" i="36"/>
  <c r="AF183" i="36"/>
  <c r="AE183" i="36"/>
  <c r="AD183" i="36"/>
  <c r="AC183" i="36"/>
  <c r="AB183" i="36"/>
  <c r="AM182" i="36"/>
  <c r="AL182" i="36"/>
  <c r="AK182" i="36"/>
  <c r="AJ182" i="36"/>
  <c r="AI182" i="36"/>
  <c r="AH182" i="36"/>
  <c r="AG182" i="36"/>
  <c r="AF182" i="36"/>
  <c r="AE182" i="36"/>
  <c r="AD182" i="36"/>
  <c r="AC182" i="36"/>
  <c r="AB182" i="36"/>
  <c r="AM181" i="36"/>
  <c r="AL181" i="36"/>
  <c r="AK181" i="36"/>
  <c r="AJ181" i="36"/>
  <c r="AH181" i="36"/>
  <c r="AG181" i="36"/>
  <c r="AF181" i="36"/>
  <c r="AE181" i="36"/>
  <c r="AD181" i="36"/>
  <c r="AC181" i="36"/>
  <c r="AB181" i="36"/>
  <c r="AM180" i="36"/>
  <c r="AL180" i="36"/>
  <c r="AK180" i="36"/>
  <c r="AJ180" i="36"/>
  <c r="AI180" i="36"/>
  <c r="AH180" i="36"/>
  <c r="AG180" i="36"/>
  <c r="AF180" i="36"/>
  <c r="AE180" i="36"/>
  <c r="AD180" i="36"/>
  <c r="AC180" i="36"/>
  <c r="AB180" i="36"/>
  <c r="AM179" i="36"/>
  <c r="AL179" i="36"/>
  <c r="AK179" i="36"/>
  <c r="AJ179" i="36"/>
  <c r="AI179" i="36"/>
  <c r="AH179" i="36"/>
  <c r="AG179" i="36"/>
  <c r="AF179" i="36"/>
  <c r="AE179" i="36"/>
  <c r="AD179" i="36"/>
  <c r="AC179" i="36"/>
  <c r="AB179" i="36"/>
  <c r="AM178" i="36"/>
  <c r="AL178" i="36"/>
  <c r="AK178" i="36"/>
  <c r="AJ178" i="36"/>
  <c r="AI178" i="36"/>
  <c r="AG178" i="36"/>
  <c r="AF178" i="36"/>
  <c r="AE178" i="36"/>
  <c r="AD178" i="36"/>
  <c r="AC178" i="36"/>
  <c r="AB178" i="36"/>
  <c r="AM177" i="36"/>
  <c r="AL177" i="36"/>
  <c r="AK177" i="36"/>
  <c r="AJ177" i="36"/>
  <c r="AI177" i="36"/>
  <c r="AH177" i="36"/>
  <c r="AG177" i="36"/>
  <c r="AF177" i="36"/>
  <c r="AE177" i="36"/>
  <c r="AD177" i="36"/>
  <c r="AC177" i="36"/>
  <c r="AB177" i="36"/>
  <c r="AM176" i="36"/>
  <c r="AL176" i="36"/>
  <c r="AK176" i="36"/>
  <c r="AJ176" i="36"/>
  <c r="AI176" i="36"/>
  <c r="AH176" i="36"/>
  <c r="AF176" i="36"/>
  <c r="AE176" i="36"/>
  <c r="AD176" i="36"/>
  <c r="AC176" i="36"/>
  <c r="AB176" i="36"/>
  <c r="AM175" i="36"/>
  <c r="AL175" i="36"/>
  <c r="AK175" i="36"/>
  <c r="AJ175" i="36"/>
  <c r="AI175" i="36"/>
  <c r="AH175" i="36"/>
  <c r="AG175" i="36"/>
  <c r="AF175" i="36"/>
  <c r="AE175" i="36"/>
  <c r="AD175" i="36"/>
  <c r="AC175" i="36"/>
  <c r="AB175" i="36"/>
  <c r="AM174" i="36"/>
  <c r="AL174" i="36"/>
  <c r="AK174" i="36"/>
  <c r="AJ174" i="36"/>
  <c r="AI174" i="36"/>
  <c r="AH174" i="36"/>
  <c r="AG174" i="36"/>
  <c r="AF174" i="36"/>
  <c r="AE174" i="36"/>
  <c r="AD174" i="36"/>
  <c r="AC174" i="36"/>
  <c r="AB174" i="36"/>
  <c r="AM173" i="36"/>
  <c r="AL173" i="36"/>
  <c r="AK173" i="36"/>
  <c r="AJ173" i="36"/>
  <c r="AI173" i="36"/>
  <c r="AH173" i="36"/>
  <c r="AG173" i="36"/>
  <c r="AE173" i="36"/>
  <c r="AD173" i="36"/>
  <c r="AC173" i="36"/>
  <c r="AB173" i="36"/>
  <c r="AM172" i="36"/>
  <c r="AL172" i="36"/>
  <c r="AK172" i="36"/>
  <c r="AJ172" i="36"/>
  <c r="AI172" i="36"/>
  <c r="AH172" i="36"/>
  <c r="AG172" i="36"/>
  <c r="AF172" i="36"/>
  <c r="AE172" i="36"/>
  <c r="AD172" i="36"/>
  <c r="AC172" i="36"/>
  <c r="AB172" i="36"/>
  <c r="AM171" i="36"/>
  <c r="AL171" i="36"/>
  <c r="AK171" i="36"/>
  <c r="AJ171" i="36"/>
  <c r="AI171" i="36"/>
  <c r="AH171" i="36"/>
  <c r="AG171" i="36"/>
  <c r="AF171" i="36"/>
  <c r="AE171" i="36"/>
  <c r="AD171" i="36"/>
  <c r="AC171" i="36"/>
  <c r="AB171" i="36"/>
  <c r="AM170" i="36"/>
  <c r="AL170" i="36"/>
  <c r="AK170" i="36"/>
  <c r="AJ170" i="36"/>
  <c r="AI170" i="36"/>
  <c r="AH170" i="36"/>
  <c r="AG170" i="36"/>
  <c r="AF170" i="36"/>
  <c r="AE170" i="36"/>
  <c r="AD170" i="36"/>
  <c r="AC170" i="36"/>
  <c r="AB170" i="36"/>
  <c r="AM169" i="36"/>
  <c r="AL169" i="36"/>
  <c r="AK169" i="36"/>
  <c r="AJ169" i="36"/>
  <c r="AI169" i="36"/>
  <c r="AH169" i="36"/>
  <c r="AG169" i="36"/>
  <c r="AF169" i="36"/>
  <c r="AE169" i="36"/>
  <c r="AD169" i="36"/>
  <c r="AC169" i="36"/>
  <c r="AB169" i="36"/>
  <c r="AM168" i="36"/>
  <c r="AL168" i="36"/>
  <c r="AK168" i="36"/>
  <c r="AJ168" i="36"/>
  <c r="AI168" i="36"/>
  <c r="AH168" i="36"/>
  <c r="AG168" i="36"/>
  <c r="AF168" i="36"/>
  <c r="AD168" i="36"/>
  <c r="AC168" i="36"/>
  <c r="AB168" i="36"/>
  <c r="AM167" i="36"/>
  <c r="AL167" i="36"/>
  <c r="AK167" i="36"/>
  <c r="AJ167" i="36"/>
  <c r="AI167" i="36"/>
  <c r="AH167" i="36"/>
  <c r="AG167" i="36"/>
  <c r="AF167" i="36"/>
  <c r="AE167" i="36"/>
  <c r="AD167" i="36"/>
  <c r="AC167" i="36"/>
  <c r="AB167" i="36"/>
  <c r="AL166" i="36"/>
  <c r="AK166" i="36"/>
  <c r="AJ166" i="36"/>
  <c r="AI166" i="36"/>
  <c r="AH166" i="36"/>
  <c r="AG166" i="36"/>
  <c r="AF166" i="36"/>
  <c r="AE166" i="36"/>
  <c r="AD166" i="36"/>
  <c r="AC166" i="36"/>
  <c r="AB166" i="36"/>
  <c r="AM165" i="36"/>
  <c r="AL165" i="36"/>
  <c r="AK165" i="36"/>
  <c r="AJ165" i="36"/>
  <c r="AI165" i="36"/>
  <c r="AH165" i="36"/>
  <c r="AG165" i="36"/>
  <c r="AF165" i="36"/>
  <c r="AE165" i="36"/>
  <c r="AC165" i="36"/>
  <c r="AB165" i="36"/>
  <c r="AM164" i="36"/>
  <c r="AL164" i="36"/>
  <c r="AK164" i="36"/>
  <c r="AJ164" i="36"/>
  <c r="AI164" i="36"/>
  <c r="AH164" i="36"/>
  <c r="AG164" i="36"/>
  <c r="AF164" i="36"/>
  <c r="AE164" i="36"/>
  <c r="AD164" i="36"/>
  <c r="AB164" i="36"/>
  <c r="AM163" i="36"/>
  <c r="AL163" i="36"/>
  <c r="AK163" i="36"/>
  <c r="AJ163" i="36"/>
  <c r="AI163" i="36"/>
  <c r="AH163" i="36"/>
  <c r="AG163" i="36"/>
  <c r="AF163" i="36"/>
  <c r="AE163" i="36"/>
  <c r="AD163" i="36"/>
  <c r="AC163" i="36"/>
  <c r="AB163" i="36"/>
  <c r="AM162" i="36"/>
  <c r="AL162" i="36"/>
  <c r="AK162" i="36"/>
  <c r="AJ162" i="36"/>
  <c r="AI162" i="36"/>
  <c r="AH162" i="36"/>
  <c r="AG162" i="36"/>
  <c r="AF162" i="36"/>
  <c r="AE162" i="36"/>
  <c r="AD162" i="36"/>
  <c r="AC162" i="36"/>
  <c r="AB162" i="36"/>
  <c r="AM161" i="36"/>
  <c r="AL161" i="36"/>
  <c r="AK161" i="36"/>
  <c r="AJ161" i="36"/>
  <c r="AI161" i="36"/>
  <c r="AH161" i="36"/>
  <c r="AG161" i="36"/>
  <c r="AF161" i="36"/>
  <c r="AE161" i="36"/>
  <c r="AD161" i="36"/>
  <c r="AC161" i="36"/>
  <c r="AB161" i="36"/>
  <c r="AM160" i="36"/>
  <c r="AL160" i="36"/>
  <c r="AK160" i="36"/>
  <c r="AJ160" i="36"/>
  <c r="AI160" i="36"/>
  <c r="AH160" i="36"/>
  <c r="AG160" i="36"/>
  <c r="AF160" i="36"/>
  <c r="AE160" i="36"/>
  <c r="AD160" i="36"/>
  <c r="AC160" i="36"/>
  <c r="AB160" i="36"/>
  <c r="AM159" i="36"/>
  <c r="AL159" i="36"/>
  <c r="AK159" i="36"/>
  <c r="AJ159" i="36"/>
  <c r="AI159" i="36"/>
  <c r="AH159" i="36"/>
  <c r="AG159" i="36"/>
  <c r="AF159" i="36"/>
  <c r="AE159" i="36"/>
  <c r="AD159" i="36"/>
  <c r="AC159" i="36"/>
  <c r="AM158" i="36"/>
  <c r="AL158" i="36"/>
  <c r="AK158" i="36"/>
  <c r="AJ158" i="36"/>
  <c r="AI158" i="36"/>
  <c r="AH158" i="36"/>
  <c r="AG158" i="36"/>
  <c r="AF158" i="36"/>
  <c r="AE158" i="36"/>
  <c r="AD158" i="36"/>
  <c r="AC158" i="36"/>
  <c r="AB158" i="36"/>
  <c r="AM157" i="36"/>
  <c r="AL157" i="36"/>
  <c r="AK157" i="36"/>
  <c r="AJ157" i="36"/>
  <c r="AI157" i="36"/>
  <c r="AH157" i="36"/>
  <c r="AG157" i="36"/>
  <c r="AF157" i="36"/>
  <c r="AE157" i="36"/>
  <c r="AD157" i="36"/>
  <c r="AC157" i="36"/>
  <c r="AB157" i="36"/>
  <c r="AM156" i="36"/>
  <c r="AL156" i="36"/>
  <c r="AK156" i="36"/>
  <c r="AJ156" i="36"/>
  <c r="AI156" i="36"/>
  <c r="AH156" i="36"/>
  <c r="AG156" i="36"/>
  <c r="AF156" i="36"/>
  <c r="AE156" i="36"/>
  <c r="AD156" i="36"/>
  <c r="AC156" i="36"/>
  <c r="AB156" i="36"/>
  <c r="AM155" i="36"/>
  <c r="AL155" i="36"/>
  <c r="AK155" i="36"/>
  <c r="AJ155" i="36"/>
  <c r="AI155" i="36"/>
  <c r="AH155" i="36"/>
  <c r="AG155" i="36"/>
  <c r="AF155" i="36"/>
  <c r="AE155" i="36"/>
  <c r="AD155" i="36"/>
  <c r="AC155" i="36"/>
  <c r="AB155" i="36"/>
  <c r="AM154" i="36"/>
  <c r="AL154" i="36"/>
  <c r="AK154" i="36"/>
  <c r="AJ154" i="36"/>
  <c r="AI154" i="36"/>
  <c r="AH154" i="36"/>
  <c r="AG154" i="36"/>
  <c r="AF154" i="36"/>
  <c r="AE154" i="36"/>
  <c r="AD154" i="36"/>
  <c r="AC154" i="36"/>
  <c r="AB154" i="36"/>
  <c r="AM153" i="36"/>
  <c r="AL153" i="36"/>
  <c r="AK153" i="36"/>
  <c r="AJ153" i="36"/>
  <c r="AI153" i="36"/>
  <c r="AH153" i="36"/>
  <c r="AG153" i="36"/>
  <c r="AF153" i="36"/>
  <c r="AE153" i="36"/>
  <c r="AD153" i="36"/>
  <c r="AC153" i="36"/>
  <c r="AB153" i="36"/>
  <c r="AM152" i="36"/>
  <c r="AL152" i="36"/>
  <c r="AK152" i="36"/>
  <c r="AJ152" i="36"/>
  <c r="AI152" i="36"/>
  <c r="AH152" i="36"/>
  <c r="AG152" i="36"/>
  <c r="AF152" i="36"/>
  <c r="AE152" i="36"/>
  <c r="AD152" i="36"/>
  <c r="AC152" i="36"/>
  <c r="AB152" i="36"/>
  <c r="AM151" i="36"/>
  <c r="AK151" i="36"/>
  <c r="AJ151" i="36"/>
  <c r="AI151" i="36"/>
  <c r="AH151" i="36"/>
  <c r="AG151" i="36"/>
  <c r="AF151" i="36"/>
  <c r="AE151" i="36"/>
  <c r="AD151" i="36"/>
  <c r="AC151" i="36"/>
  <c r="AB151" i="36"/>
  <c r="AM150" i="36"/>
  <c r="AL150" i="36"/>
  <c r="AK150" i="36"/>
  <c r="AJ150" i="36"/>
  <c r="AI150" i="36"/>
  <c r="AH150" i="36"/>
  <c r="AG150" i="36"/>
  <c r="AF150" i="36"/>
  <c r="AE150" i="36"/>
  <c r="AD150" i="36"/>
  <c r="AC150" i="36"/>
  <c r="AB150" i="36"/>
  <c r="AM149" i="36"/>
  <c r="AL149" i="36"/>
  <c r="AK149" i="36"/>
  <c r="AJ149" i="36"/>
  <c r="AI149" i="36"/>
  <c r="AH149" i="36"/>
  <c r="AG149" i="36"/>
  <c r="AF149" i="36"/>
  <c r="AE149" i="36"/>
  <c r="AD149" i="36"/>
  <c r="AC149" i="36"/>
  <c r="AB149" i="36"/>
  <c r="AM148" i="36"/>
  <c r="AL148" i="36"/>
  <c r="AK148" i="36"/>
  <c r="AJ148" i="36"/>
  <c r="AI148" i="36"/>
  <c r="AH148" i="36"/>
  <c r="AG148" i="36"/>
  <c r="AF148" i="36"/>
  <c r="AE148" i="36"/>
  <c r="AD148" i="36"/>
  <c r="AC148" i="36"/>
  <c r="AB148" i="36"/>
  <c r="AM147" i="36"/>
  <c r="AL147" i="36"/>
  <c r="AK147" i="36"/>
  <c r="AJ147" i="36"/>
  <c r="AI147" i="36"/>
  <c r="AH147" i="36"/>
  <c r="AG147" i="36"/>
  <c r="AF147" i="36"/>
  <c r="AE147" i="36"/>
  <c r="AD147" i="36"/>
  <c r="AC147" i="36"/>
  <c r="AB147" i="36"/>
  <c r="AM146" i="36"/>
  <c r="AL146" i="36"/>
  <c r="AK146" i="36"/>
  <c r="AJ146" i="36"/>
  <c r="AI146" i="36"/>
  <c r="AH146" i="36"/>
  <c r="AF146" i="36"/>
  <c r="AE146" i="36"/>
  <c r="AD146" i="36"/>
  <c r="AC146" i="36"/>
  <c r="AB146" i="36"/>
  <c r="AM145" i="36"/>
  <c r="AL145" i="36"/>
  <c r="AK145" i="36"/>
  <c r="AJ145" i="36"/>
  <c r="AI145" i="36"/>
  <c r="AH145" i="36"/>
  <c r="AG145" i="36"/>
  <c r="AF145" i="36"/>
  <c r="AE145" i="36"/>
  <c r="AD145" i="36"/>
  <c r="AC145" i="36"/>
  <c r="AB145" i="36"/>
  <c r="AM144" i="36"/>
  <c r="AL144" i="36"/>
  <c r="AK144" i="36"/>
  <c r="AJ144" i="36"/>
  <c r="AI144" i="36"/>
  <c r="AH144" i="36"/>
  <c r="AG144" i="36"/>
  <c r="AF144" i="36"/>
  <c r="AE144" i="36"/>
  <c r="AD144" i="36"/>
  <c r="AC144" i="36"/>
  <c r="AB144" i="36"/>
  <c r="AM143" i="36"/>
  <c r="AL143" i="36"/>
  <c r="AK143" i="36"/>
  <c r="AJ143" i="36"/>
  <c r="AI143" i="36"/>
  <c r="AH143" i="36"/>
  <c r="AG143" i="36"/>
  <c r="AF143" i="36"/>
  <c r="AE143" i="36"/>
  <c r="AD143" i="36"/>
  <c r="AC143" i="36"/>
  <c r="AB143" i="36"/>
  <c r="AM142" i="36"/>
  <c r="AL142" i="36"/>
  <c r="AK142" i="36"/>
  <c r="AJ142" i="36"/>
  <c r="AI142" i="36"/>
  <c r="AH142" i="36"/>
  <c r="AG142" i="36"/>
  <c r="AF142" i="36"/>
  <c r="AE142" i="36"/>
  <c r="AD142" i="36"/>
  <c r="AC142" i="36"/>
  <c r="AB142" i="36"/>
  <c r="AM141" i="36"/>
  <c r="AL141" i="36"/>
  <c r="AK141" i="36"/>
  <c r="AJ141" i="36"/>
  <c r="AI141" i="36"/>
  <c r="AH141" i="36"/>
  <c r="AG141" i="36"/>
  <c r="AF141" i="36"/>
  <c r="AD141" i="36"/>
  <c r="AC141" i="36"/>
  <c r="AB141" i="36"/>
  <c r="AM140" i="36"/>
  <c r="AL140" i="36"/>
  <c r="AK140" i="36"/>
  <c r="AJ140" i="36"/>
  <c r="AI140" i="36"/>
  <c r="AH140" i="36"/>
  <c r="AG140" i="36"/>
  <c r="AF140" i="36"/>
  <c r="AE140" i="36"/>
  <c r="AD140" i="36"/>
  <c r="AC140" i="36"/>
  <c r="AB140" i="36"/>
  <c r="AL139" i="36"/>
  <c r="AK139" i="36"/>
  <c r="AJ139" i="36"/>
  <c r="AI139" i="36"/>
  <c r="AH139" i="36"/>
  <c r="AG139" i="36"/>
  <c r="AF139" i="36"/>
  <c r="AE139" i="36"/>
  <c r="AD139" i="36"/>
  <c r="AC139" i="36"/>
  <c r="AB139" i="36"/>
  <c r="AM138" i="36"/>
  <c r="AL138" i="36"/>
  <c r="AK138" i="36"/>
  <c r="AJ138" i="36"/>
  <c r="AI138" i="36"/>
  <c r="AH138" i="36"/>
  <c r="AG138" i="36"/>
  <c r="AF138" i="36"/>
  <c r="AE138" i="36"/>
  <c r="AD138" i="36"/>
  <c r="AC138" i="36"/>
  <c r="AM137" i="36"/>
  <c r="AL137" i="36"/>
  <c r="AK137" i="36"/>
  <c r="AJ137" i="36"/>
  <c r="AI137" i="36"/>
  <c r="AH137" i="36"/>
  <c r="AG137" i="36"/>
  <c r="AF137" i="36"/>
  <c r="AE137" i="36"/>
  <c r="AD137" i="36"/>
  <c r="AC137" i="36"/>
  <c r="AB137" i="36"/>
  <c r="AM132" i="36"/>
  <c r="AL132" i="36"/>
  <c r="AK132" i="36"/>
  <c r="AJ132" i="36"/>
  <c r="AI132" i="36"/>
  <c r="AH132" i="36"/>
  <c r="AG132" i="36"/>
  <c r="AF132" i="36"/>
  <c r="AE132" i="36"/>
  <c r="AD132" i="36"/>
  <c r="AC132" i="36"/>
  <c r="AB132" i="36"/>
  <c r="AM131" i="36"/>
  <c r="AL131" i="36"/>
  <c r="AK131" i="36"/>
  <c r="AJ131" i="36"/>
  <c r="AI131" i="36"/>
  <c r="AH131" i="36"/>
  <c r="AG131" i="36"/>
  <c r="AF131" i="36"/>
  <c r="AE131" i="36"/>
  <c r="AD131" i="36"/>
  <c r="AC131" i="36"/>
  <c r="AB131" i="36"/>
  <c r="AM130" i="36"/>
  <c r="AL130" i="36"/>
  <c r="AK130" i="36"/>
  <c r="AJ130" i="36"/>
  <c r="AI130" i="36"/>
  <c r="AH130" i="36"/>
  <c r="AG130" i="36"/>
  <c r="AF130" i="36"/>
  <c r="AE130" i="36"/>
  <c r="AD130" i="36"/>
  <c r="AC130" i="36"/>
  <c r="AB130" i="36"/>
  <c r="AM129" i="36"/>
  <c r="AL129" i="36"/>
  <c r="AK129" i="36"/>
  <c r="AJ129" i="36"/>
  <c r="AI129" i="36"/>
  <c r="AH129" i="36"/>
  <c r="AG129" i="36"/>
  <c r="AF129" i="36"/>
  <c r="AE129" i="36"/>
  <c r="AD129" i="36"/>
  <c r="AC129" i="36"/>
  <c r="AB129" i="36"/>
  <c r="AM128" i="36"/>
  <c r="AL128" i="36"/>
  <c r="AK128" i="36"/>
  <c r="AJ128" i="36"/>
  <c r="AI128" i="36"/>
  <c r="AH128" i="36"/>
  <c r="AG128" i="36"/>
  <c r="AF128" i="36"/>
  <c r="AE128" i="36"/>
  <c r="AD128" i="36"/>
  <c r="AC128" i="36"/>
  <c r="AB128" i="36"/>
  <c r="AM127" i="36"/>
  <c r="AL127" i="36"/>
  <c r="AK127" i="36"/>
  <c r="AJ127" i="36"/>
  <c r="AI127" i="36"/>
  <c r="AH127" i="36"/>
  <c r="AG127" i="36"/>
  <c r="AF127" i="36"/>
  <c r="AE127" i="36"/>
  <c r="AD127" i="36"/>
  <c r="AC127" i="36"/>
  <c r="AB127" i="36"/>
  <c r="AM126" i="36"/>
  <c r="AL126" i="36"/>
  <c r="AK126" i="36"/>
  <c r="AJ126" i="36"/>
  <c r="AI126" i="36"/>
  <c r="AH126" i="36"/>
  <c r="AG126" i="36"/>
  <c r="AF126" i="36"/>
  <c r="AE126" i="36"/>
  <c r="AD126" i="36"/>
  <c r="AC126" i="36"/>
  <c r="AB126" i="36"/>
  <c r="AM125" i="36"/>
  <c r="AL125" i="36"/>
  <c r="AK125" i="36"/>
  <c r="AJ125" i="36"/>
  <c r="AI125" i="36"/>
  <c r="AH125" i="36"/>
  <c r="AF125" i="36"/>
  <c r="AE125" i="36"/>
  <c r="AD125" i="36"/>
  <c r="AC125" i="36"/>
  <c r="AB125" i="36"/>
  <c r="AM124" i="36"/>
  <c r="AL124" i="36"/>
  <c r="AK124" i="36"/>
  <c r="AJ124" i="36"/>
  <c r="AI124" i="36"/>
  <c r="AH124" i="36"/>
  <c r="AG124" i="36"/>
  <c r="AF124" i="36"/>
  <c r="AE124" i="36"/>
  <c r="AD124" i="36"/>
  <c r="AC124" i="36"/>
  <c r="AB124" i="36"/>
  <c r="AM123" i="36"/>
  <c r="AL123" i="36"/>
  <c r="AK123" i="36"/>
  <c r="AJ123" i="36"/>
  <c r="AI123" i="36"/>
  <c r="AH123" i="36"/>
  <c r="AG123" i="36"/>
  <c r="AF123" i="36"/>
  <c r="AE123" i="36"/>
  <c r="AD123" i="36"/>
  <c r="AC123" i="36"/>
  <c r="AB123" i="36"/>
  <c r="AM122" i="36"/>
  <c r="AL122" i="36"/>
  <c r="AK122" i="36"/>
  <c r="AJ122" i="36"/>
  <c r="AI122" i="36"/>
  <c r="AH122" i="36"/>
  <c r="AG122" i="36"/>
  <c r="AF122" i="36"/>
  <c r="AE122" i="36"/>
  <c r="AD122" i="36"/>
  <c r="AC122" i="36"/>
  <c r="AB122" i="36"/>
  <c r="AM121" i="36"/>
  <c r="AL121" i="36"/>
  <c r="AK121" i="36"/>
  <c r="AJ121" i="36"/>
  <c r="AI121" i="36"/>
  <c r="AH121" i="36"/>
  <c r="AG121" i="36"/>
  <c r="AF121" i="36"/>
  <c r="AD121" i="36"/>
  <c r="AC121" i="36"/>
  <c r="AB121" i="36"/>
  <c r="AM120" i="36"/>
  <c r="AL120" i="36"/>
  <c r="AK120" i="36"/>
  <c r="AJ120" i="36"/>
  <c r="AI120" i="36"/>
  <c r="AH120" i="36"/>
  <c r="AG120" i="36"/>
  <c r="AF120" i="36"/>
  <c r="AE120" i="36"/>
  <c r="AD120" i="36"/>
  <c r="AC120" i="36"/>
  <c r="AB120" i="36"/>
  <c r="AL119" i="36"/>
  <c r="AK119" i="36"/>
  <c r="AJ119" i="36"/>
  <c r="AI119" i="36"/>
  <c r="AH119" i="36"/>
  <c r="AG119" i="36"/>
  <c r="AF119" i="36"/>
  <c r="AE119" i="36"/>
  <c r="AD119" i="36"/>
  <c r="AC119" i="36"/>
  <c r="AB119" i="36"/>
  <c r="AM118" i="36"/>
  <c r="AL118" i="36"/>
  <c r="AK118" i="36"/>
  <c r="AJ118" i="36"/>
  <c r="AI118" i="36"/>
  <c r="AH118" i="36"/>
  <c r="AG118" i="36"/>
  <c r="AF118" i="36"/>
  <c r="AE118" i="36"/>
  <c r="AD118" i="36"/>
  <c r="AC118" i="36"/>
  <c r="AB118" i="36"/>
  <c r="AM117" i="36"/>
  <c r="AL117" i="36"/>
  <c r="AK117" i="36"/>
  <c r="AJ117" i="36"/>
  <c r="AI117" i="36"/>
  <c r="AH117" i="36"/>
  <c r="AG117" i="36"/>
  <c r="AF117" i="36"/>
  <c r="AE117" i="36"/>
  <c r="AD117" i="36"/>
  <c r="AC117" i="36"/>
  <c r="AM82" i="36"/>
  <c r="AL82" i="36"/>
  <c r="AK82" i="36"/>
  <c r="AJ82" i="36"/>
  <c r="AI82" i="36"/>
  <c r="AH82" i="36"/>
  <c r="AG82" i="36"/>
  <c r="AF82" i="36"/>
  <c r="AD82" i="36"/>
  <c r="AC82" i="36"/>
  <c r="AB82" i="36"/>
  <c r="AM81" i="36"/>
  <c r="AL81" i="36"/>
  <c r="AK81" i="36"/>
  <c r="AJ81" i="36"/>
  <c r="AI81" i="36"/>
  <c r="AH81" i="36"/>
  <c r="AG81" i="36"/>
  <c r="AF81" i="36"/>
  <c r="AE81" i="36"/>
  <c r="AD81" i="36"/>
  <c r="AC81" i="36"/>
  <c r="AM80" i="36"/>
  <c r="AL80" i="36"/>
  <c r="AK80" i="36"/>
  <c r="AJ80" i="36"/>
  <c r="AI80" i="36"/>
  <c r="AH80" i="36"/>
  <c r="AG80" i="36"/>
  <c r="AF80" i="36"/>
  <c r="AE80" i="36"/>
  <c r="AD80" i="36"/>
  <c r="AC80" i="36"/>
  <c r="AB80" i="36"/>
  <c r="AM79" i="36"/>
  <c r="AL79" i="36"/>
  <c r="AK79" i="36"/>
  <c r="AJ79" i="36"/>
  <c r="AI79" i="36"/>
  <c r="AH79" i="36"/>
  <c r="AG79" i="36"/>
  <c r="AF79" i="36"/>
  <c r="AE79" i="36"/>
  <c r="AD79" i="36"/>
  <c r="AC79" i="36"/>
  <c r="AB79" i="36"/>
  <c r="AM78" i="36"/>
  <c r="AL78" i="36"/>
  <c r="AK78" i="36"/>
  <c r="AJ78" i="36"/>
  <c r="AI78" i="36"/>
  <c r="AH78" i="36"/>
  <c r="AG78" i="36"/>
  <c r="AF78" i="36"/>
  <c r="AE78" i="36"/>
  <c r="AD78" i="36"/>
  <c r="AC78" i="36"/>
  <c r="AB78" i="36"/>
  <c r="AM77" i="36"/>
  <c r="AL77" i="36"/>
  <c r="AK77" i="36"/>
  <c r="AJ77" i="36"/>
  <c r="AI77" i="36"/>
  <c r="AH77" i="36"/>
  <c r="AG77" i="36"/>
  <c r="AF77" i="36"/>
  <c r="AE77" i="36"/>
  <c r="AD77" i="36"/>
  <c r="AC77" i="36"/>
  <c r="AB77" i="36"/>
  <c r="AM76" i="36"/>
  <c r="AK76" i="36"/>
  <c r="AJ76" i="36"/>
  <c r="AI76" i="36"/>
  <c r="AH76" i="36"/>
  <c r="AG76" i="36"/>
  <c r="AF76" i="36"/>
  <c r="AE76" i="36"/>
  <c r="AD76" i="36"/>
  <c r="AC76" i="36"/>
  <c r="AB76" i="36"/>
  <c r="AM75" i="36"/>
  <c r="AL75" i="36"/>
  <c r="AK75" i="36"/>
  <c r="AJ75" i="36"/>
  <c r="AI75" i="36"/>
  <c r="AH75" i="36"/>
  <c r="AG75" i="36"/>
  <c r="AF75" i="36"/>
  <c r="AE75" i="36"/>
  <c r="AD75" i="36"/>
  <c r="AC75" i="36"/>
  <c r="AB75" i="36"/>
  <c r="AM74" i="36"/>
  <c r="AL74" i="36"/>
  <c r="AK74" i="36"/>
  <c r="AJ74" i="36"/>
  <c r="AI74" i="36"/>
  <c r="AH74" i="36"/>
  <c r="AG74" i="36"/>
  <c r="AF74" i="36"/>
  <c r="AE74" i="36"/>
  <c r="AD74" i="36"/>
  <c r="AC74" i="36"/>
  <c r="AB74" i="36"/>
  <c r="AM73" i="36"/>
  <c r="AL73" i="36"/>
  <c r="AJ73" i="36"/>
  <c r="AI73" i="36"/>
  <c r="AH73" i="36"/>
  <c r="AG73" i="36"/>
  <c r="AF73" i="36"/>
  <c r="AE73" i="36"/>
  <c r="AD73" i="36"/>
  <c r="AC73" i="36"/>
  <c r="AB73" i="36"/>
  <c r="AM72" i="36"/>
  <c r="AL72" i="36"/>
  <c r="AK72" i="36"/>
  <c r="AJ72" i="36"/>
  <c r="AI72" i="36"/>
  <c r="AH72" i="36"/>
  <c r="AG72" i="36"/>
  <c r="AF72" i="36"/>
  <c r="AE72" i="36"/>
  <c r="AD72" i="36"/>
  <c r="AC72" i="36"/>
  <c r="AB72" i="36"/>
  <c r="AM71" i="36"/>
  <c r="AL71" i="36"/>
  <c r="AK71" i="36"/>
  <c r="AJ71" i="36"/>
  <c r="AI71" i="36"/>
  <c r="AH71" i="36"/>
  <c r="AG71" i="36"/>
  <c r="AF71" i="36"/>
  <c r="AE71" i="36"/>
  <c r="AD71" i="36"/>
  <c r="AC71" i="36"/>
  <c r="AB71" i="36"/>
  <c r="AM70" i="36"/>
  <c r="AL70" i="36"/>
  <c r="AK70" i="36"/>
  <c r="AJ70" i="36"/>
  <c r="AI70" i="36"/>
  <c r="AH70" i="36"/>
  <c r="AF70" i="36"/>
  <c r="AE70" i="36"/>
  <c r="AD70" i="36"/>
  <c r="AC70" i="36"/>
  <c r="AB70" i="36"/>
  <c r="AM69" i="36"/>
  <c r="AL69" i="36"/>
  <c r="AK69" i="36"/>
  <c r="AJ69" i="36"/>
  <c r="AI69" i="36"/>
  <c r="AH69" i="36"/>
  <c r="AG69" i="36"/>
  <c r="AF69" i="36"/>
  <c r="AE69" i="36"/>
  <c r="AD69" i="36"/>
  <c r="AC69" i="36"/>
  <c r="AB69" i="36"/>
  <c r="AM68" i="36"/>
  <c r="AL68" i="36"/>
  <c r="AK68" i="36"/>
  <c r="AJ68" i="36"/>
  <c r="AI68" i="36"/>
  <c r="AH68" i="36"/>
  <c r="AG68" i="36"/>
  <c r="AF68" i="36"/>
  <c r="AE68" i="36"/>
  <c r="AD68" i="36"/>
  <c r="AC68" i="36"/>
  <c r="AB68" i="36"/>
  <c r="AM67" i="36"/>
  <c r="AL67" i="36"/>
  <c r="AK67" i="36"/>
  <c r="AJ67" i="36"/>
  <c r="AI67" i="36"/>
  <c r="AH67" i="36"/>
  <c r="AG67" i="36"/>
  <c r="AF67" i="36"/>
  <c r="AE67" i="36"/>
  <c r="AD67" i="36"/>
  <c r="AC67" i="36"/>
  <c r="AB67" i="36"/>
  <c r="AM66" i="36"/>
  <c r="AL66" i="36"/>
  <c r="AK66" i="36"/>
  <c r="AJ66" i="36"/>
  <c r="AI66" i="36"/>
  <c r="AH66" i="36"/>
  <c r="AG66" i="36"/>
  <c r="AF66" i="36"/>
  <c r="AE66" i="36"/>
  <c r="AD66" i="36"/>
  <c r="AC66" i="36"/>
  <c r="AB66" i="36"/>
  <c r="AM65" i="36"/>
  <c r="AL65" i="36"/>
  <c r="AK65" i="36"/>
  <c r="AI65" i="36"/>
  <c r="AH65" i="36"/>
  <c r="AG65" i="36"/>
  <c r="AF65" i="36"/>
  <c r="AE65" i="36"/>
  <c r="AD65" i="36"/>
  <c r="AC65" i="36"/>
  <c r="AB65" i="36"/>
  <c r="AM64" i="36"/>
  <c r="AL64" i="36"/>
  <c r="AK64" i="36"/>
  <c r="AJ64" i="36"/>
  <c r="AI64" i="36"/>
  <c r="AH64" i="36"/>
  <c r="AG64" i="36"/>
  <c r="AF64" i="36"/>
  <c r="AE64" i="36"/>
  <c r="AD64" i="36"/>
  <c r="AC64" i="36"/>
  <c r="AM63" i="36"/>
  <c r="AL63" i="36"/>
  <c r="AK63" i="36"/>
  <c r="AJ63" i="36"/>
  <c r="AI63" i="36"/>
  <c r="AH63" i="36"/>
  <c r="AG63" i="36"/>
  <c r="AF63" i="36"/>
  <c r="AE63" i="36"/>
  <c r="AD63" i="36"/>
  <c r="AC63" i="36"/>
  <c r="AB63" i="36"/>
  <c r="AM62" i="36"/>
  <c r="AL62" i="36"/>
  <c r="AK62" i="36"/>
  <c r="AJ62" i="36"/>
  <c r="AI62" i="36"/>
  <c r="AH62" i="36"/>
  <c r="AG62" i="36"/>
  <c r="AF62" i="36"/>
  <c r="AD62" i="36"/>
  <c r="AC62" i="36"/>
  <c r="AB62" i="36"/>
  <c r="AM61" i="36"/>
  <c r="AL61" i="36"/>
  <c r="AK61" i="36"/>
  <c r="AJ61" i="36"/>
  <c r="AI61" i="36"/>
  <c r="AG61" i="36"/>
  <c r="AF61" i="36"/>
  <c r="AE61" i="36"/>
  <c r="AD61" i="36"/>
  <c r="AC61" i="36"/>
  <c r="AB61" i="36"/>
  <c r="AM60" i="36"/>
  <c r="AL60" i="36"/>
  <c r="AK60" i="36"/>
  <c r="AJ60" i="36"/>
  <c r="AI60" i="36"/>
  <c r="AH60" i="36"/>
  <c r="AG60" i="36"/>
  <c r="AF60" i="36"/>
  <c r="AD60" i="36"/>
  <c r="AC60" i="36"/>
  <c r="AB60" i="36"/>
  <c r="AM59" i="36"/>
  <c r="AL59" i="36"/>
  <c r="AK59" i="36"/>
  <c r="AJ59" i="36"/>
  <c r="AI59" i="36"/>
  <c r="AH59" i="36"/>
  <c r="AG59" i="36"/>
  <c r="AF59" i="36"/>
  <c r="AE59" i="36"/>
  <c r="AD59" i="36"/>
  <c r="AC59" i="36"/>
  <c r="AB59" i="36"/>
  <c r="AM58" i="36"/>
  <c r="AL58" i="36"/>
  <c r="AK58" i="36"/>
  <c r="AJ58" i="36"/>
  <c r="AI58" i="36"/>
  <c r="AH58" i="36"/>
  <c r="AG58" i="36"/>
  <c r="AF58" i="36"/>
  <c r="AE58" i="36"/>
  <c r="AD58" i="36"/>
  <c r="AC58" i="36"/>
  <c r="AB58" i="36"/>
  <c r="AM57" i="36"/>
  <c r="AL57" i="36"/>
  <c r="AK57" i="36"/>
  <c r="AJ57" i="36"/>
  <c r="AI57" i="36"/>
  <c r="AH57" i="36"/>
  <c r="AG57" i="36"/>
  <c r="AF57" i="36"/>
  <c r="AE57" i="36"/>
  <c r="AD57" i="36"/>
  <c r="AC57" i="36"/>
  <c r="AB57" i="36"/>
  <c r="AM56" i="36"/>
  <c r="AL56" i="36"/>
  <c r="AK56" i="36"/>
  <c r="AJ56" i="36"/>
  <c r="AI56" i="36"/>
  <c r="AH56" i="36"/>
  <c r="AF56" i="36"/>
  <c r="AE56" i="36"/>
  <c r="AD56" i="36"/>
  <c r="AC56" i="36"/>
  <c r="AB56" i="36"/>
  <c r="AM55" i="36"/>
  <c r="AL55" i="36"/>
  <c r="AK55" i="36"/>
  <c r="AJ55" i="36"/>
  <c r="AI55" i="36"/>
  <c r="AG55" i="36"/>
  <c r="AF55" i="36"/>
  <c r="AE55" i="36"/>
  <c r="AD55" i="36"/>
  <c r="AC55" i="36"/>
  <c r="AB55" i="36"/>
  <c r="AM54" i="36"/>
  <c r="AL54" i="36"/>
  <c r="AK54" i="36"/>
  <c r="AJ54" i="36"/>
  <c r="AI54" i="36"/>
  <c r="AH54" i="36"/>
  <c r="AG54" i="36"/>
  <c r="AF54" i="36"/>
  <c r="AE54" i="36"/>
  <c r="AD54" i="36"/>
  <c r="AC54" i="36"/>
  <c r="AB54" i="36"/>
  <c r="AM53" i="36"/>
  <c r="AL53" i="36"/>
  <c r="AK53" i="36"/>
  <c r="AI53" i="36"/>
  <c r="AH53" i="36"/>
  <c r="AG53" i="36"/>
  <c r="AF53" i="36"/>
  <c r="AE53" i="36"/>
  <c r="AD53" i="36"/>
  <c r="AC53" i="36"/>
  <c r="AB53" i="36"/>
  <c r="AL52" i="36"/>
  <c r="AK52" i="36"/>
  <c r="AJ52" i="36"/>
  <c r="AI52" i="36"/>
  <c r="AH52" i="36"/>
  <c r="AG52" i="36"/>
  <c r="AF52" i="36"/>
  <c r="AE52" i="36"/>
  <c r="AD52" i="36"/>
  <c r="AC52" i="36"/>
  <c r="AB52" i="36"/>
  <c r="AM41" i="36"/>
  <c r="AL41" i="36"/>
  <c r="AJ41" i="36"/>
  <c r="AI41" i="36"/>
  <c r="AH41" i="36"/>
  <c r="AG41" i="36"/>
  <c r="AF41" i="36"/>
  <c r="AE41" i="36"/>
  <c r="AD41" i="36"/>
  <c r="AC41" i="36"/>
  <c r="AB41" i="36"/>
  <c r="AM40" i="36"/>
  <c r="AL40" i="36"/>
  <c r="AK40" i="36"/>
  <c r="AJ40" i="36"/>
  <c r="AI40" i="36"/>
  <c r="AH40" i="36"/>
  <c r="AG40" i="36"/>
  <c r="AF40" i="36"/>
  <c r="AE40" i="36"/>
  <c r="AD40" i="36"/>
  <c r="AC40" i="36"/>
  <c r="AB40" i="36"/>
  <c r="AM39" i="36"/>
  <c r="AL39" i="36"/>
  <c r="AK39" i="36"/>
  <c r="AJ39" i="36"/>
  <c r="AI39" i="36"/>
  <c r="AH39" i="36"/>
  <c r="AG39" i="36"/>
  <c r="AF39" i="36"/>
  <c r="AE39" i="36"/>
  <c r="AD39" i="36"/>
  <c r="AC39" i="36"/>
  <c r="AB39" i="36"/>
  <c r="AM38" i="36"/>
  <c r="AL38" i="36"/>
  <c r="AK38" i="36"/>
  <c r="AJ38" i="36"/>
  <c r="AI38" i="36"/>
  <c r="AH38" i="36"/>
  <c r="AG38" i="36"/>
  <c r="AF38" i="36"/>
  <c r="AE38" i="36"/>
  <c r="AD38" i="36"/>
  <c r="AC38" i="36"/>
  <c r="AB38" i="36"/>
  <c r="AM37" i="36"/>
  <c r="AL37" i="36"/>
  <c r="AK37" i="36"/>
  <c r="AJ37" i="36"/>
  <c r="AI37" i="36"/>
  <c r="AH37" i="36"/>
  <c r="AG37" i="36"/>
  <c r="AF37" i="36"/>
  <c r="AE37" i="36"/>
  <c r="AD37" i="36"/>
  <c r="AC37" i="36"/>
  <c r="AB37" i="36"/>
  <c r="AM36" i="36"/>
  <c r="AL36" i="36"/>
  <c r="AK36" i="36"/>
  <c r="AJ36" i="36"/>
  <c r="AI36" i="36"/>
  <c r="AH36" i="36"/>
  <c r="AG36" i="36"/>
  <c r="AF36" i="36"/>
  <c r="AE36" i="36"/>
  <c r="AD36" i="36"/>
  <c r="AC36" i="36"/>
  <c r="AB36" i="36"/>
  <c r="AM35" i="36"/>
  <c r="AL35" i="36"/>
  <c r="AK35" i="36"/>
  <c r="AJ35" i="36"/>
  <c r="AI35" i="36"/>
  <c r="AH35" i="36"/>
  <c r="AG35" i="36"/>
  <c r="AF35" i="36"/>
  <c r="AE35" i="36"/>
  <c r="AD35" i="36"/>
  <c r="AC35" i="36"/>
  <c r="AB35" i="36"/>
  <c r="AM34" i="36"/>
  <c r="AL34" i="36"/>
  <c r="AK34" i="36"/>
  <c r="AJ34" i="36"/>
  <c r="AI34" i="36"/>
  <c r="AH34" i="36"/>
  <c r="AG34" i="36"/>
  <c r="AF34" i="36"/>
  <c r="AE34" i="36"/>
  <c r="AD34" i="36"/>
  <c r="AC34" i="36"/>
  <c r="AB34" i="36"/>
  <c r="AM33" i="36"/>
  <c r="AL33" i="36"/>
  <c r="AK33" i="36"/>
  <c r="AJ33" i="36"/>
  <c r="AI33" i="36"/>
  <c r="AH33" i="36"/>
  <c r="AG33" i="36"/>
  <c r="AF33" i="36"/>
  <c r="AE33" i="36"/>
  <c r="AD33" i="36"/>
  <c r="AC33" i="36"/>
  <c r="AB33" i="36"/>
  <c r="AM32" i="36"/>
  <c r="AL32" i="36"/>
  <c r="AK32" i="36"/>
  <c r="AJ32" i="36"/>
  <c r="AI32" i="36"/>
  <c r="AH32" i="36"/>
  <c r="AG32" i="36"/>
  <c r="AF32" i="36"/>
  <c r="AE32" i="36"/>
  <c r="AD32" i="36"/>
  <c r="AC32" i="36"/>
  <c r="AB32" i="36"/>
  <c r="AM31" i="36"/>
  <c r="AL31" i="36"/>
  <c r="AK31" i="36"/>
  <c r="AJ31" i="36"/>
  <c r="AI31" i="36"/>
  <c r="AH31" i="36"/>
  <c r="AG31" i="36"/>
  <c r="AF31" i="36"/>
  <c r="AE31" i="36"/>
  <c r="AD31" i="36"/>
  <c r="AC31" i="36"/>
  <c r="AB31" i="36"/>
  <c r="AM30" i="36"/>
  <c r="AL30" i="36"/>
  <c r="AK30" i="36"/>
  <c r="AJ30" i="36"/>
  <c r="AI30" i="36"/>
  <c r="AH30" i="36"/>
  <c r="AG30" i="36"/>
  <c r="AF30" i="36"/>
  <c r="AE30" i="36"/>
  <c r="AD30" i="36"/>
  <c r="AC30" i="36"/>
  <c r="AB30" i="36"/>
  <c r="AM29" i="36"/>
  <c r="AL29" i="36"/>
  <c r="AK29" i="36"/>
  <c r="AJ29" i="36"/>
  <c r="AH29" i="36"/>
  <c r="AG29" i="36"/>
  <c r="AF29" i="36"/>
  <c r="AE29" i="36"/>
  <c r="AD29" i="36"/>
  <c r="AC29" i="36"/>
  <c r="AB29" i="36"/>
  <c r="AM28" i="36"/>
  <c r="AK28" i="36"/>
  <c r="AJ28" i="36"/>
  <c r="AI28" i="36"/>
  <c r="AH28" i="36"/>
  <c r="AG28" i="36"/>
  <c r="AF28" i="36"/>
  <c r="AE28" i="36"/>
  <c r="AD28" i="36"/>
  <c r="AC28" i="36"/>
  <c r="AB28" i="36"/>
  <c r="AM27" i="36"/>
  <c r="AL27" i="36"/>
  <c r="AK27" i="36"/>
  <c r="AJ27" i="36"/>
  <c r="AI27" i="36"/>
  <c r="AH27" i="36"/>
  <c r="AG27" i="36"/>
  <c r="AF27" i="36"/>
  <c r="AE27" i="36"/>
  <c r="AD27" i="36"/>
  <c r="AC27" i="36"/>
  <c r="AB27" i="36"/>
  <c r="AM26" i="36"/>
  <c r="AL26" i="36"/>
  <c r="AK26" i="36"/>
  <c r="AJ26" i="36"/>
  <c r="AI26" i="36"/>
  <c r="AH26" i="36"/>
  <c r="AG26" i="36"/>
  <c r="AF26" i="36"/>
  <c r="AE26" i="36"/>
  <c r="AD26" i="36"/>
  <c r="AC26" i="36"/>
  <c r="AB26" i="36"/>
  <c r="AM25" i="36"/>
  <c r="AL25" i="36"/>
  <c r="AK25" i="36"/>
  <c r="AJ25" i="36"/>
  <c r="AI25" i="36"/>
  <c r="AH25" i="36"/>
  <c r="AG25" i="36"/>
  <c r="AF25" i="36"/>
  <c r="AE25" i="36"/>
  <c r="AD25" i="36"/>
  <c r="AC25" i="36"/>
  <c r="AB25" i="36"/>
  <c r="AM24" i="36"/>
  <c r="AL24" i="36"/>
  <c r="AK24" i="36"/>
  <c r="AJ24" i="36"/>
  <c r="AI24" i="36"/>
  <c r="AG24" i="36"/>
  <c r="AF24" i="36"/>
  <c r="AE24" i="36"/>
  <c r="AD24" i="36"/>
  <c r="AC24" i="36"/>
  <c r="AB24" i="36"/>
  <c r="AM23" i="36"/>
  <c r="AL23" i="36"/>
  <c r="AK23" i="36"/>
  <c r="AJ23" i="36"/>
  <c r="AI23" i="36"/>
  <c r="AH23" i="36"/>
  <c r="AG23" i="36"/>
  <c r="AF23" i="36"/>
  <c r="AE23" i="36"/>
  <c r="AD23" i="36"/>
  <c r="AC23" i="36"/>
  <c r="AB23" i="36"/>
  <c r="AM22" i="36"/>
  <c r="AL22" i="36"/>
  <c r="AK22" i="36"/>
  <c r="AJ22" i="36"/>
  <c r="AI22" i="36"/>
  <c r="AH22" i="36"/>
  <c r="AF22" i="36"/>
  <c r="AE22" i="36"/>
  <c r="AD22" i="36"/>
  <c r="AC22" i="36"/>
  <c r="AB22" i="36"/>
  <c r="AM21" i="36"/>
  <c r="AL21" i="36"/>
  <c r="AK21" i="36"/>
  <c r="AJ21" i="36"/>
  <c r="AI21" i="36"/>
  <c r="AH21" i="36"/>
  <c r="AG21" i="36"/>
  <c r="AE21" i="36"/>
  <c r="AD21" i="36"/>
  <c r="AC21" i="36"/>
  <c r="AB21" i="36"/>
  <c r="AM20" i="36"/>
  <c r="AL20" i="36"/>
  <c r="AK20" i="36"/>
  <c r="AJ20" i="36"/>
  <c r="AI20" i="36"/>
  <c r="AH20" i="36"/>
  <c r="AG20" i="36"/>
  <c r="AF20" i="36"/>
  <c r="AE20" i="36"/>
  <c r="AD20" i="36"/>
  <c r="AC20" i="36"/>
  <c r="AB20" i="36"/>
  <c r="AM19" i="36"/>
  <c r="AL19" i="36"/>
  <c r="AK19" i="36"/>
  <c r="AJ19" i="36"/>
  <c r="AI19" i="36"/>
  <c r="AH19" i="36"/>
  <c r="AG19" i="36"/>
  <c r="AF19" i="36"/>
  <c r="AE19" i="36"/>
  <c r="AD19" i="36"/>
  <c r="AC19" i="36"/>
  <c r="AB19" i="36"/>
  <c r="AM18" i="36"/>
  <c r="AL18" i="36"/>
  <c r="AK18" i="36"/>
  <c r="AJ18" i="36"/>
  <c r="AI18" i="36"/>
  <c r="AH18" i="36"/>
  <c r="AG18" i="36"/>
  <c r="AF18" i="36"/>
  <c r="AE18" i="36"/>
  <c r="AD18" i="36"/>
  <c r="AC18" i="36"/>
  <c r="AB18" i="36"/>
  <c r="AM17" i="36"/>
  <c r="AL17" i="36"/>
  <c r="AK17" i="36"/>
  <c r="AJ17" i="36"/>
  <c r="AI17" i="36"/>
  <c r="AH17" i="36"/>
  <c r="AG17" i="36"/>
  <c r="AF17" i="36"/>
  <c r="AE17" i="36"/>
  <c r="AD17" i="36"/>
  <c r="AC17" i="36"/>
  <c r="AB17" i="36"/>
  <c r="AM16" i="36"/>
  <c r="AL16" i="36"/>
  <c r="AK16" i="36"/>
  <c r="AJ16" i="36"/>
  <c r="AI16" i="36"/>
  <c r="AH16" i="36"/>
  <c r="AG16" i="36"/>
  <c r="AF16" i="36"/>
  <c r="AD16" i="36"/>
  <c r="AC16" i="36"/>
  <c r="AB16" i="36"/>
  <c r="AM15" i="36"/>
  <c r="AL15" i="36"/>
  <c r="AK15" i="36"/>
  <c r="AJ15" i="36"/>
  <c r="AI15" i="36"/>
  <c r="AH15" i="36"/>
  <c r="AG15" i="36"/>
  <c r="AF15" i="36"/>
  <c r="AE15" i="36"/>
  <c r="AD15" i="36"/>
  <c r="AC15" i="36"/>
  <c r="AB15" i="36"/>
  <c r="AM14" i="36"/>
  <c r="AL14" i="36"/>
  <c r="AK14" i="36"/>
  <c r="AJ14" i="36"/>
  <c r="AI14" i="36"/>
  <c r="AH14" i="36"/>
  <c r="AG14" i="36"/>
  <c r="AF14" i="36"/>
  <c r="AE14" i="36"/>
  <c r="AC14" i="36"/>
  <c r="AB14" i="36"/>
  <c r="AM13" i="36"/>
  <c r="AL13" i="36"/>
  <c r="AK13" i="36"/>
  <c r="AJ13" i="36"/>
  <c r="AI13" i="36"/>
  <c r="AH13" i="36"/>
  <c r="AG13" i="36"/>
  <c r="AF13" i="36"/>
  <c r="AE13" i="36"/>
  <c r="AD13" i="36"/>
  <c r="AB13" i="36"/>
  <c r="AM12" i="36"/>
  <c r="AL12" i="36"/>
  <c r="AK12" i="36"/>
  <c r="AJ12" i="36"/>
  <c r="AI12" i="36"/>
  <c r="AH12" i="36"/>
  <c r="AG12" i="36"/>
  <c r="AF12" i="36"/>
  <c r="AE12" i="36"/>
  <c r="AD12" i="36"/>
  <c r="AC12" i="36"/>
  <c r="AB12" i="36"/>
  <c r="AM11" i="36"/>
  <c r="AL11" i="36"/>
  <c r="AK11" i="36"/>
  <c r="AJ11" i="36"/>
  <c r="AI11" i="36"/>
  <c r="AH11" i="36"/>
  <c r="AG11" i="36"/>
  <c r="AF11" i="36"/>
  <c r="AE11" i="36"/>
  <c r="AD11" i="36"/>
  <c r="AC11" i="36"/>
  <c r="AB11" i="36"/>
  <c r="AM10" i="36"/>
  <c r="AL10" i="36"/>
  <c r="AK10" i="36"/>
  <c r="AJ10" i="36"/>
  <c r="AI10" i="36"/>
  <c r="AH10" i="36"/>
  <c r="AG10" i="36"/>
  <c r="AF10" i="36"/>
  <c r="AE10" i="36"/>
  <c r="AD10" i="36"/>
  <c r="AC10" i="36"/>
  <c r="AB10" i="36"/>
  <c r="AM9" i="36"/>
  <c r="AL9" i="36"/>
  <c r="AK9" i="36"/>
  <c r="AJ9" i="36"/>
  <c r="AI9" i="36"/>
  <c r="AH9" i="36"/>
  <c r="AG9" i="36"/>
  <c r="AF9" i="36"/>
  <c r="AE9" i="36"/>
  <c r="AD9" i="36"/>
  <c r="AC9" i="36"/>
  <c r="AB9" i="36"/>
  <c r="AM8" i="36"/>
  <c r="AL8" i="36"/>
  <c r="AK8" i="36"/>
  <c r="AJ8" i="36"/>
  <c r="AI8" i="36"/>
  <c r="AH8" i="36"/>
  <c r="AG8" i="36"/>
  <c r="AF8" i="36"/>
  <c r="AE8" i="36"/>
  <c r="AD8" i="36"/>
  <c r="AC8" i="36"/>
  <c r="AM7" i="36"/>
  <c r="AL7" i="36"/>
  <c r="AK7" i="36"/>
  <c r="AJ7" i="36"/>
  <c r="AI7" i="36"/>
  <c r="AH7" i="36"/>
  <c r="AG7" i="36"/>
  <c r="AF7" i="36"/>
  <c r="AE7" i="36"/>
  <c r="AD7" i="36"/>
  <c r="AC7" i="36"/>
  <c r="AB7" i="36"/>
  <c r="AL6" i="36"/>
  <c r="AK6" i="36"/>
  <c r="AJ6" i="36"/>
  <c r="AI6" i="36"/>
  <c r="AH6" i="36"/>
  <c r="AG6" i="36"/>
  <c r="AF6" i="36"/>
  <c r="AE6" i="36"/>
  <c r="AD6" i="36"/>
  <c r="AC6" i="36"/>
  <c r="AB6" i="36"/>
  <c r="AB303" i="36"/>
  <c r="AD270" i="36"/>
  <c r="AD200" i="36"/>
  <c r="AM166" i="36"/>
  <c r="AM139" i="36"/>
  <c r="AE82" i="36"/>
  <c r="AB159" i="36" l="1"/>
  <c r="AB194" i="36"/>
  <c r="AC199" i="36"/>
  <c r="AE203" i="36"/>
  <c r="AF208" i="36"/>
  <c r="AC164" i="36"/>
  <c r="AG211" i="36"/>
  <c r="AB138" i="36"/>
  <c r="AD165" i="36"/>
  <c r="AE168" i="36"/>
  <c r="AF173" i="36"/>
  <c r="AE141" i="36"/>
  <c r="AG176" i="36"/>
  <c r="AE273" i="36"/>
  <c r="AH178" i="36"/>
  <c r="AF278" i="36"/>
  <c r="AB81" i="36"/>
  <c r="AG146" i="36"/>
  <c r="AI181" i="36"/>
  <c r="AG281" i="36"/>
  <c r="AH213" i="36"/>
  <c r="AH283" i="36"/>
  <c r="AI216" i="36"/>
  <c r="AI286" i="36"/>
  <c r="AE305" i="36"/>
  <c r="AL151" i="36"/>
  <c r="AL185" i="36"/>
  <c r="AL220" i="36"/>
  <c r="AL290" i="36"/>
  <c r="AM201" i="36"/>
  <c r="AM271" i="36"/>
  <c r="AB264" i="36"/>
  <c r="AC269" i="36"/>
  <c r="G12" i="26"/>
  <c r="AB64" i="36" l="1"/>
  <c r="AL76" i="36"/>
  <c r="AG70" i="36"/>
  <c r="AE62" i="36"/>
  <c r="AK73" i="36"/>
  <c r="AJ65" i="36"/>
  <c r="AK41" i="36"/>
  <c r="AK308" i="36" s="1"/>
  <c r="AH55" i="36" l="1"/>
  <c r="AG56" i="36"/>
  <c r="AH61" i="36"/>
  <c r="AJ53" i="36"/>
  <c r="AJ308" i="36" s="1"/>
  <c r="AE60" i="36"/>
  <c r="AB117" i="36"/>
  <c r="AM119" i="36"/>
  <c r="AG125" i="36"/>
  <c r="AE121" i="36"/>
  <c r="AC13" i="36"/>
  <c r="AC308" i="36" s="1"/>
  <c r="AB8" i="36"/>
  <c r="AM6" i="36"/>
  <c r="AL28" i="36"/>
  <c r="AL308" i="36" s="1"/>
  <c r="AG22" i="36"/>
  <c r="AF21" i="36"/>
  <c r="AF308" i="36" s="1"/>
  <c r="AH24" i="36"/>
  <c r="AE16" i="36"/>
  <c r="AI29" i="36"/>
  <c r="AI308" i="36" s="1"/>
  <c r="AD14" i="36"/>
  <c r="AD308" i="36" s="1"/>
  <c r="AB308" i="36" l="1"/>
  <c r="AM308" i="36"/>
  <c r="AE308" i="36"/>
  <c r="AH308" i="36"/>
  <c r="AG308" i="36"/>
  <c r="H14" i="35" l="1"/>
  <c r="F660" i="27" s="1"/>
  <c r="E77" i="73" l="1"/>
  <c r="E76" i="73"/>
  <c r="E75" i="73"/>
  <c r="E74" i="73"/>
  <c r="E73" i="73"/>
  <c r="D67" i="73"/>
  <c r="E81" i="73" s="1"/>
  <c r="E53" i="73"/>
  <c r="E47" i="73"/>
  <c r="E46" i="73"/>
  <c r="E45" i="73"/>
  <c r="E44" i="73"/>
  <c r="E43" i="73"/>
  <c r="D37" i="73"/>
  <c r="E52" i="73" s="1"/>
  <c r="E23" i="73"/>
  <c r="E22" i="73"/>
  <c r="E21" i="73"/>
  <c r="D19" i="73"/>
  <c r="E19" i="73" s="1"/>
  <c r="E16" i="73"/>
  <c r="E15" i="73"/>
  <c r="E14" i="73"/>
  <c r="E13" i="73"/>
  <c r="E12" i="73"/>
  <c r="F654" i="27"/>
  <c r="F631" i="27"/>
  <c r="F629" i="27"/>
  <c r="F692" i="27"/>
  <c r="F636" i="27"/>
  <c r="F635" i="27"/>
  <c r="F659" i="27"/>
  <c r="F646" i="27"/>
  <c r="F644" i="27"/>
  <c r="F643" i="27"/>
  <c r="F638" i="27"/>
  <c r="G649" i="27"/>
  <c r="E51" i="73" l="1"/>
  <c r="E82" i="73"/>
  <c r="E83" i="73"/>
  <c r="G13" i="26" l="1"/>
  <c r="H135" i="35" l="1"/>
  <c r="O304" i="36" l="1"/>
  <c r="P282" i="36"/>
  <c r="S234" i="36"/>
  <c r="P204" i="36"/>
  <c r="Q186" i="36"/>
  <c r="S146" i="36"/>
  <c r="S145" i="36"/>
  <c r="V81" i="36"/>
  <c r="P77" i="36"/>
  <c r="Q69" i="36"/>
  <c r="O82" i="36"/>
  <c r="P82" i="36"/>
  <c r="Q82" i="36"/>
  <c r="S82" i="36"/>
  <c r="T82" i="36"/>
  <c r="U82" i="36"/>
  <c r="V82" i="36"/>
  <c r="W82" i="36"/>
  <c r="X82" i="36"/>
  <c r="Y82" i="36"/>
  <c r="Z82" i="36"/>
  <c r="S81" i="36"/>
  <c r="T81" i="36"/>
  <c r="U81" i="36"/>
  <c r="W81" i="36"/>
  <c r="X81" i="36"/>
  <c r="Y81" i="36"/>
  <c r="Z81" i="36"/>
  <c r="P81" i="36"/>
  <c r="Q81" i="36"/>
  <c r="R81" i="36"/>
  <c r="O80" i="36"/>
  <c r="I82" i="36"/>
  <c r="L82" i="36" s="1"/>
  <c r="R82" i="36" l="1"/>
  <c r="O81" i="36"/>
  <c r="I81" i="36"/>
  <c r="L81" i="36" s="1"/>
  <c r="G715" i="27" l="1"/>
  <c r="F639" i="27"/>
  <c r="G653" i="27"/>
  <c r="F640" i="27"/>
  <c r="F641" i="27"/>
  <c r="F697" i="27"/>
  <c r="G668" i="27"/>
  <c r="G641" i="27"/>
  <c r="G640" i="27"/>
  <c r="G639" i="27"/>
  <c r="G638" i="27"/>
  <c r="G632" i="27"/>
  <c r="F632" i="27"/>
  <c r="F694" i="27"/>
  <c r="G694" i="27"/>
  <c r="G645" i="27"/>
  <c r="F645" i="27"/>
  <c r="G629" i="27"/>
  <c r="G628" i="27"/>
  <c r="G630" i="27"/>
  <c r="G631" i="27"/>
  <c r="G634" i="27"/>
  <c r="G635" i="27"/>
  <c r="G636" i="27"/>
  <c r="G637" i="27"/>
  <c r="G643" i="27"/>
  <c r="G633" i="27"/>
  <c r="O262" i="36"/>
  <c r="P262" i="36"/>
  <c r="Q262" i="36"/>
  <c r="R262" i="36"/>
  <c r="S262" i="36"/>
  <c r="T262" i="36"/>
  <c r="U262" i="36"/>
  <c r="V262" i="36"/>
  <c r="W262" i="36"/>
  <c r="X262" i="36"/>
  <c r="Y262" i="36"/>
  <c r="Z262" i="36"/>
  <c r="O227" i="36"/>
  <c r="P227" i="36"/>
  <c r="Q227" i="36"/>
  <c r="R227" i="36"/>
  <c r="S227" i="36"/>
  <c r="T227" i="36"/>
  <c r="U227" i="36"/>
  <c r="V227" i="36"/>
  <c r="W227" i="36"/>
  <c r="X227" i="36"/>
  <c r="Y227" i="36"/>
  <c r="Z227" i="36"/>
  <c r="O192" i="36"/>
  <c r="P192" i="36"/>
  <c r="Q192" i="36"/>
  <c r="R192" i="36"/>
  <c r="S192" i="36"/>
  <c r="T192" i="36"/>
  <c r="U192" i="36"/>
  <c r="V192" i="36"/>
  <c r="W192" i="36"/>
  <c r="X192" i="36"/>
  <c r="Y192" i="36"/>
  <c r="Z192" i="36"/>
  <c r="O157" i="36"/>
  <c r="P157" i="36"/>
  <c r="Q157" i="36"/>
  <c r="R157" i="36"/>
  <c r="S157" i="36"/>
  <c r="T157" i="36"/>
  <c r="U157" i="36"/>
  <c r="V157" i="36"/>
  <c r="W157" i="36"/>
  <c r="X157" i="36"/>
  <c r="Y157" i="36"/>
  <c r="Z157" i="36"/>
  <c r="O137" i="36"/>
  <c r="P137" i="36"/>
  <c r="Q137" i="36"/>
  <c r="R137" i="36"/>
  <c r="S137" i="36"/>
  <c r="T137" i="36"/>
  <c r="U137" i="36"/>
  <c r="V137" i="36"/>
  <c r="W137" i="36"/>
  <c r="X137" i="36"/>
  <c r="Y137" i="36"/>
  <c r="Z137" i="36"/>
  <c r="O6" i="36"/>
  <c r="P6" i="36"/>
  <c r="Q6" i="36"/>
  <c r="R6" i="36"/>
  <c r="S6" i="36"/>
  <c r="T6" i="36"/>
  <c r="U6" i="36"/>
  <c r="V6" i="36"/>
  <c r="W6" i="36"/>
  <c r="X6" i="36"/>
  <c r="Y6" i="36"/>
  <c r="Y304" i="36"/>
  <c r="Y305" i="36"/>
  <c r="Y303" i="36"/>
  <c r="O7" i="36"/>
  <c r="P7" i="36"/>
  <c r="Q7" i="36"/>
  <c r="R7" i="36"/>
  <c r="S7" i="36"/>
  <c r="T7" i="36"/>
  <c r="U7" i="36"/>
  <c r="V7" i="36"/>
  <c r="W7" i="36"/>
  <c r="X7" i="36"/>
  <c r="Y7" i="36"/>
  <c r="Z7" i="36"/>
  <c r="P8" i="36"/>
  <c r="Q8" i="36"/>
  <c r="R8" i="36"/>
  <c r="S8" i="36"/>
  <c r="T8" i="36"/>
  <c r="U8" i="36"/>
  <c r="V8" i="36"/>
  <c r="W8" i="36"/>
  <c r="X8" i="36"/>
  <c r="Y8" i="36"/>
  <c r="Z8" i="36"/>
  <c r="O9" i="36"/>
  <c r="P9" i="36"/>
  <c r="Q9" i="36"/>
  <c r="R9" i="36"/>
  <c r="S9" i="36"/>
  <c r="T9" i="36"/>
  <c r="U9" i="36"/>
  <c r="V9" i="36"/>
  <c r="W9" i="36"/>
  <c r="X9" i="36"/>
  <c r="Y9" i="36"/>
  <c r="Z9" i="36"/>
  <c r="O10" i="36"/>
  <c r="P10" i="36"/>
  <c r="Q10" i="36"/>
  <c r="R10" i="36"/>
  <c r="S10" i="36"/>
  <c r="T10" i="36"/>
  <c r="U10" i="36"/>
  <c r="V10" i="36"/>
  <c r="W10" i="36"/>
  <c r="X10" i="36"/>
  <c r="Y10" i="36"/>
  <c r="Z10" i="36"/>
  <c r="O11" i="36"/>
  <c r="P11" i="36"/>
  <c r="Q11" i="36"/>
  <c r="R11" i="36"/>
  <c r="S11" i="36"/>
  <c r="T11" i="36"/>
  <c r="U11" i="36"/>
  <c r="V11" i="36"/>
  <c r="W11" i="36"/>
  <c r="X11" i="36"/>
  <c r="Y11" i="36"/>
  <c r="Z11" i="36"/>
  <c r="O12" i="36"/>
  <c r="P12" i="36"/>
  <c r="Q12" i="36"/>
  <c r="R12" i="36"/>
  <c r="S12" i="36"/>
  <c r="T12" i="36"/>
  <c r="U12" i="36"/>
  <c r="V12" i="36"/>
  <c r="W12" i="36"/>
  <c r="X12" i="36"/>
  <c r="Y12" i="36"/>
  <c r="Z12" i="36"/>
  <c r="O13" i="36"/>
  <c r="Q13" i="36"/>
  <c r="R13" i="36"/>
  <c r="S13" i="36"/>
  <c r="T13" i="36"/>
  <c r="U13" i="36"/>
  <c r="V13" i="36"/>
  <c r="W13" i="36"/>
  <c r="X13" i="36"/>
  <c r="Y13" i="36"/>
  <c r="Z13" i="36"/>
  <c r="O14" i="36"/>
  <c r="P14" i="36"/>
  <c r="R14" i="36"/>
  <c r="S14" i="36"/>
  <c r="T14" i="36"/>
  <c r="U14" i="36"/>
  <c r="V14" i="36"/>
  <c r="W14" i="36"/>
  <c r="X14" i="36"/>
  <c r="Y14" i="36"/>
  <c r="Z14" i="36"/>
  <c r="O15" i="36"/>
  <c r="P15" i="36"/>
  <c r="Q15" i="36"/>
  <c r="R15" i="36"/>
  <c r="S15" i="36"/>
  <c r="T15" i="36"/>
  <c r="U15" i="36"/>
  <c r="V15" i="36"/>
  <c r="W15" i="36"/>
  <c r="X15" i="36"/>
  <c r="Y15" i="36"/>
  <c r="Z15" i="36"/>
  <c r="O16" i="36"/>
  <c r="P16" i="36"/>
  <c r="Q16" i="36"/>
  <c r="S16" i="36"/>
  <c r="T16" i="36"/>
  <c r="U16" i="36"/>
  <c r="V16" i="36"/>
  <c r="W16" i="36"/>
  <c r="X16" i="36"/>
  <c r="Y16" i="36"/>
  <c r="Z16" i="36"/>
  <c r="O17" i="36"/>
  <c r="P17" i="36"/>
  <c r="Q17" i="36"/>
  <c r="R17" i="36"/>
  <c r="S17" i="36"/>
  <c r="T17" i="36"/>
  <c r="U17" i="36"/>
  <c r="V17" i="36"/>
  <c r="W17" i="36"/>
  <c r="X17" i="36"/>
  <c r="Y17" i="36"/>
  <c r="Z17" i="36"/>
  <c r="O18" i="36"/>
  <c r="P18" i="36"/>
  <c r="Q18" i="36"/>
  <c r="R18" i="36"/>
  <c r="S18" i="36"/>
  <c r="T18" i="36"/>
  <c r="U18" i="36"/>
  <c r="V18" i="36"/>
  <c r="W18" i="36"/>
  <c r="X18" i="36"/>
  <c r="Y18" i="36"/>
  <c r="Z18" i="36"/>
  <c r="O19" i="36"/>
  <c r="P19" i="36"/>
  <c r="Q19" i="36"/>
  <c r="R19" i="36"/>
  <c r="S19" i="36"/>
  <c r="T19" i="36"/>
  <c r="U19" i="36"/>
  <c r="V19" i="36"/>
  <c r="W19" i="36"/>
  <c r="X19" i="36"/>
  <c r="Y19" i="36"/>
  <c r="Z19" i="36"/>
  <c r="O20" i="36"/>
  <c r="P20" i="36"/>
  <c r="Q20" i="36"/>
  <c r="R20" i="36"/>
  <c r="S20" i="36"/>
  <c r="T20" i="36"/>
  <c r="U20" i="36"/>
  <c r="V20" i="36"/>
  <c r="W20" i="36"/>
  <c r="X20" i="36"/>
  <c r="Y20" i="36"/>
  <c r="Z20" i="36"/>
  <c r="O21" i="36"/>
  <c r="P21" i="36"/>
  <c r="Q21" i="36"/>
  <c r="R21" i="36"/>
  <c r="T21" i="36"/>
  <c r="U21" i="36"/>
  <c r="V21" i="36"/>
  <c r="W21" i="36"/>
  <c r="X21" i="36"/>
  <c r="Y21" i="36"/>
  <c r="Z21" i="36"/>
  <c r="O22" i="36"/>
  <c r="P22" i="36"/>
  <c r="Q22" i="36"/>
  <c r="R22" i="36"/>
  <c r="S22" i="36"/>
  <c r="U22" i="36"/>
  <c r="V22" i="36"/>
  <c r="W22" i="36"/>
  <c r="X22" i="36"/>
  <c r="Y22" i="36"/>
  <c r="Z22" i="36"/>
  <c r="O23" i="36"/>
  <c r="P23" i="36"/>
  <c r="Q23" i="36"/>
  <c r="R23" i="36"/>
  <c r="S23" i="36"/>
  <c r="T23" i="36"/>
  <c r="U23" i="36"/>
  <c r="V23" i="36"/>
  <c r="W23" i="36"/>
  <c r="X23" i="36"/>
  <c r="Y23" i="36"/>
  <c r="Z23" i="36"/>
  <c r="O24" i="36"/>
  <c r="P24" i="36"/>
  <c r="Q24" i="36"/>
  <c r="R24" i="36"/>
  <c r="S24" i="36"/>
  <c r="T24" i="36"/>
  <c r="V24" i="36"/>
  <c r="W24" i="36"/>
  <c r="X24" i="36"/>
  <c r="Y24" i="36"/>
  <c r="Z24" i="36"/>
  <c r="O25" i="36"/>
  <c r="P25" i="36"/>
  <c r="Q25" i="36"/>
  <c r="R25" i="36"/>
  <c r="S25" i="36"/>
  <c r="T25" i="36"/>
  <c r="U25" i="36"/>
  <c r="V25" i="36"/>
  <c r="W25" i="36"/>
  <c r="X25" i="36"/>
  <c r="Y25" i="36"/>
  <c r="Z25" i="36"/>
  <c r="O26" i="36"/>
  <c r="P26" i="36"/>
  <c r="Q26" i="36"/>
  <c r="R26" i="36"/>
  <c r="S26" i="36"/>
  <c r="T26" i="36"/>
  <c r="U26" i="36"/>
  <c r="V26" i="36"/>
  <c r="W26" i="36"/>
  <c r="X26" i="36"/>
  <c r="Y26" i="36"/>
  <c r="Z26" i="36"/>
  <c r="O27" i="36"/>
  <c r="P27" i="36"/>
  <c r="Q27" i="36"/>
  <c r="R27" i="36"/>
  <c r="S27" i="36"/>
  <c r="T27" i="36"/>
  <c r="U27" i="36"/>
  <c r="V27" i="36"/>
  <c r="W27" i="36"/>
  <c r="X27" i="36"/>
  <c r="Y27" i="36"/>
  <c r="Z27" i="36"/>
  <c r="O28" i="36"/>
  <c r="P28" i="36"/>
  <c r="Q28" i="36"/>
  <c r="R28" i="36"/>
  <c r="S28" i="36"/>
  <c r="T28" i="36"/>
  <c r="U28" i="36"/>
  <c r="V28" i="36"/>
  <c r="W28" i="36"/>
  <c r="X28" i="36"/>
  <c r="Z28" i="36"/>
  <c r="O29" i="36"/>
  <c r="P29" i="36"/>
  <c r="Q29" i="36"/>
  <c r="R29" i="36"/>
  <c r="S29" i="36"/>
  <c r="T29" i="36"/>
  <c r="U29" i="36"/>
  <c r="W29" i="36"/>
  <c r="X29" i="36"/>
  <c r="Y29" i="36"/>
  <c r="Z29" i="36"/>
  <c r="O30" i="36"/>
  <c r="P30" i="36"/>
  <c r="Q30" i="36"/>
  <c r="R30" i="36"/>
  <c r="S30" i="36"/>
  <c r="T30" i="36"/>
  <c r="U30" i="36"/>
  <c r="V30" i="36"/>
  <c r="W30" i="36"/>
  <c r="X30" i="36"/>
  <c r="Y30" i="36"/>
  <c r="Z30" i="36"/>
  <c r="O31" i="36"/>
  <c r="P31" i="36"/>
  <c r="Q31" i="36"/>
  <c r="R31" i="36"/>
  <c r="S31" i="36"/>
  <c r="T31" i="36"/>
  <c r="U31" i="36"/>
  <c r="V31" i="36"/>
  <c r="W31" i="36"/>
  <c r="X31" i="36"/>
  <c r="Y31" i="36"/>
  <c r="Z31" i="36"/>
  <c r="O32" i="36"/>
  <c r="P32" i="36"/>
  <c r="Q32" i="36"/>
  <c r="R32" i="36"/>
  <c r="S32" i="36"/>
  <c r="T32" i="36"/>
  <c r="U32" i="36"/>
  <c r="V32" i="36"/>
  <c r="W32" i="36"/>
  <c r="X32" i="36"/>
  <c r="Y32" i="36"/>
  <c r="Z32" i="36"/>
  <c r="O33" i="36"/>
  <c r="P33" i="36"/>
  <c r="Q33" i="36"/>
  <c r="R33" i="36"/>
  <c r="S33" i="36"/>
  <c r="T33" i="36"/>
  <c r="U33" i="36"/>
  <c r="V33" i="36"/>
  <c r="W33" i="36"/>
  <c r="X33" i="36"/>
  <c r="Y33" i="36"/>
  <c r="Z33" i="36"/>
  <c r="O34" i="36"/>
  <c r="P34" i="36"/>
  <c r="Q34" i="36"/>
  <c r="R34" i="36"/>
  <c r="S34" i="36"/>
  <c r="T34" i="36"/>
  <c r="U34" i="36"/>
  <c r="V34" i="36"/>
  <c r="W34" i="36"/>
  <c r="X34" i="36"/>
  <c r="Y34" i="36"/>
  <c r="Z34" i="36"/>
  <c r="O35" i="36"/>
  <c r="P35" i="36"/>
  <c r="Q35" i="36"/>
  <c r="R35" i="36"/>
  <c r="S35" i="36"/>
  <c r="T35" i="36"/>
  <c r="U35" i="36"/>
  <c r="V35" i="36"/>
  <c r="W35" i="36"/>
  <c r="X35" i="36"/>
  <c r="Y35" i="36"/>
  <c r="Z35" i="36"/>
  <c r="O36" i="36"/>
  <c r="P36" i="36"/>
  <c r="Q36" i="36"/>
  <c r="R36" i="36"/>
  <c r="S36" i="36"/>
  <c r="T36" i="36"/>
  <c r="U36" i="36"/>
  <c r="V36" i="36"/>
  <c r="W36" i="36"/>
  <c r="X36" i="36"/>
  <c r="Y36" i="36"/>
  <c r="Z36" i="36"/>
  <c r="O37" i="36"/>
  <c r="P37" i="36"/>
  <c r="Q37" i="36"/>
  <c r="R37" i="36"/>
  <c r="S37" i="36"/>
  <c r="T37" i="36"/>
  <c r="U37" i="36"/>
  <c r="V37" i="36"/>
  <c r="W37" i="36"/>
  <c r="X37" i="36"/>
  <c r="Y37" i="36"/>
  <c r="Z37" i="36"/>
  <c r="O38" i="36"/>
  <c r="P38" i="36"/>
  <c r="Q38" i="36"/>
  <c r="R38" i="36"/>
  <c r="S38" i="36"/>
  <c r="T38" i="36"/>
  <c r="U38" i="36"/>
  <c r="V38" i="36"/>
  <c r="W38" i="36"/>
  <c r="X38" i="36"/>
  <c r="Y38" i="36"/>
  <c r="Z38" i="36"/>
  <c r="O39" i="36"/>
  <c r="P39" i="36"/>
  <c r="Q39" i="36"/>
  <c r="R39" i="36"/>
  <c r="S39" i="36"/>
  <c r="T39" i="36"/>
  <c r="U39" i="36"/>
  <c r="V39" i="36"/>
  <c r="W39" i="36"/>
  <c r="X39" i="36"/>
  <c r="Y39" i="36"/>
  <c r="Z39" i="36"/>
  <c r="O40" i="36"/>
  <c r="P40" i="36"/>
  <c r="Q40" i="36"/>
  <c r="R40" i="36"/>
  <c r="S40" i="36"/>
  <c r="T40" i="36"/>
  <c r="U40" i="36"/>
  <c r="V40" i="36"/>
  <c r="W40" i="36"/>
  <c r="X40" i="36"/>
  <c r="Y40" i="36"/>
  <c r="Z40" i="36"/>
  <c r="O41" i="36"/>
  <c r="P41" i="36"/>
  <c r="Q41" i="36"/>
  <c r="R41" i="36"/>
  <c r="S41" i="36"/>
  <c r="T41" i="36"/>
  <c r="U41" i="36"/>
  <c r="V41" i="36"/>
  <c r="W41" i="36"/>
  <c r="Y41" i="36"/>
  <c r="Z41" i="36"/>
  <c r="O52" i="36"/>
  <c r="P52" i="36"/>
  <c r="Q52" i="36"/>
  <c r="R52" i="36"/>
  <c r="S52" i="36"/>
  <c r="T52" i="36"/>
  <c r="U52" i="36"/>
  <c r="V52" i="36"/>
  <c r="W52" i="36"/>
  <c r="X52" i="36"/>
  <c r="Y52" i="36"/>
  <c r="Z52" i="36"/>
  <c r="O53" i="36"/>
  <c r="P53" i="36"/>
  <c r="Q53" i="36"/>
  <c r="R53" i="36"/>
  <c r="S53" i="36"/>
  <c r="T53" i="36"/>
  <c r="U53" i="36"/>
  <c r="V53" i="36"/>
  <c r="X53" i="36"/>
  <c r="Y53" i="36"/>
  <c r="Z53" i="36"/>
  <c r="O54" i="36"/>
  <c r="P54" i="36"/>
  <c r="Q54" i="36"/>
  <c r="R54" i="36"/>
  <c r="S54" i="36"/>
  <c r="T54" i="36"/>
  <c r="U54" i="36"/>
  <c r="V54" i="36"/>
  <c r="W54" i="36"/>
  <c r="X54" i="36"/>
  <c r="Y54" i="36"/>
  <c r="Z54" i="36"/>
  <c r="O55" i="36"/>
  <c r="P55" i="36"/>
  <c r="Q55" i="36"/>
  <c r="R55" i="36"/>
  <c r="S55" i="36"/>
  <c r="T55" i="36"/>
  <c r="V55" i="36"/>
  <c r="W55" i="36"/>
  <c r="X55" i="36"/>
  <c r="Y55" i="36"/>
  <c r="Z55" i="36"/>
  <c r="O56" i="36"/>
  <c r="P56" i="36"/>
  <c r="Q56" i="36"/>
  <c r="R56" i="36"/>
  <c r="S56" i="36"/>
  <c r="U56" i="36"/>
  <c r="V56" i="36"/>
  <c r="W56" i="36"/>
  <c r="X56" i="36"/>
  <c r="Y56" i="36"/>
  <c r="Z56" i="36"/>
  <c r="O57" i="36"/>
  <c r="P57" i="36"/>
  <c r="Q57" i="36"/>
  <c r="R57" i="36"/>
  <c r="S57" i="36"/>
  <c r="T57" i="36"/>
  <c r="U57" i="36"/>
  <c r="V57" i="36"/>
  <c r="W57" i="36"/>
  <c r="X57" i="36"/>
  <c r="Y57" i="36"/>
  <c r="Z57" i="36"/>
  <c r="O58" i="36"/>
  <c r="P58" i="36"/>
  <c r="Q58" i="36"/>
  <c r="R58" i="36"/>
  <c r="S58" i="36"/>
  <c r="T58" i="36"/>
  <c r="U58" i="36"/>
  <c r="V58" i="36"/>
  <c r="W58" i="36"/>
  <c r="X58" i="36"/>
  <c r="Y58" i="36"/>
  <c r="Z58" i="36"/>
  <c r="O59" i="36"/>
  <c r="P59" i="36"/>
  <c r="Q59" i="36"/>
  <c r="R59" i="36"/>
  <c r="S59" i="36"/>
  <c r="T59" i="36"/>
  <c r="U59" i="36"/>
  <c r="V59" i="36"/>
  <c r="W59" i="36"/>
  <c r="X59" i="36"/>
  <c r="Y59" i="36"/>
  <c r="Z59" i="36"/>
  <c r="O60" i="36"/>
  <c r="P60" i="36"/>
  <c r="Q60" i="36"/>
  <c r="S60" i="36"/>
  <c r="T60" i="36"/>
  <c r="U60" i="36"/>
  <c r="V60" i="36"/>
  <c r="W60" i="36"/>
  <c r="X60" i="36"/>
  <c r="Y60" i="36"/>
  <c r="Z60" i="36"/>
  <c r="O61" i="36"/>
  <c r="P61" i="36"/>
  <c r="Q61" i="36"/>
  <c r="R61" i="36"/>
  <c r="S61" i="36"/>
  <c r="T61" i="36"/>
  <c r="V61" i="36"/>
  <c r="W61" i="36"/>
  <c r="X61" i="36"/>
  <c r="Y61" i="36"/>
  <c r="Z61" i="36"/>
  <c r="O62" i="36"/>
  <c r="P62" i="36"/>
  <c r="Q62" i="36"/>
  <c r="S62" i="36"/>
  <c r="T62" i="36"/>
  <c r="U62" i="36"/>
  <c r="V62" i="36"/>
  <c r="W62" i="36"/>
  <c r="X62" i="36"/>
  <c r="Y62" i="36"/>
  <c r="Z62" i="36"/>
  <c r="O63" i="36"/>
  <c r="P63" i="36"/>
  <c r="Q63" i="36"/>
  <c r="R63" i="36"/>
  <c r="S63" i="36"/>
  <c r="T63" i="36"/>
  <c r="U63" i="36"/>
  <c r="V63" i="36"/>
  <c r="W63" i="36"/>
  <c r="X63" i="36"/>
  <c r="Y63" i="36"/>
  <c r="Z63" i="36"/>
  <c r="P64" i="36"/>
  <c r="Q64" i="36"/>
  <c r="R64" i="36"/>
  <c r="S64" i="36"/>
  <c r="T64" i="36"/>
  <c r="U64" i="36"/>
  <c r="V64" i="36"/>
  <c r="W64" i="36"/>
  <c r="X64" i="36"/>
  <c r="Y64" i="36"/>
  <c r="Z64" i="36"/>
  <c r="O65" i="36"/>
  <c r="P65" i="36"/>
  <c r="Q65" i="36"/>
  <c r="R65" i="36"/>
  <c r="S65" i="36"/>
  <c r="T65" i="36"/>
  <c r="U65" i="36"/>
  <c r="V65" i="36"/>
  <c r="X65" i="36"/>
  <c r="Y65" i="36"/>
  <c r="Z65" i="36"/>
  <c r="O66" i="36"/>
  <c r="P66" i="36"/>
  <c r="Q66" i="36"/>
  <c r="R66" i="36"/>
  <c r="S66" i="36"/>
  <c r="T66" i="36"/>
  <c r="U66" i="36"/>
  <c r="V66" i="36"/>
  <c r="W66" i="36"/>
  <c r="X66" i="36"/>
  <c r="Y66" i="36"/>
  <c r="Z66" i="36"/>
  <c r="O67" i="36"/>
  <c r="P67" i="36"/>
  <c r="Q67" i="36"/>
  <c r="R67" i="36"/>
  <c r="S67" i="36"/>
  <c r="T67" i="36"/>
  <c r="U67" i="36"/>
  <c r="V67" i="36"/>
  <c r="W67" i="36"/>
  <c r="X67" i="36"/>
  <c r="Y67" i="36"/>
  <c r="Z67" i="36"/>
  <c r="O68" i="36"/>
  <c r="P68" i="36"/>
  <c r="Q68" i="36"/>
  <c r="R68" i="36"/>
  <c r="S68" i="36"/>
  <c r="T68" i="36"/>
  <c r="U68" i="36"/>
  <c r="V68" i="36"/>
  <c r="W68" i="36"/>
  <c r="X68" i="36"/>
  <c r="Y68" i="36"/>
  <c r="Z68" i="36"/>
  <c r="O69" i="36"/>
  <c r="P69" i="36"/>
  <c r="R69" i="36"/>
  <c r="S69" i="36"/>
  <c r="T69" i="36"/>
  <c r="U69" i="36"/>
  <c r="V69" i="36"/>
  <c r="W69" i="36"/>
  <c r="X69" i="36"/>
  <c r="Y69" i="36"/>
  <c r="Z69" i="36"/>
  <c r="O70" i="36"/>
  <c r="P70" i="36"/>
  <c r="Q70" i="36"/>
  <c r="R70" i="36"/>
  <c r="S70" i="36"/>
  <c r="U70" i="36"/>
  <c r="V70" i="36"/>
  <c r="W70" i="36"/>
  <c r="X70" i="36"/>
  <c r="Y70" i="36"/>
  <c r="Z70" i="36"/>
  <c r="O71" i="36"/>
  <c r="P71" i="36"/>
  <c r="Q71" i="36"/>
  <c r="R71" i="36"/>
  <c r="S71" i="36"/>
  <c r="T71" i="36"/>
  <c r="U71" i="36"/>
  <c r="V71" i="36"/>
  <c r="W71" i="36"/>
  <c r="X71" i="36"/>
  <c r="Y71" i="36"/>
  <c r="Z71" i="36"/>
  <c r="O72" i="36"/>
  <c r="P72" i="36"/>
  <c r="Q72" i="36"/>
  <c r="R72" i="36"/>
  <c r="S72" i="36"/>
  <c r="T72" i="36"/>
  <c r="U72" i="36"/>
  <c r="V72" i="36"/>
  <c r="W72" i="36"/>
  <c r="X72" i="36"/>
  <c r="Y72" i="36"/>
  <c r="Z72" i="36"/>
  <c r="O73" i="36"/>
  <c r="P73" i="36"/>
  <c r="Q73" i="36"/>
  <c r="R73" i="36"/>
  <c r="S73" i="36"/>
  <c r="T73" i="36"/>
  <c r="U73" i="36"/>
  <c r="V73" i="36"/>
  <c r="W73" i="36"/>
  <c r="Y73" i="36"/>
  <c r="Z73" i="36"/>
  <c r="O74" i="36"/>
  <c r="P74" i="36"/>
  <c r="Q74" i="36"/>
  <c r="R74" i="36"/>
  <c r="S74" i="36"/>
  <c r="T74" i="36"/>
  <c r="U74" i="36"/>
  <c r="V74" i="36"/>
  <c r="W74" i="36"/>
  <c r="X74" i="36"/>
  <c r="Y74" i="36"/>
  <c r="Z74" i="36"/>
  <c r="O75" i="36"/>
  <c r="P75" i="36"/>
  <c r="Q75" i="36"/>
  <c r="R75" i="36"/>
  <c r="S75" i="36"/>
  <c r="T75" i="36"/>
  <c r="U75" i="36"/>
  <c r="V75" i="36"/>
  <c r="W75" i="36"/>
  <c r="X75" i="36"/>
  <c r="Y75" i="36"/>
  <c r="Z75" i="36"/>
  <c r="O76" i="36"/>
  <c r="P76" i="36"/>
  <c r="Q76" i="36"/>
  <c r="R76" i="36"/>
  <c r="S76" i="36"/>
  <c r="T76" i="36"/>
  <c r="U76" i="36"/>
  <c r="V76" i="36"/>
  <c r="W76" i="36"/>
  <c r="X76" i="36"/>
  <c r="Y76" i="36"/>
  <c r="Z76" i="36"/>
  <c r="O77" i="36"/>
  <c r="Q77" i="36"/>
  <c r="R77" i="36"/>
  <c r="S77" i="36"/>
  <c r="T77" i="36"/>
  <c r="U77" i="36"/>
  <c r="V77" i="36"/>
  <c r="W77" i="36"/>
  <c r="X77" i="36"/>
  <c r="Y77" i="36"/>
  <c r="Z77" i="36"/>
  <c r="O78" i="36"/>
  <c r="P78" i="36"/>
  <c r="Q78" i="36"/>
  <c r="R78" i="36"/>
  <c r="S78" i="36"/>
  <c r="T78" i="36"/>
  <c r="U78" i="36"/>
  <c r="V78" i="36"/>
  <c r="W78" i="36"/>
  <c r="X78" i="36"/>
  <c r="Y78" i="36"/>
  <c r="Z78" i="36"/>
  <c r="O79" i="36"/>
  <c r="P79" i="36"/>
  <c r="Q79" i="36"/>
  <c r="R79" i="36"/>
  <c r="S79" i="36"/>
  <c r="T79" i="36"/>
  <c r="U79" i="36"/>
  <c r="V79" i="36"/>
  <c r="W79" i="36"/>
  <c r="X79" i="36"/>
  <c r="Y79" i="36"/>
  <c r="Z79" i="36"/>
  <c r="P80" i="36"/>
  <c r="Q80" i="36"/>
  <c r="R80" i="36"/>
  <c r="S80" i="36"/>
  <c r="T80" i="36"/>
  <c r="U80" i="36"/>
  <c r="V80" i="36"/>
  <c r="W80" i="36"/>
  <c r="X80" i="36"/>
  <c r="Y80" i="36"/>
  <c r="Z80" i="36"/>
  <c r="P117" i="36"/>
  <c r="Q117" i="36"/>
  <c r="R117" i="36"/>
  <c r="S117" i="36"/>
  <c r="T117" i="36"/>
  <c r="U117" i="36"/>
  <c r="V117" i="36"/>
  <c r="W117" i="36"/>
  <c r="X117" i="36"/>
  <c r="Y117" i="36"/>
  <c r="Z117" i="36"/>
  <c r="O118" i="36"/>
  <c r="P118" i="36"/>
  <c r="Q118" i="36"/>
  <c r="R118" i="36"/>
  <c r="S118" i="36"/>
  <c r="T118" i="36"/>
  <c r="U118" i="36"/>
  <c r="V118" i="36"/>
  <c r="W118" i="36"/>
  <c r="X118" i="36"/>
  <c r="Y118" i="36"/>
  <c r="Z118" i="36"/>
  <c r="O119" i="36"/>
  <c r="P119" i="36"/>
  <c r="Q119" i="36"/>
  <c r="R119" i="36"/>
  <c r="S119" i="36"/>
  <c r="T119" i="36"/>
  <c r="U119" i="36"/>
  <c r="V119" i="36"/>
  <c r="W119" i="36"/>
  <c r="X119" i="36"/>
  <c r="Y119" i="36"/>
  <c r="O120" i="36"/>
  <c r="P120" i="36"/>
  <c r="Q120" i="36"/>
  <c r="R120" i="36"/>
  <c r="S120" i="36"/>
  <c r="T120" i="36"/>
  <c r="U120" i="36"/>
  <c r="V120" i="36"/>
  <c r="W120" i="36"/>
  <c r="X120" i="36"/>
  <c r="Y120" i="36"/>
  <c r="Z120" i="36"/>
  <c r="O121" i="36"/>
  <c r="P121" i="36"/>
  <c r="Q121" i="36"/>
  <c r="S121" i="36"/>
  <c r="T121" i="36"/>
  <c r="U121" i="36"/>
  <c r="V121" i="36"/>
  <c r="W121" i="36"/>
  <c r="X121" i="36"/>
  <c r="Y121" i="36"/>
  <c r="Z121" i="36"/>
  <c r="O122" i="36"/>
  <c r="P122" i="36"/>
  <c r="Q122" i="36"/>
  <c r="R122" i="36"/>
  <c r="S122" i="36"/>
  <c r="T122" i="36"/>
  <c r="U122" i="36"/>
  <c r="V122" i="36"/>
  <c r="W122" i="36"/>
  <c r="X122" i="36"/>
  <c r="Y122" i="36"/>
  <c r="Z122" i="36"/>
  <c r="O123" i="36"/>
  <c r="P123" i="36"/>
  <c r="Q123" i="36"/>
  <c r="R123" i="36"/>
  <c r="S123" i="36"/>
  <c r="T123" i="36"/>
  <c r="U123" i="36"/>
  <c r="V123" i="36"/>
  <c r="W123" i="36"/>
  <c r="X123" i="36"/>
  <c r="Y123" i="36"/>
  <c r="Z123" i="36"/>
  <c r="O124" i="36"/>
  <c r="P124" i="36"/>
  <c r="Q124" i="36"/>
  <c r="R124" i="36"/>
  <c r="S124" i="36"/>
  <c r="T124" i="36"/>
  <c r="U124" i="36"/>
  <c r="V124" i="36"/>
  <c r="W124" i="36"/>
  <c r="X124" i="36"/>
  <c r="Y124" i="36"/>
  <c r="Z124" i="36"/>
  <c r="O125" i="36"/>
  <c r="P125" i="36"/>
  <c r="Q125" i="36"/>
  <c r="R125" i="36"/>
  <c r="S125" i="36"/>
  <c r="U125" i="36"/>
  <c r="V125" i="36"/>
  <c r="W125" i="36"/>
  <c r="X125" i="36"/>
  <c r="Y125" i="36"/>
  <c r="Z125" i="36"/>
  <c r="O126" i="36"/>
  <c r="P126" i="36"/>
  <c r="Q126" i="36"/>
  <c r="R126" i="36"/>
  <c r="S126" i="36"/>
  <c r="T126" i="36"/>
  <c r="U126" i="36"/>
  <c r="V126" i="36"/>
  <c r="W126" i="36"/>
  <c r="X126" i="36"/>
  <c r="Y126" i="36"/>
  <c r="Z126" i="36"/>
  <c r="O127" i="36"/>
  <c r="P127" i="36"/>
  <c r="Q127" i="36"/>
  <c r="R127" i="36"/>
  <c r="S127" i="36"/>
  <c r="T127" i="36"/>
  <c r="U127" i="36"/>
  <c r="V127" i="36"/>
  <c r="W127" i="36"/>
  <c r="X127" i="36"/>
  <c r="Y127" i="36"/>
  <c r="Z127" i="36"/>
  <c r="O128" i="36"/>
  <c r="P128" i="36"/>
  <c r="Q128" i="36"/>
  <c r="R128" i="36"/>
  <c r="S128" i="36"/>
  <c r="T128" i="36"/>
  <c r="U128" i="36"/>
  <c r="V128" i="36"/>
  <c r="W128" i="36"/>
  <c r="X128" i="36"/>
  <c r="Y128" i="36"/>
  <c r="Z128" i="36"/>
  <c r="O129" i="36"/>
  <c r="P129" i="36"/>
  <c r="Q129" i="36"/>
  <c r="R129" i="36"/>
  <c r="S129" i="36"/>
  <c r="T129" i="36"/>
  <c r="U129" i="36"/>
  <c r="V129" i="36"/>
  <c r="W129" i="36"/>
  <c r="X129" i="36"/>
  <c r="Y129" i="36"/>
  <c r="Z129" i="36"/>
  <c r="O130" i="36"/>
  <c r="P130" i="36"/>
  <c r="Q130" i="36"/>
  <c r="R130" i="36"/>
  <c r="S130" i="36"/>
  <c r="T130" i="36"/>
  <c r="U130" i="36"/>
  <c r="V130" i="36"/>
  <c r="W130" i="36"/>
  <c r="X130" i="36"/>
  <c r="Y130" i="36"/>
  <c r="Z130" i="36"/>
  <c r="O131" i="36"/>
  <c r="P131" i="36"/>
  <c r="Q131" i="36"/>
  <c r="R131" i="36"/>
  <c r="S131" i="36"/>
  <c r="T131" i="36"/>
  <c r="U131" i="36"/>
  <c r="V131" i="36"/>
  <c r="W131" i="36"/>
  <c r="X131" i="36"/>
  <c r="Y131" i="36"/>
  <c r="Z131" i="36"/>
  <c r="O132" i="36"/>
  <c r="P132" i="36"/>
  <c r="Q132" i="36"/>
  <c r="R132" i="36"/>
  <c r="S132" i="36"/>
  <c r="T132" i="36"/>
  <c r="U132" i="36"/>
  <c r="V132" i="36"/>
  <c r="W132" i="36"/>
  <c r="X132" i="36"/>
  <c r="Y132" i="36"/>
  <c r="Z132" i="36"/>
  <c r="P138" i="36"/>
  <c r="Q138" i="36"/>
  <c r="R138" i="36"/>
  <c r="S138" i="36"/>
  <c r="T138" i="36"/>
  <c r="U138" i="36"/>
  <c r="V138" i="36"/>
  <c r="W138" i="36"/>
  <c r="X138" i="36"/>
  <c r="Y138" i="36"/>
  <c r="Z138" i="36"/>
  <c r="O139" i="36"/>
  <c r="P139" i="36"/>
  <c r="Q139" i="36"/>
  <c r="R139" i="36"/>
  <c r="S139" i="36"/>
  <c r="T139" i="36"/>
  <c r="U139" i="36"/>
  <c r="V139" i="36"/>
  <c r="W139" i="36"/>
  <c r="X139" i="36"/>
  <c r="Y139" i="36"/>
  <c r="O140" i="36"/>
  <c r="P140" i="36"/>
  <c r="Q140" i="36"/>
  <c r="R140" i="36"/>
  <c r="S140" i="36"/>
  <c r="T140" i="36"/>
  <c r="U140" i="36"/>
  <c r="V140" i="36"/>
  <c r="W140" i="36"/>
  <c r="X140" i="36"/>
  <c r="Y140" i="36"/>
  <c r="Z140" i="36"/>
  <c r="O141" i="36"/>
  <c r="P141" i="36"/>
  <c r="Q141" i="36"/>
  <c r="S141" i="36"/>
  <c r="T141" i="36"/>
  <c r="U141" i="36"/>
  <c r="V141" i="36"/>
  <c r="W141" i="36"/>
  <c r="X141" i="36"/>
  <c r="Y141" i="36"/>
  <c r="Z141" i="36"/>
  <c r="O142" i="36"/>
  <c r="P142" i="36"/>
  <c r="Q142" i="36"/>
  <c r="R142" i="36"/>
  <c r="S142" i="36"/>
  <c r="T142" i="36"/>
  <c r="U142" i="36"/>
  <c r="V142" i="36"/>
  <c r="W142" i="36"/>
  <c r="X142" i="36"/>
  <c r="Y142" i="36"/>
  <c r="Z142" i="36"/>
  <c r="O143" i="36"/>
  <c r="P143" i="36"/>
  <c r="Q143" i="36"/>
  <c r="R143" i="36"/>
  <c r="S143" i="36"/>
  <c r="T143" i="36"/>
  <c r="U143" i="36"/>
  <c r="V143" i="36"/>
  <c r="W143" i="36"/>
  <c r="X143" i="36"/>
  <c r="Y143" i="36"/>
  <c r="Z143" i="36"/>
  <c r="O144" i="36"/>
  <c r="P144" i="36"/>
  <c r="Q144" i="36"/>
  <c r="R144" i="36"/>
  <c r="S144" i="36"/>
  <c r="T144" i="36"/>
  <c r="U144" i="36"/>
  <c r="V144" i="36"/>
  <c r="W144" i="36"/>
  <c r="X144" i="36"/>
  <c r="Y144" i="36"/>
  <c r="Z144" i="36"/>
  <c r="O145" i="36"/>
  <c r="P145" i="36"/>
  <c r="Q145" i="36"/>
  <c r="R145" i="36"/>
  <c r="T145" i="36"/>
  <c r="U145" i="36"/>
  <c r="V145" i="36"/>
  <c r="W145" i="36"/>
  <c r="X145" i="36"/>
  <c r="Y145" i="36"/>
  <c r="Z145" i="36"/>
  <c r="O146" i="36"/>
  <c r="P146" i="36"/>
  <c r="Q146" i="36"/>
  <c r="R146" i="36"/>
  <c r="U146" i="36"/>
  <c r="V146" i="36"/>
  <c r="W146" i="36"/>
  <c r="X146" i="36"/>
  <c r="Y146" i="36"/>
  <c r="Z146" i="36"/>
  <c r="O147" i="36"/>
  <c r="P147" i="36"/>
  <c r="Q147" i="36"/>
  <c r="R147" i="36"/>
  <c r="S147" i="36"/>
  <c r="T147" i="36"/>
  <c r="U147" i="36"/>
  <c r="V147" i="36"/>
  <c r="W147" i="36"/>
  <c r="X147" i="36"/>
  <c r="Y147" i="36"/>
  <c r="Z147" i="36"/>
  <c r="O148" i="36"/>
  <c r="P148" i="36"/>
  <c r="Q148" i="36"/>
  <c r="R148" i="36"/>
  <c r="S148" i="36"/>
  <c r="T148" i="36"/>
  <c r="U148" i="36"/>
  <c r="V148" i="36"/>
  <c r="W148" i="36"/>
  <c r="X148" i="36"/>
  <c r="Y148" i="36"/>
  <c r="Z148" i="36"/>
  <c r="O149" i="36"/>
  <c r="P149" i="36"/>
  <c r="Q149" i="36"/>
  <c r="R149" i="36"/>
  <c r="S149" i="36"/>
  <c r="T149" i="36"/>
  <c r="U149" i="36"/>
  <c r="V149" i="36"/>
  <c r="W149" i="36"/>
  <c r="X149" i="36"/>
  <c r="Y149" i="36"/>
  <c r="Z149" i="36"/>
  <c r="O150" i="36"/>
  <c r="P150" i="36"/>
  <c r="Q150" i="36"/>
  <c r="R150" i="36"/>
  <c r="S150" i="36"/>
  <c r="T150" i="36"/>
  <c r="U150" i="36"/>
  <c r="V150" i="36"/>
  <c r="W150" i="36"/>
  <c r="X150" i="36"/>
  <c r="Y150" i="36"/>
  <c r="Z150" i="36"/>
  <c r="O151" i="36"/>
  <c r="P151" i="36"/>
  <c r="Q151" i="36"/>
  <c r="R151" i="36"/>
  <c r="S151" i="36"/>
  <c r="T151" i="36"/>
  <c r="U151" i="36"/>
  <c r="V151" i="36"/>
  <c r="W151" i="36"/>
  <c r="X151" i="36"/>
  <c r="Z151" i="36"/>
  <c r="O152" i="36"/>
  <c r="P152" i="36"/>
  <c r="Q152" i="36"/>
  <c r="R152" i="36"/>
  <c r="S152" i="36"/>
  <c r="T152" i="36"/>
  <c r="U152" i="36"/>
  <c r="V152" i="36"/>
  <c r="W152" i="36"/>
  <c r="X152" i="36"/>
  <c r="Y152" i="36"/>
  <c r="Z152" i="36"/>
  <c r="O153" i="36"/>
  <c r="P153" i="36"/>
  <c r="Q153" i="36"/>
  <c r="R153" i="36"/>
  <c r="S153" i="36"/>
  <c r="T153" i="36"/>
  <c r="U153" i="36"/>
  <c r="V153" i="36"/>
  <c r="W153" i="36"/>
  <c r="X153" i="36"/>
  <c r="Y153" i="36"/>
  <c r="Z153" i="36"/>
  <c r="O154" i="36"/>
  <c r="P154" i="36"/>
  <c r="Q154" i="36"/>
  <c r="R154" i="36"/>
  <c r="S154" i="36"/>
  <c r="T154" i="36"/>
  <c r="U154" i="36"/>
  <c r="V154" i="36"/>
  <c r="W154" i="36"/>
  <c r="X154" i="36"/>
  <c r="Y154" i="36"/>
  <c r="Z154" i="36"/>
  <c r="O155" i="36"/>
  <c r="P155" i="36"/>
  <c r="Q155" i="36"/>
  <c r="R155" i="36"/>
  <c r="S155" i="36"/>
  <c r="T155" i="36"/>
  <c r="U155" i="36"/>
  <c r="V155" i="36"/>
  <c r="W155" i="36"/>
  <c r="X155" i="36"/>
  <c r="Y155" i="36"/>
  <c r="Z155" i="36"/>
  <c r="O156" i="36"/>
  <c r="P156" i="36"/>
  <c r="Q156" i="36"/>
  <c r="R156" i="36"/>
  <c r="S156" i="36"/>
  <c r="T156" i="36"/>
  <c r="U156" i="36"/>
  <c r="V156" i="36"/>
  <c r="W156" i="36"/>
  <c r="X156" i="36"/>
  <c r="Y156" i="36"/>
  <c r="Z156" i="36"/>
  <c r="O158" i="36"/>
  <c r="P158" i="36"/>
  <c r="Q158" i="36"/>
  <c r="R158" i="36"/>
  <c r="S158" i="36"/>
  <c r="T158" i="36"/>
  <c r="U158" i="36"/>
  <c r="V158" i="36"/>
  <c r="W158" i="36"/>
  <c r="X158" i="36"/>
  <c r="Y158" i="36"/>
  <c r="Z158" i="36"/>
  <c r="P159" i="36"/>
  <c r="Q159" i="36"/>
  <c r="R159" i="36"/>
  <c r="S159" i="36"/>
  <c r="T159" i="36"/>
  <c r="U159" i="36"/>
  <c r="V159" i="36"/>
  <c r="W159" i="36"/>
  <c r="X159" i="36"/>
  <c r="Y159" i="36"/>
  <c r="Z159" i="36"/>
  <c r="O160" i="36"/>
  <c r="P160" i="36"/>
  <c r="Q160" i="36"/>
  <c r="R160" i="36"/>
  <c r="S160" i="36"/>
  <c r="T160" i="36"/>
  <c r="U160" i="36"/>
  <c r="V160" i="36"/>
  <c r="W160" i="36"/>
  <c r="X160" i="36"/>
  <c r="Y160" i="36"/>
  <c r="Z160" i="36"/>
  <c r="O161" i="36"/>
  <c r="P161" i="36"/>
  <c r="Q161" i="36"/>
  <c r="R161" i="36"/>
  <c r="S161" i="36"/>
  <c r="T161" i="36"/>
  <c r="U161" i="36"/>
  <c r="V161" i="36"/>
  <c r="W161" i="36"/>
  <c r="X161" i="36"/>
  <c r="Y161" i="36"/>
  <c r="Z161" i="36"/>
  <c r="O162" i="36"/>
  <c r="P162" i="36"/>
  <c r="Q162" i="36"/>
  <c r="R162" i="36"/>
  <c r="S162" i="36"/>
  <c r="T162" i="36"/>
  <c r="U162" i="36"/>
  <c r="V162" i="36"/>
  <c r="W162" i="36"/>
  <c r="X162" i="36"/>
  <c r="Y162" i="36"/>
  <c r="Z162" i="36"/>
  <c r="O163" i="36"/>
  <c r="P163" i="36"/>
  <c r="Q163" i="36"/>
  <c r="R163" i="36"/>
  <c r="S163" i="36"/>
  <c r="T163" i="36"/>
  <c r="U163" i="36"/>
  <c r="V163" i="36"/>
  <c r="W163" i="36"/>
  <c r="X163" i="36"/>
  <c r="Y163" i="36"/>
  <c r="Z163" i="36"/>
  <c r="O164" i="36"/>
  <c r="Q164" i="36"/>
  <c r="R164" i="36"/>
  <c r="S164" i="36"/>
  <c r="T164" i="36"/>
  <c r="U164" i="36"/>
  <c r="V164" i="36"/>
  <c r="W164" i="36"/>
  <c r="X164" i="36"/>
  <c r="Y164" i="36"/>
  <c r="Z164" i="36"/>
  <c r="O165" i="36"/>
  <c r="P165" i="36"/>
  <c r="R165" i="36"/>
  <c r="S165" i="36"/>
  <c r="T165" i="36"/>
  <c r="U165" i="36"/>
  <c r="V165" i="36"/>
  <c r="W165" i="36"/>
  <c r="X165" i="36"/>
  <c r="Y165" i="36"/>
  <c r="Z165" i="36"/>
  <c r="O166" i="36"/>
  <c r="P166" i="36"/>
  <c r="Q166" i="36"/>
  <c r="R166" i="36"/>
  <c r="S166" i="36"/>
  <c r="T166" i="36"/>
  <c r="U166" i="36"/>
  <c r="V166" i="36"/>
  <c r="W166" i="36"/>
  <c r="X166" i="36"/>
  <c r="Y166" i="36"/>
  <c r="O167" i="36"/>
  <c r="P167" i="36"/>
  <c r="Q167" i="36"/>
  <c r="R167" i="36"/>
  <c r="S167" i="36"/>
  <c r="T167" i="36"/>
  <c r="U167" i="36"/>
  <c r="V167" i="36"/>
  <c r="W167" i="36"/>
  <c r="X167" i="36"/>
  <c r="Y167" i="36"/>
  <c r="Z167" i="36"/>
  <c r="O168" i="36"/>
  <c r="P168" i="36"/>
  <c r="Q168" i="36"/>
  <c r="S168" i="36"/>
  <c r="T168" i="36"/>
  <c r="U168" i="36"/>
  <c r="V168" i="36"/>
  <c r="W168" i="36"/>
  <c r="X168" i="36"/>
  <c r="Y168" i="36"/>
  <c r="Z168" i="36"/>
  <c r="O169" i="36"/>
  <c r="P169" i="36"/>
  <c r="Q169" i="36"/>
  <c r="R169" i="36"/>
  <c r="S169" i="36"/>
  <c r="T169" i="36"/>
  <c r="U169" i="36"/>
  <c r="V169" i="36"/>
  <c r="W169" i="36"/>
  <c r="X169" i="36"/>
  <c r="Y169" i="36"/>
  <c r="Z169" i="36"/>
  <c r="O170" i="36"/>
  <c r="P170" i="36"/>
  <c r="Q170" i="36"/>
  <c r="R170" i="36"/>
  <c r="S170" i="36"/>
  <c r="T170" i="36"/>
  <c r="U170" i="36"/>
  <c r="V170" i="36"/>
  <c r="W170" i="36"/>
  <c r="X170" i="36"/>
  <c r="Y170" i="36"/>
  <c r="Z170" i="36"/>
  <c r="O171" i="36"/>
  <c r="P171" i="36"/>
  <c r="Q171" i="36"/>
  <c r="R171" i="36"/>
  <c r="S171" i="36"/>
  <c r="T171" i="36"/>
  <c r="U171" i="36"/>
  <c r="V171" i="36"/>
  <c r="W171" i="36"/>
  <c r="X171" i="36"/>
  <c r="Y171" i="36"/>
  <c r="Z171" i="36"/>
  <c r="O172" i="36"/>
  <c r="P172" i="36"/>
  <c r="Q172" i="36"/>
  <c r="R172" i="36"/>
  <c r="S172" i="36"/>
  <c r="T172" i="36"/>
  <c r="U172" i="36"/>
  <c r="V172" i="36"/>
  <c r="W172" i="36"/>
  <c r="X172" i="36"/>
  <c r="Y172" i="36"/>
  <c r="Z172" i="36"/>
  <c r="O173" i="36"/>
  <c r="P173" i="36"/>
  <c r="Q173" i="36"/>
  <c r="R173" i="36"/>
  <c r="T173" i="36"/>
  <c r="U173" i="36"/>
  <c r="V173" i="36"/>
  <c r="W173" i="36"/>
  <c r="X173" i="36"/>
  <c r="Y173" i="36"/>
  <c r="Z173" i="36"/>
  <c r="O174" i="36"/>
  <c r="P174" i="36"/>
  <c r="Q174" i="36"/>
  <c r="R174" i="36"/>
  <c r="S174" i="36"/>
  <c r="T174" i="36"/>
  <c r="U174" i="36"/>
  <c r="V174" i="36"/>
  <c r="W174" i="36"/>
  <c r="X174" i="36"/>
  <c r="Y174" i="36"/>
  <c r="Z174" i="36"/>
  <c r="O175" i="36"/>
  <c r="P175" i="36"/>
  <c r="Q175" i="36"/>
  <c r="R175" i="36"/>
  <c r="S175" i="36"/>
  <c r="T175" i="36"/>
  <c r="U175" i="36"/>
  <c r="V175" i="36"/>
  <c r="W175" i="36"/>
  <c r="X175" i="36"/>
  <c r="Y175" i="36"/>
  <c r="Z175" i="36"/>
  <c r="O176" i="36"/>
  <c r="P176" i="36"/>
  <c r="Q176" i="36"/>
  <c r="R176" i="36"/>
  <c r="S176" i="36"/>
  <c r="U176" i="36"/>
  <c r="V176" i="36"/>
  <c r="W176" i="36"/>
  <c r="X176" i="36"/>
  <c r="Y176" i="36"/>
  <c r="Z176" i="36"/>
  <c r="O177" i="36"/>
  <c r="P177" i="36"/>
  <c r="Q177" i="36"/>
  <c r="R177" i="36"/>
  <c r="S177" i="36"/>
  <c r="T177" i="36"/>
  <c r="U177" i="36"/>
  <c r="V177" i="36"/>
  <c r="W177" i="36"/>
  <c r="X177" i="36"/>
  <c r="Y177" i="36"/>
  <c r="Z177" i="36"/>
  <c r="O178" i="36"/>
  <c r="P178" i="36"/>
  <c r="Q178" i="36"/>
  <c r="R178" i="36"/>
  <c r="S178" i="36"/>
  <c r="T178" i="36"/>
  <c r="V178" i="36"/>
  <c r="W178" i="36"/>
  <c r="X178" i="36"/>
  <c r="Y178" i="36"/>
  <c r="Z178" i="36"/>
  <c r="O179" i="36"/>
  <c r="P179" i="36"/>
  <c r="Q179" i="36"/>
  <c r="R179" i="36"/>
  <c r="S179" i="36"/>
  <c r="T179" i="36"/>
  <c r="U179" i="36"/>
  <c r="V179" i="36"/>
  <c r="W179" i="36"/>
  <c r="X179" i="36"/>
  <c r="Y179" i="36"/>
  <c r="Z179" i="36"/>
  <c r="O180" i="36"/>
  <c r="P180" i="36"/>
  <c r="Q180" i="36"/>
  <c r="R180" i="36"/>
  <c r="S180" i="36"/>
  <c r="T180" i="36"/>
  <c r="U180" i="36"/>
  <c r="V180" i="36"/>
  <c r="W180" i="36"/>
  <c r="X180" i="36"/>
  <c r="Y180" i="36"/>
  <c r="Z180" i="36"/>
  <c r="O181" i="36"/>
  <c r="P181" i="36"/>
  <c r="Q181" i="36"/>
  <c r="R181" i="36"/>
  <c r="S181" i="36"/>
  <c r="T181" i="36"/>
  <c r="U181" i="36"/>
  <c r="W181" i="36"/>
  <c r="X181" i="36"/>
  <c r="Y181" i="36"/>
  <c r="Z181" i="36"/>
  <c r="O182" i="36"/>
  <c r="P182" i="36"/>
  <c r="Q182" i="36"/>
  <c r="R182" i="36"/>
  <c r="S182" i="36"/>
  <c r="T182" i="36"/>
  <c r="U182" i="36"/>
  <c r="V182" i="36"/>
  <c r="W182" i="36"/>
  <c r="X182" i="36"/>
  <c r="Y182" i="36"/>
  <c r="Z182" i="36"/>
  <c r="O183" i="36"/>
  <c r="P183" i="36"/>
  <c r="Q183" i="36"/>
  <c r="R183" i="36"/>
  <c r="S183" i="36"/>
  <c r="T183" i="36"/>
  <c r="U183" i="36"/>
  <c r="V183" i="36"/>
  <c r="W183" i="36"/>
  <c r="X183" i="36"/>
  <c r="Y183" i="36"/>
  <c r="Z183" i="36"/>
  <c r="O184" i="36"/>
  <c r="P184" i="36"/>
  <c r="Q184" i="36"/>
  <c r="R184" i="36"/>
  <c r="S184" i="36"/>
  <c r="T184" i="36"/>
  <c r="U184" i="36"/>
  <c r="V184" i="36"/>
  <c r="W184" i="36"/>
  <c r="X184" i="36"/>
  <c r="Y184" i="36"/>
  <c r="Z184" i="36"/>
  <c r="O185" i="36"/>
  <c r="P185" i="36"/>
  <c r="Q185" i="36"/>
  <c r="R185" i="36"/>
  <c r="S185" i="36"/>
  <c r="T185" i="36"/>
  <c r="U185" i="36"/>
  <c r="V185" i="36"/>
  <c r="W185" i="36"/>
  <c r="X185" i="36"/>
  <c r="Z185" i="36"/>
  <c r="O186" i="36"/>
  <c r="P186" i="36"/>
  <c r="R186" i="36"/>
  <c r="S186" i="36"/>
  <c r="T186" i="36"/>
  <c r="U186" i="36"/>
  <c r="V186" i="36"/>
  <c r="W186" i="36"/>
  <c r="X186" i="36"/>
  <c r="Y186" i="36"/>
  <c r="Z186" i="36"/>
  <c r="O187" i="36"/>
  <c r="P187" i="36"/>
  <c r="Q187" i="36"/>
  <c r="R187" i="36"/>
  <c r="S187" i="36"/>
  <c r="T187" i="36"/>
  <c r="U187" i="36"/>
  <c r="V187" i="36"/>
  <c r="W187" i="36"/>
  <c r="X187" i="36"/>
  <c r="Y187" i="36"/>
  <c r="Z187" i="36"/>
  <c r="O188" i="36"/>
  <c r="P188" i="36"/>
  <c r="Q188" i="36"/>
  <c r="R188" i="36"/>
  <c r="S188" i="36"/>
  <c r="T188" i="36"/>
  <c r="U188" i="36"/>
  <c r="V188" i="36"/>
  <c r="W188" i="36"/>
  <c r="X188" i="36"/>
  <c r="Y188" i="36"/>
  <c r="Z188" i="36"/>
  <c r="O189" i="36"/>
  <c r="P189" i="36"/>
  <c r="Q189" i="36"/>
  <c r="R189" i="36"/>
  <c r="S189" i="36"/>
  <c r="T189" i="36"/>
  <c r="U189" i="36"/>
  <c r="V189" i="36"/>
  <c r="W189" i="36"/>
  <c r="X189" i="36"/>
  <c r="Y189" i="36"/>
  <c r="Z189" i="36"/>
  <c r="O190" i="36"/>
  <c r="P190" i="36"/>
  <c r="Q190" i="36"/>
  <c r="R190" i="36"/>
  <c r="S190" i="36"/>
  <c r="T190" i="36"/>
  <c r="U190" i="36"/>
  <c r="V190" i="36"/>
  <c r="W190" i="36"/>
  <c r="X190" i="36"/>
  <c r="Y190" i="36"/>
  <c r="Z190" i="36"/>
  <c r="O191" i="36"/>
  <c r="P191" i="36"/>
  <c r="Q191" i="36"/>
  <c r="R191" i="36"/>
  <c r="S191" i="36"/>
  <c r="T191" i="36"/>
  <c r="U191" i="36"/>
  <c r="V191" i="36"/>
  <c r="W191" i="36"/>
  <c r="X191" i="36"/>
  <c r="Y191" i="36"/>
  <c r="Z191" i="36"/>
  <c r="O193" i="36"/>
  <c r="P193" i="36"/>
  <c r="Q193" i="36"/>
  <c r="R193" i="36"/>
  <c r="S193" i="36"/>
  <c r="T193" i="36"/>
  <c r="U193" i="36"/>
  <c r="V193" i="36"/>
  <c r="W193" i="36"/>
  <c r="X193" i="36"/>
  <c r="Y193" i="36"/>
  <c r="Z193" i="36"/>
  <c r="P194" i="36"/>
  <c r="Q194" i="36"/>
  <c r="R194" i="36"/>
  <c r="S194" i="36"/>
  <c r="T194" i="36"/>
  <c r="U194" i="36"/>
  <c r="V194" i="36"/>
  <c r="W194" i="36"/>
  <c r="X194" i="36"/>
  <c r="Y194" i="36"/>
  <c r="Z194" i="36"/>
  <c r="O195" i="36"/>
  <c r="P195" i="36"/>
  <c r="Q195" i="36"/>
  <c r="R195" i="36"/>
  <c r="S195" i="36"/>
  <c r="T195" i="36"/>
  <c r="U195" i="36"/>
  <c r="V195" i="36"/>
  <c r="W195" i="36"/>
  <c r="X195" i="36"/>
  <c r="Y195" i="36"/>
  <c r="Z195" i="36"/>
  <c r="O196" i="36"/>
  <c r="P196" i="36"/>
  <c r="Q196" i="36"/>
  <c r="R196" i="36"/>
  <c r="S196" i="36"/>
  <c r="T196" i="36"/>
  <c r="U196" i="36"/>
  <c r="V196" i="36"/>
  <c r="W196" i="36"/>
  <c r="X196" i="36"/>
  <c r="Y196" i="36"/>
  <c r="Z196" i="36"/>
  <c r="O197" i="36"/>
  <c r="P197" i="36"/>
  <c r="Q197" i="36"/>
  <c r="R197" i="36"/>
  <c r="S197" i="36"/>
  <c r="T197" i="36"/>
  <c r="U197" i="36"/>
  <c r="V197" i="36"/>
  <c r="W197" i="36"/>
  <c r="X197" i="36"/>
  <c r="Y197" i="36"/>
  <c r="Z197" i="36"/>
  <c r="O198" i="36"/>
  <c r="P198" i="36"/>
  <c r="Q198" i="36"/>
  <c r="R198" i="36"/>
  <c r="S198" i="36"/>
  <c r="T198" i="36"/>
  <c r="U198" i="36"/>
  <c r="V198" i="36"/>
  <c r="W198" i="36"/>
  <c r="X198" i="36"/>
  <c r="Y198" i="36"/>
  <c r="Z198" i="36"/>
  <c r="O199" i="36"/>
  <c r="Q199" i="36"/>
  <c r="R199" i="36"/>
  <c r="S199" i="36"/>
  <c r="T199" i="36"/>
  <c r="U199" i="36"/>
  <c r="V199" i="36"/>
  <c r="W199" i="36"/>
  <c r="X199" i="36"/>
  <c r="Y199" i="36"/>
  <c r="Z199" i="36"/>
  <c r="O200" i="36"/>
  <c r="P200" i="36"/>
  <c r="R200" i="36"/>
  <c r="S200" i="36"/>
  <c r="T200" i="36"/>
  <c r="U200" i="36"/>
  <c r="V200" i="36"/>
  <c r="W200" i="36"/>
  <c r="X200" i="36"/>
  <c r="Y200" i="36"/>
  <c r="Z200" i="36"/>
  <c r="O201" i="36"/>
  <c r="P201" i="36"/>
  <c r="Q201" i="36"/>
  <c r="R201" i="36"/>
  <c r="S201" i="36"/>
  <c r="T201" i="36"/>
  <c r="U201" i="36"/>
  <c r="V201" i="36"/>
  <c r="W201" i="36"/>
  <c r="X201" i="36"/>
  <c r="Y201" i="36"/>
  <c r="O202" i="36"/>
  <c r="P202" i="36"/>
  <c r="Q202" i="36"/>
  <c r="R202" i="36"/>
  <c r="S202" i="36"/>
  <c r="T202" i="36"/>
  <c r="U202" i="36"/>
  <c r="V202" i="36"/>
  <c r="W202" i="36"/>
  <c r="X202" i="36"/>
  <c r="Y202" i="36"/>
  <c r="Z202" i="36"/>
  <c r="O203" i="36"/>
  <c r="P203" i="36"/>
  <c r="Q203" i="36"/>
  <c r="S203" i="36"/>
  <c r="T203" i="36"/>
  <c r="U203" i="36"/>
  <c r="V203" i="36"/>
  <c r="W203" i="36"/>
  <c r="X203" i="36"/>
  <c r="Y203" i="36"/>
  <c r="Z203" i="36"/>
  <c r="O204" i="36"/>
  <c r="Q204" i="36"/>
  <c r="R204" i="36"/>
  <c r="S204" i="36"/>
  <c r="T204" i="36"/>
  <c r="U204" i="36"/>
  <c r="V204" i="36"/>
  <c r="W204" i="36"/>
  <c r="X204" i="36"/>
  <c r="Y204" i="36"/>
  <c r="Z204" i="36"/>
  <c r="O205" i="36"/>
  <c r="P205" i="36"/>
  <c r="Q205" i="36"/>
  <c r="R205" i="36"/>
  <c r="S205" i="36"/>
  <c r="T205" i="36"/>
  <c r="U205" i="36"/>
  <c r="V205" i="36"/>
  <c r="W205" i="36"/>
  <c r="X205" i="36"/>
  <c r="Y205" i="36"/>
  <c r="Z205" i="36"/>
  <c r="O206" i="36"/>
  <c r="P206" i="36"/>
  <c r="Q206" i="36"/>
  <c r="R206" i="36"/>
  <c r="S206" i="36"/>
  <c r="T206" i="36"/>
  <c r="U206" i="36"/>
  <c r="V206" i="36"/>
  <c r="W206" i="36"/>
  <c r="X206" i="36"/>
  <c r="Y206" i="36"/>
  <c r="Z206" i="36"/>
  <c r="O207" i="36"/>
  <c r="P207" i="36"/>
  <c r="Q207" i="36"/>
  <c r="R207" i="36"/>
  <c r="S207" i="36"/>
  <c r="T207" i="36"/>
  <c r="U207" i="36"/>
  <c r="V207" i="36"/>
  <c r="W207" i="36"/>
  <c r="X207" i="36"/>
  <c r="Y207" i="36"/>
  <c r="Z207" i="36"/>
  <c r="O208" i="36"/>
  <c r="P208" i="36"/>
  <c r="Q208" i="36"/>
  <c r="R208" i="36"/>
  <c r="T208" i="36"/>
  <c r="U208" i="36"/>
  <c r="V208" i="36"/>
  <c r="W208" i="36"/>
  <c r="X208" i="36"/>
  <c r="Y208" i="36"/>
  <c r="Z208" i="36"/>
  <c r="O209" i="36"/>
  <c r="P209" i="36"/>
  <c r="Q209" i="36"/>
  <c r="R209" i="36"/>
  <c r="S209" i="36"/>
  <c r="T209" i="36"/>
  <c r="U209" i="36"/>
  <c r="V209" i="36"/>
  <c r="W209" i="36"/>
  <c r="X209" i="36"/>
  <c r="Y209" i="36"/>
  <c r="Z209" i="36"/>
  <c r="O210" i="36"/>
  <c r="P210" i="36"/>
  <c r="Q210" i="36"/>
  <c r="R210" i="36"/>
  <c r="S210" i="36"/>
  <c r="T210" i="36"/>
  <c r="U210" i="36"/>
  <c r="V210" i="36"/>
  <c r="W210" i="36"/>
  <c r="X210" i="36"/>
  <c r="Y210" i="36"/>
  <c r="Z210" i="36"/>
  <c r="O211" i="36"/>
  <c r="P211" i="36"/>
  <c r="Q211" i="36"/>
  <c r="R211" i="36"/>
  <c r="S211" i="36"/>
  <c r="U211" i="36"/>
  <c r="V211" i="36"/>
  <c r="W211" i="36"/>
  <c r="X211" i="36"/>
  <c r="Y211" i="36"/>
  <c r="Z211" i="36"/>
  <c r="O212" i="36"/>
  <c r="P212" i="36"/>
  <c r="Q212" i="36"/>
  <c r="R212" i="36"/>
  <c r="S212" i="36"/>
  <c r="T212" i="36"/>
  <c r="U212" i="36"/>
  <c r="V212" i="36"/>
  <c r="W212" i="36"/>
  <c r="X212" i="36"/>
  <c r="Y212" i="36"/>
  <c r="Z212" i="36"/>
  <c r="O213" i="36"/>
  <c r="P213" i="36"/>
  <c r="Q213" i="36"/>
  <c r="R213" i="36"/>
  <c r="S213" i="36"/>
  <c r="T213" i="36"/>
  <c r="V213" i="36"/>
  <c r="W213" i="36"/>
  <c r="X213" i="36"/>
  <c r="Y213" i="36"/>
  <c r="Z213" i="36"/>
  <c r="O214" i="36"/>
  <c r="P214" i="36"/>
  <c r="Q214" i="36"/>
  <c r="R214" i="36"/>
  <c r="S214" i="36"/>
  <c r="T214" i="36"/>
  <c r="U214" i="36"/>
  <c r="V214" i="36"/>
  <c r="W214" i="36"/>
  <c r="X214" i="36"/>
  <c r="Y214" i="36"/>
  <c r="Z214" i="36"/>
  <c r="O215" i="36"/>
  <c r="P215" i="36"/>
  <c r="Q215" i="36"/>
  <c r="R215" i="36"/>
  <c r="S215" i="36"/>
  <c r="T215" i="36"/>
  <c r="U215" i="36"/>
  <c r="V215" i="36"/>
  <c r="W215" i="36"/>
  <c r="X215" i="36"/>
  <c r="Y215" i="36"/>
  <c r="Z215" i="36"/>
  <c r="O216" i="36"/>
  <c r="P216" i="36"/>
  <c r="Q216" i="36"/>
  <c r="R216" i="36"/>
  <c r="S216" i="36"/>
  <c r="T216" i="36"/>
  <c r="U216" i="36"/>
  <c r="W216" i="36"/>
  <c r="X216" i="36"/>
  <c r="Y216" i="36"/>
  <c r="Z216" i="36"/>
  <c r="O217" i="36"/>
  <c r="P217" i="36"/>
  <c r="Q217" i="36"/>
  <c r="R217" i="36"/>
  <c r="S217" i="36"/>
  <c r="T217" i="36"/>
  <c r="U217" i="36"/>
  <c r="V217" i="36"/>
  <c r="W217" i="36"/>
  <c r="X217" i="36"/>
  <c r="Y217" i="36"/>
  <c r="Z217" i="36"/>
  <c r="O218" i="36"/>
  <c r="P218" i="36"/>
  <c r="Q218" i="36"/>
  <c r="R218" i="36"/>
  <c r="S218" i="36"/>
  <c r="T218" i="36"/>
  <c r="U218" i="36"/>
  <c r="V218" i="36"/>
  <c r="W218" i="36"/>
  <c r="X218" i="36"/>
  <c r="Y218" i="36"/>
  <c r="Z218" i="36"/>
  <c r="O219" i="36"/>
  <c r="P219" i="36"/>
  <c r="Q219" i="36"/>
  <c r="R219" i="36"/>
  <c r="S219" i="36"/>
  <c r="T219" i="36"/>
  <c r="U219" i="36"/>
  <c r="V219" i="36"/>
  <c r="W219" i="36"/>
  <c r="X219" i="36"/>
  <c r="Y219" i="36"/>
  <c r="Z219" i="36"/>
  <c r="O220" i="36"/>
  <c r="P220" i="36"/>
  <c r="Q220" i="36"/>
  <c r="R220" i="36"/>
  <c r="S220" i="36"/>
  <c r="T220" i="36"/>
  <c r="U220" i="36"/>
  <c r="V220" i="36"/>
  <c r="W220" i="36"/>
  <c r="X220" i="36"/>
  <c r="Z220" i="36"/>
  <c r="O221" i="36"/>
  <c r="P221" i="36"/>
  <c r="Q221" i="36"/>
  <c r="R221" i="36"/>
  <c r="S221" i="36"/>
  <c r="T221" i="36"/>
  <c r="U221" i="36"/>
  <c r="V221" i="36"/>
  <c r="W221" i="36"/>
  <c r="X221" i="36"/>
  <c r="Y221" i="36"/>
  <c r="Z221" i="36"/>
  <c r="O222" i="36"/>
  <c r="P222" i="36"/>
  <c r="Q222" i="36"/>
  <c r="R222" i="36"/>
  <c r="S222" i="36"/>
  <c r="T222" i="36"/>
  <c r="U222" i="36"/>
  <c r="V222" i="36"/>
  <c r="W222" i="36"/>
  <c r="X222" i="36"/>
  <c r="Y222" i="36"/>
  <c r="Z222" i="36"/>
  <c r="O223" i="36"/>
  <c r="P223" i="36"/>
  <c r="Q223" i="36"/>
  <c r="R223" i="36"/>
  <c r="S223" i="36"/>
  <c r="T223" i="36"/>
  <c r="U223" i="36"/>
  <c r="V223" i="36"/>
  <c r="W223" i="36"/>
  <c r="X223" i="36"/>
  <c r="Y223" i="36"/>
  <c r="Z223" i="36"/>
  <c r="O224" i="36"/>
  <c r="P224" i="36"/>
  <c r="Q224" i="36"/>
  <c r="R224" i="36"/>
  <c r="S224" i="36"/>
  <c r="T224" i="36"/>
  <c r="U224" i="36"/>
  <c r="V224" i="36"/>
  <c r="W224" i="36"/>
  <c r="X224" i="36"/>
  <c r="Y224" i="36"/>
  <c r="Z224" i="36"/>
  <c r="O225" i="36"/>
  <c r="P225" i="36"/>
  <c r="Q225" i="36"/>
  <c r="R225" i="36"/>
  <c r="S225" i="36"/>
  <c r="T225" i="36"/>
  <c r="U225" i="36"/>
  <c r="V225" i="36"/>
  <c r="W225" i="36"/>
  <c r="X225" i="36"/>
  <c r="Y225" i="36"/>
  <c r="Z225" i="36"/>
  <c r="O226" i="36"/>
  <c r="P226" i="36"/>
  <c r="Q226" i="36"/>
  <c r="R226" i="36"/>
  <c r="S226" i="36"/>
  <c r="T226" i="36"/>
  <c r="U226" i="36"/>
  <c r="V226" i="36"/>
  <c r="W226" i="36"/>
  <c r="X226" i="36"/>
  <c r="Y226" i="36"/>
  <c r="Z226" i="36"/>
  <c r="O228" i="36"/>
  <c r="P228" i="36"/>
  <c r="Q228" i="36"/>
  <c r="R228" i="36"/>
  <c r="S228" i="36"/>
  <c r="T228" i="36"/>
  <c r="U228" i="36"/>
  <c r="V228" i="36"/>
  <c r="W228" i="36"/>
  <c r="X228" i="36"/>
  <c r="Y228" i="36"/>
  <c r="Z228" i="36"/>
  <c r="P229" i="36"/>
  <c r="Q229" i="36"/>
  <c r="R229" i="36"/>
  <c r="S229" i="36"/>
  <c r="T229" i="36"/>
  <c r="U229" i="36"/>
  <c r="V229" i="36"/>
  <c r="W229" i="36"/>
  <c r="X229" i="36"/>
  <c r="Y229" i="36"/>
  <c r="Z229" i="36"/>
  <c r="O230" i="36"/>
  <c r="P230" i="36"/>
  <c r="Q230" i="36"/>
  <c r="R230" i="36"/>
  <c r="S230" i="36"/>
  <c r="T230" i="36"/>
  <c r="U230" i="36"/>
  <c r="V230" i="36"/>
  <c r="W230" i="36"/>
  <c r="X230" i="36"/>
  <c r="Y230" i="36"/>
  <c r="Z230" i="36"/>
  <c r="O231" i="36"/>
  <c r="P231" i="36"/>
  <c r="Q231" i="36"/>
  <c r="R231" i="36"/>
  <c r="S231" i="36"/>
  <c r="T231" i="36"/>
  <c r="U231" i="36"/>
  <c r="V231" i="36"/>
  <c r="W231" i="36"/>
  <c r="X231" i="36"/>
  <c r="Y231" i="36"/>
  <c r="Z231" i="36"/>
  <c r="O232" i="36"/>
  <c r="P232" i="36"/>
  <c r="Q232" i="36"/>
  <c r="R232" i="36"/>
  <c r="S232" i="36"/>
  <c r="T232" i="36"/>
  <c r="U232" i="36"/>
  <c r="V232" i="36"/>
  <c r="W232" i="36"/>
  <c r="X232" i="36"/>
  <c r="Y232" i="36"/>
  <c r="Z232" i="36"/>
  <c r="O233" i="36"/>
  <c r="P233" i="36"/>
  <c r="Q233" i="36"/>
  <c r="R233" i="36"/>
  <c r="S233" i="36"/>
  <c r="T233" i="36"/>
  <c r="U233" i="36"/>
  <c r="V233" i="36"/>
  <c r="W233" i="36"/>
  <c r="X233" i="36"/>
  <c r="Y233" i="36"/>
  <c r="Z233" i="36"/>
  <c r="O234" i="36"/>
  <c r="Q234" i="36"/>
  <c r="R234" i="36"/>
  <c r="T234" i="36"/>
  <c r="U234" i="36"/>
  <c r="V234" i="36"/>
  <c r="W234" i="36"/>
  <c r="X234" i="36"/>
  <c r="Y234" i="36"/>
  <c r="Z234" i="36"/>
  <c r="O235" i="36"/>
  <c r="P235" i="36"/>
  <c r="R235" i="36"/>
  <c r="S235" i="36"/>
  <c r="T235" i="36"/>
  <c r="U235" i="36"/>
  <c r="V235" i="36"/>
  <c r="W235" i="36"/>
  <c r="X235" i="36"/>
  <c r="Y235" i="36"/>
  <c r="Z235" i="36"/>
  <c r="O236" i="36"/>
  <c r="P236" i="36"/>
  <c r="Q236" i="36"/>
  <c r="R236" i="36"/>
  <c r="S236" i="36"/>
  <c r="T236" i="36"/>
  <c r="U236" i="36"/>
  <c r="V236" i="36"/>
  <c r="W236" i="36"/>
  <c r="X236" i="36"/>
  <c r="Y236" i="36"/>
  <c r="O237" i="36"/>
  <c r="P237" i="36"/>
  <c r="Q237" i="36"/>
  <c r="R237" i="36"/>
  <c r="S237" i="36"/>
  <c r="T237" i="36"/>
  <c r="U237" i="36"/>
  <c r="V237" i="36"/>
  <c r="W237" i="36"/>
  <c r="X237" i="36"/>
  <c r="Y237" i="36"/>
  <c r="Z237" i="36"/>
  <c r="O238" i="36"/>
  <c r="P238" i="36"/>
  <c r="Q238" i="36"/>
  <c r="S238" i="36"/>
  <c r="T238" i="36"/>
  <c r="U238" i="36"/>
  <c r="V238" i="36"/>
  <c r="W238" i="36"/>
  <c r="X238" i="36"/>
  <c r="Y238" i="36"/>
  <c r="Z238" i="36"/>
  <c r="O239" i="36"/>
  <c r="P239" i="36"/>
  <c r="Q239" i="36"/>
  <c r="R239" i="36"/>
  <c r="S239" i="36"/>
  <c r="T239" i="36"/>
  <c r="U239" i="36"/>
  <c r="V239" i="36"/>
  <c r="W239" i="36"/>
  <c r="X239" i="36"/>
  <c r="Y239" i="36"/>
  <c r="Z239" i="36"/>
  <c r="O240" i="36"/>
  <c r="P240" i="36"/>
  <c r="Q240" i="36"/>
  <c r="R240" i="36"/>
  <c r="S240" i="36"/>
  <c r="T240" i="36"/>
  <c r="U240" i="36"/>
  <c r="V240" i="36"/>
  <c r="W240" i="36"/>
  <c r="X240" i="36"/>
  <c r="Y240" i="36"/>
  <c r="Z240" i="36"/>
  <c r="O241" i="36"/>
  <c r="P241" i="36"/>
  <c r="Q241" i="36"/>
  <c r="R241" i="36"/>
  <c r="S241" i="36"/>
  <c r="T241" i="36"/>
  <c r="U241" i="36"/>
  <c r="V241" i="36"/>
  <c r="W241" i="36"/>
  <c r="X241" i="36"/>
  <c r="Y241" i="36"/>
  <c r="Z241" i="36"/>
  <c r="O242" i="36"/>
  <c r="P242" i="36"/>
  <c r="Q242" i="36"/>
  <c r="R242" i="36"/>
  <c r="S242" i="36"/>
  <c r="T242" i="36"/>
  <c r="U242" i="36"/>
  <c r="V242" i="36"/>
  <c r="W242" i="36"/>
  <c r="X242" i="36"/>
  <c r="Y242" i="36"/>
  <c r="Z242" i="36"/>
  <c r="O243" i="36"/>
  <c r="P243" i="36"/>
  <c r="Q243" i="36"/>
  <c r="R243" i="36"/>
  <c r="T243" i="36"/>
  <c r="U243" i="36"/>
  <c r="V243" i="36"/>
  <c r="W243" i="36"/>
  <c r="X243" i="36"/>
  <c r="Y243" i="36"/>
  <c r="Z243" i="36"/>
  <c r="O244" i="36"/>
  <c r="P244" i="36"/>
  <c r="Q244" i="36"/>
  <c r="R244" i="36"/>
  <c r="S244" i="36"/>
  <c r="T244" i="36"/>
  <c r="U244" i="36"/>
  <c r="V244" i="36"/>
  <c r="W244" i="36"/>
  <c r="X244" i="36"/>
  <c r="Y244" i="36"/>
  <c r="Z244" i="36"/>
  <c r="O245" i="36"/>
  <c r="P245" i="36"/>
  <c r="Q245" i="36"/>
  <c r="R245" i="36"/>
  <c r="S245" i="36"/>
  <c r="T245" i="36"/>
  <c r="U245" i="36"/>
  <c r="V245" i="36"/>
  <c r="W245" i="36"/>
  <c r="X245" i="36"/>
  <c r="Y245" i="36"/>
  <c r="Z245" i="36"/>
  <c r="O246" i="36"/>
  <c r="P246" i="36"/>
  <c r="Q246" i="36"/>
  <c r="R246" i="36"/>
  <c r="S246" i="36"/>
  <c r="U246" i="36"/>
  <c r="V246" i="36"/>
  <c r="W246" i="36"/>
  <c r="X246" i="36"/>
  <c r="Y246" i="36"/>
  <c r="Z246" i="36"/>
  <c r="O247" i="36"/>
  <c r="P247" i="36"/>
  <c r="Q247" i="36"/>
  <c r="R247" i="36"/>
  <c r="S247" i="36"/>
  <c r="T247" i="36"/>
  <c r="U247" i="36"/>
  <c r="V247" i="36"/>
  <c r="W247" i="36"/>
  <c r="X247" i="36"/>
  <c r="Y247" i="36"/>
  <c r="Z247" i="36"/>
  <c r="O248" i="36"/>
  <c r="P248" i="36"/>
  <c r="Q248" i="36"/>
  <c r="R248" i="36"/>
  <c r="S248" i="36"/>
  <c r="T248" i="36"/>
  <c r="V248" i="36"/>
  <c r="W248" i="36"/>
  <c r="X248" i="36"/>
  <c r="Y248" i="36"/>
  <c r="Z248" i="36"/>
  <c r="O249" i="36"/>
  <c r="P249" i="36"/>
  <c r="Q249" i="36"/>
  <c r="R249" i="36"/>
  <c r="S249" i="36"/>
  <c r="T249" i="36"/>
  <c r="U249" i="36"/>
  <c r="V249" i="36"/>
  <c r="W249" i="36"/>
  <c r="X249" i="36"/>
  <c r="Y249" i="36"/>
  <c r="Z249" i="36"/>
  <c r="O250" i="36"/>
  <c r="P250" i="36"/>
  <c r="Q250" i="36"/>
  <c r="R250" i="36"/>
  <c r="S250" i="36"/>
  <c r="T250" i="36"/>
  <c r="U250" i="36"/>
  <c r="V250" i="36"/>
  <c r="W250" i="36"/>
  <c r="X250" i="36"/>
  <c r="Y250" i="36"/>
  <c r="Z250" i="36"/>
  <c r="O251" i="36"/>
  <c r="P251" i="36"/>
  <c r="Q251" i="36"/>
  <c r="R251" i="36"/>
  <c r="S251" i="36"/>
  <c r="T251" i="36"/>
  <c r="U251" i="36"/>
  <c r="W251" i="36"/>
  <c r="X251" i="36"/>
  <c r="Y251" i="36"/>
  <c r="Z251" i="36"/>
  <c r="O252" i="36"/>
  <c r="P252" i="36"/>
  <c r="Q252" i="36"/>
  <c r="R252" i="36"/>
  <c r="S252" i="36"/>
  <c r="T252" i="36"/>
  <c r="U252" i="36"/>
  <c r="V252" i="36"/>
  <c r="W252" i="36"/>
  <c r="X252" i="36"/>
  <c r="Y252" i="36"/>
  <c r="Z252" i="36"/>
  <c r="O253" i="36"/>
  <c r="P253" i="36"/>
  <c r="Q253" i="36"/>
  <c r="R253" i="36"/>
  <c r="S253" i="36"/>
  <c r="T253" i="36"/>
  <c r="U253" i="36"/>
  <c r="V253" i="36"/>
  <c r="W253" i="36"/>
  <c r="X253" i="36"/>
  <c r="Y253" i="36"/>
  <c r="Z253" i="36"/>
  <c r="O254" i="36"/>
  <c r="P254" i="36"/>
  <c r="Q254" i="36"/>
  <c r="R254" i="36"/>
  <c r="S254" i="36"/>
  <c r="T254" i="36"/>
  <c r="U254" i="36"/>
  <c r="V254" i="36"/>
  <c r="W254" i="36"/>
  <c r="X254" i="36"/>
  <c r="Y254" i="36"/>
  <c r="Z254" i="36"/>
  <c r="O255" i="36"/>
  <c r="P255" i="36"/>
  <c r="Q255" i="36"/>
  <c r="R255" i="36"/>
  <c r="S255" i="36"/>
  <c r="T255" i="36"/>
  <c r="U255" i="36"/>
  <c r="V255" i="36"/>
  <c r="W255" i="36"/>
  <c r="X255" i="36"/>
  <c r="Z255" i="36"/>
  <c r="O256" i="36"/>
  <c r="P256" i="36"/>
  <c r="Q256" i="36"/>
  <c r="R256" i="36"/>
  <c r="S256" i="36"/>
  <c r="T256" i="36"/>
  <c r="U256" i="36"/>
  <c r="V256" i="36"/>
  <c r="W256" i="36"/>
  <c r="X256" i="36"/>
  <c r="Y256" i="36"/>
  <c r="Z256" i="36"/>
  <c r="O257" i="36"/>
  <c r="P257" i="36"/>
  <c r="Q257" i="36"/>
  <c r="R257" i="36"/>
  <c r="S257" i="36"/>
  <c r="T257" i="36"/>
  <c r="U257" i="36"/>
  <c r="V257" i="36"/>
  <c r="W257" i="36"/>
  <c r="X257" i="36"/>
  <c r="Y257" i="36"/>
  <c r="Z257" i="36"/>
  <c r="O258" i="36"/>
  <c r="P258" i="36"/>
  <c r="Q258" i="36"/>
  <c r="R258" i="36"/>
  <c r="S258" i="36"/>
  <c r="T258" i="36"/>
  <c r="U258" i="36"/>
  <c r="V258" i="36"/>
  <c r="W258" i="36"/>
  <c r="X258" i="36"/>
  <c r="Y258" i="36"/>
  <c r="Z258" i="36"/>
  <c r="O259" i="36"/>
  <c r="P259" i="36"/>
  <c r="Q259" i="36"/>
  <c r="R259" i="36"/>
  <c r="S259" i="36"/>
  <c r="T259" i="36"/>
  <c r="U259" i="36"/>
  <c r="V259" i="36"/>
  <c r="W259" i="36"/>
  <c r="X259" i="36"/>
  <c r="Y259" i="36"/>
  <c r="Z259" i="36"/>
  <c r="O260" i="36"/>
  <c r="P260" i="36"/>
  <c r="Q260" i="36"/>
  <c r="R260" i="36"/>
  <c r="S260" i="36"/>
  <c r="T260" i="36"/>
  <c r="U260" i="36"/>
  <c r="V260" i="36"/>
  <c r="W260" i="36"/>
  <c r="X260" i="36"/>
  <c r="Y260" i="36"/>
  <c r="Z260" i="36"/>
  <c r="O261" i="36"/>
  <c r="P261" i="36"/>
  <c r="Q261" i="36"/>
  <c r="R261" i="36"/>
  <c r="S261" i="36"/>
  <c r="T261" i="36"/>
  <c r="U261" i="36"/>
  <c r="V261" i="36"/>
  <c r="W261" i="36"/>
  <c r="X261" i="36"/>
  <c r="Y261" i="36"/>
  <c r="Z261" i="36"/>
  <c r="O263" i="36"/>
  <c r="P263" i="36"/>
  <c r="Q263" i="36"/>
  <c r="R263" i="36"/>
  <c r="S263" i="36"/>
  <c r="T263" i="36"/>
  <c r="U263" i="36"/>
  <c r="V263" i="36"/>
  <c r="W263" i="36"/>
  <c r="X263" i="36"/>
  <c r="Y263" i="36"/>
  <c r="Z263" i="36"/>
  <c r="P264" i="36"/>
  <c r="Q264" i="36"/>
  <c r="R264" i="36"/>
  <c r="S264" i="36"/>
  <c r="T264" i="36"/>
  <c r="U264" i="36"/>
  <c r="V264" i="36"/>
  <c r="W264" i="36"/>
  <c r="X264" i="36"/>
  <c r="Y264" i="36"/>
  <c r="Z264" i="36"/>
  <c r="O265" i="36"/>
  <c r="P265" i="36"/>
  <c r="Q265" i="36"/>
  <c r="R265" i="36"/>
  <c r="S265" i="36"/>
  <c r="T265" i="36"/>
  <c r="U265" i="36"/>
  <c r="V265" i="36"/>
  <c r="W265" i="36"/>
  <c r="X265" i="36"/>
  <c r="Y265" i="36"/>
  <c r="Z265" i="36"/>
  <c r="O266" i="36"/>
  <c r="P266" i="36"/>
  <c r="Q266" i="36"/>
  <c r="R266" i="36"/>
  <c r="S266" i="36"/>
  <c r="T266" i="36"/>
  <c r="U266" i="36"/>
  <c r="V266" i="36"/>
  <c r="W266" i="36"/>
  <c r="X266" i="36"/>
  <c r="Y266" i="36"/>
  <c r="Z266" i="36"/>
  <c r="O267" i="36"/>
  <c r="P267" i="36"/>
  <c r="Q267" i="36"/>
  <c r="R267" i="36"/>
  <c r="S267" i="36"/>
  <c r="T267" i="36"/>
  <c r="U267" i="36"/>
  <c r="V267" i="36"/>
  <c r="W267" i="36"/>
  <c r="X267" i="36"/>
  <c r="Y267" i="36"/>
  <c r="Z267" i="36"/>
  <c r="O268" i="36"/>
  <c r="P268" i="36"/>
  <c r="Q268" i="36"/>
  <c r="R268" i="36"/>
  <c r="S268" i="36"/>
  <c r="T268" i="36"/>
  <c r="U268" i="36"/>
  <c r="V268" i="36"/>
  <c r="W268" i="36"/>
  <c r="X268" i="36"/>
  <c r="Y268" i="36"/>
  <c r="Z268" i="36"/>
  <c r="O269" i="36"/>
  <c r="Q269" i="36"/>
  <c r="R269" i="36"/>
  <c r="S269" i="36"/>
  <c r="T269" i="36"/>
  <c r="U269" i="36"/>
  <c r="V269" i="36"/>
  <c r="W269" i="36"/>
  <c r="X269" i="36"/>
  <c r="Y269" i="36"/>
  <c r="Z269" i="36"/>
  <c r="O270" i="36"/>
  <c r="P270" i="36"/>
  <c r="R270" i="36"/>
  <c r="S270" i="36"/>
  <c r="T270" i="36"/>
  <c r="U270" i="36"/>
  <c r="V270" i="36"/>
  <c r="W270" i="36"/>
  <c r="X270" i="36"/>
  <c r="Y270" i="36"/>
  <c r="Z270" i="36"/>
  <c r="O271" i="36"/>
  <c r="P271" i="36"/>
  <c r="Q271" i="36"/>
  <c r="R271" i="36"/>
  <c r="S271" i="36"/>
  <c r="T271" i="36"/>
  <c r="U271" i="36"/>
  <c r="V271" i="36"/>
  <c r="W271" i="36"/>
  <c r="X271" i="36"/>
  <c r="Y271" i="36"/>
  <c r="O272" i="36"/>
  <c r="P272" i="36"/>
  <c r="Q272" i="36"/>
  <c r="R272" i="36"/>
  <c r="S272" i="36"/>
  <c r="T272" i="36"/>
  <c r="U272" i="36"/>
  <c r="V272" i="36"/>
  <c r="W272" i="36"/>
  <c r="X272" i="36"/>
  <c r="Y272" i="36"/>
  <c r="Z272" i="36"/>
  <c r="O273" i="36"/>
  <c r="P273" i="36"/>
  <c r="Q273" i="36"/>
  <c r="S273" i="36"/>
  <c r="T273" i="36"/>
  <c r="U273" i="36"/>
  <c r="V273" i="36"/>
  <c r="W273" i="36"/>
  <c r="X273" i="36"/>
  <c r="Y273" i="36"/>
  <c r="Z273" i="36"/>
  <c r="O274" i="36"/>
  <c r="P274" i="36"/>
  <c r="Q274" i="36"/>
  <c r="R274" i="36"/>
  <c r="S274" i="36"/>
  <c r="T274" i="36"/>
  <c r="U274" i="36"/>
  <c r="V274" i="36"/>
  <c r="W274" i="36"/>
  <c r="X274" i="36"/>
  <c r="Y274" i="36"/>
  <c r="Z274" i="36"/>
  <c r="O275" i="36"/>
  <c r="P275" i="36"/>
  <c r="Q275" i="36"/>
  <c r="R275" i="36"/>
  <c r="S275" i="36"/>
  <c r="T275" i="36"/>
  <c r="U275" i="36"/>
  <c r="V275" i="36"/>
  <c r="W275" i="36"/>
  <c r="X275" i="36"/>
  <c r="Y275" i="36"/>
  <c r="Z275" i="36"/>
  <c r="O276" i="36"/>
  <c r="P276" i="36"/>
  <c r="Q276" i="36"/>
  <c r="R276" i="36"/>
  <c r="S276" i="36"/>
  <c r="T276" i="36"/>
  <c r="U276" i="36"/>
  <c r="V276" i="36"/>
  <c r="W276" i="36"/>
  <c r="X276" i="36"/>
  <c r="Y276" i="36"/>
  <c r="Z276" i="36"/>
  <c r="O277" i="36"/>
  <c r="P277" i="36"/>
  <c r="Q277" i="36"/>
  <c r="R277" i="36"/>
  <c r="S277" i="36"/>
  <c r="T277" i="36"/>
  <c r="U277" i="36"/>
  <c r="V277" i="36"/>
  <c r="W277" i="36"/>
  <c r="X277" i="36"/>
  <c r="Y277" i="36"/>
  <c r="Z277" i="36"/>
  <c r="O278" i="36"/>
  <c r="P278" i="36"/>
  <c r="Q278" i="36"/>
  <c r="R278" i="36"/>
  <c r="T278" i="36"/>
  <c r="U278" i="36"/>
  <c r="V278" i="36"/>
  <c r="W278" i="36"/>
  <c r="X278" i="36"/>
  <c r="Y278" i="36"/>
  <c r="Z278" i="36"/>
  <c r="O279" i="36"/>
  <c r="P279" i="36"/>
  <c r="Q279" i="36"/>
  <c r="R279" i="36"/>
  <c r="S279" i="36"/>
  <c r="T279" i="36"/>
  <c r="U279" i="36"/>
  <c r="V279" i="36"/>
  <c r="W279" i="36"/>
  <c r="X279" i="36"/>
  <c r="Y279" i="36"/>
  <c r="Z279" i="36"/>
  <c r="O280" i="36"/>
  <c r="P280" i="36"/>
  <c r="Q280" i="36"/>
  <c r="R280" i="36"/>
  <c r="S280" i="36"/>
  <c r="T280" i="36"/>
  <c r="U280" i="36"/>
  <c r="V280" i="36"/>
  <c r="W280" i="36"/>
  <c r="X280" i="36"/>
  <c r="Y280" i="36"/>
  <c r="Z280" i="36"/>
  <c r="O281" i="36"/>
  <c r="P281" i="36"/>
  <c r="Q281" i="36"/>
  <c r="R281" i="36"/>
  <c r="S281" i="36"/>
  <c r="U281" i="36"/>
  <c r="V281" i="36"/>
  <c r="W281" i="36"/>
  <c r="X281" i="36"/>
  <c r="Y281" i="36"/>
  <c r="Z281" i="36"/>
  <c r="O282" i="36"/>
  <c r="Q282" i="36"/>
  <c r="R282" i="36"/>
  <c r="S282" i="36"/>
  <c r="T282" i="36"/>
  <c r="U282" i="36"/>
  <c r="V282" i="36"/>
  <c r="W282" i="36"/>
  <c r="X282" i="36"/>
  <c r="Y282" i="36"/>
  <c r="Z282" i="36"/>
  <c r="O283" i="36"/>
  <c r="P283" i="36"/>
  <c r="Q283" i="36"/>
  <c r="R283" i="36"/>
  <c r="S283" i="36"/>
  <c r="T283" i="36"/>
  <c r="V283" i="36"/>
  <c r="W283" i="36"/>
  <c r="X283" i="36"/>
  <c r="Y283" i="36"/>
  <c r="Z283" i="36"/>
  <c r="O284" i="36"/>
  <c r="P284" i="36"/>
  <c r="Q284" i="36"/>
  <c r="R284" i="36"/>
  <c r="S284" i="36"/>
  <c r="T284" i="36"/>
  <c r="U284" i="36"/>
  <c r="V284" i="36"/>
  <c r="W284" i="36"/>
  <c r="X284" i="36"/>
  <c r="Y284" i="36"/>
  <c r="Z284" i="36"/>
  <c r="O285" i="36"/>
  <c r="P285" i="36"/>
  <c r="Q285" i="36"/>
  <c r="R285" i="36"/>
  <c r="S285" i="36"/>
  <c r="T285" i="36"/>
  <c r="U285" i="36"/>
  <c r="V285" i="36"/>
  <c r="W285" i="36"/>
  <c r="X285" i="36"/>
  <c r="Y285" i="36"/>
  <c r="Z285" i="36"/>
  <c r="O286" i="36"/>
  <c r="P286" i="36"/>
  <c r="Q286" i="36"/>
  <c r="R286" i="36"/>
  <c r="S286" i="36"/>
  <c r="T286" i="36"/>
  <c r="U286" i="36"/>
  <c r="W286" i="36"/>
  <c r="X286" i="36"/>
  <c r="Y286" i="36"/>
  <c r="Z286" i="36"/>
  <c r="O287" i="36"/>
  <c r="P287" i="36"/>
  <c r="Q287" i="36"/>
  <c r="R287" i="36"/>
  <c r="S287" i="36"/>
  <c r="T287" i="36"/>
  <c r="U287" i="36"/>
  <c r="V287" i="36"/>
  <c r="W287" i="36"/>
  <c r="X287" i="36"/>
  <c r="Y287" i="36"/>
  <c r="Z287" i="36"/>
  <c r="O288" i="36"/>
  <c r="P288" i="36"/>
  <c r="Q288" i="36"/>
  <c r="R288" i="36"/>
  <c r="S288" i="36"/>
  <c r="T288" i="36"/>
  <c r="U288" i="36"/>
  <c r="V288" i="36"/>
  <c r="W288" i="36"/>
  <c r="X288" i="36"/>
  <c r="Y288" i="36"/>
  <c r="Z288" i="36"/>
  <c r="O289" i="36"/>
  <c r="P289" i="36"/>
  <c r="Q289" i="36"/>
  <c r="R289" i="36"/>
  <c r="S289" i="36"/>
  <c r="T289" i="36"/>
  <c r="U289" i="36"/>
  <c r="V289" i="36"/>
  <c r="W289" i="36"/>
  <c r="X289" i="36"/>
  <c r="Y289" i="36"/>
  <c r="Z289" i="36"/>
  <c r="O290" i="36"/>
  <c r="P290" i="36"/>
  <c r="Q290" i="36"/>
  <c r="R290" i="36"/>
  <c r="S290" i="36"/>
  <c r="T290" i="36"/>
  <c r="U290" i="36"/>
  <c r="V290" i="36"/>
  <c r="W290" i="36"/>
  <c r="X290" i="36"/>
  <c r="Z290" i="36"/>
  <c r="O291" i="36"/>
  <c r="P291" i="36"/>
  <c r="Q291" i="36"/>
  <c r="R291" i="36"/>
  <c r="S291" i="36"/>
  <c r="T291" i="36"/>
  <c r="U291" i="36"/>
  <c r="V291" i="36"/>
  <c r="W291" i="36"/>
  <c r="X291" i="36"/>
  <c r="Y291" i="36"/>
  <c r="Z291" i="36"/>
  <c r="O292" i="36"/>
  <c r="P292" i="36"/>
  <c r="Q292" i="36"/>
  <c r="R292" i="36"/>
  <c r="S292" i="36"/>
  <c r="T292" i="36"/>
  <c r="U292" i="36"/>
  <c r="V292" i="36"/>
  <c r="W292" i="36"/>
  <c r="X292" i="36"/>
  <c r="Y292" i="36"/>
  <c r="Z292" i="36"/>
  <c r="O293" i="36"/>
  <c r="P293" i="36"/>
  <c r="Q293" i="36"/>
  <c r="R293" i="36"/>
  <c r="S293" i="36"/>
  <c r="T293" i="36"/>
  <c r="U293" i="36"/>
  <c r="V293" i="36"/>
  <c r="W293" i="36"/>
  <c r="X293" i="36"/>
  <c r="Y293" i="36"/>
  <c r="Z293" i="36"/>
  <c r="O294" i="36"/>
  <c r="P294" i="36"/>
  <c r="Q294" i="36"/>
  <c r="R294" i="36"/>
  <c r="S294" i="36"/>
  <c r="T294" i="36"/>
  <c r="U294" i="36"/>
  <c r="V294" i="36"/>
  <c r="W294" i="36"/>
  <c r="X294" i="36"/>
  <c r="Y294" i="36"/>
  <c r="Z294" i="36"/>
  <c r="O295" i="36"/>
  <c r="P295" i="36"/>
  <c r="Q295" i="36"/>
  <c r="R295" i="36"/>
  <c r="S295" i="36"/>
  <c r="T295" i="36"/>
  <c r="U295" i="36"/>
  <c r="V295" i="36"/>
  <c r="W295" i="36"/>
  <c r="X295" i="36"/>
  <c r="Y295" i="36"/>
  <c r="Z295" i="36"/>
  <c r="O296" i="36"/>
  <c r="P296" i="36"/>
  <c r="Q296" i="36"/>
  <c r="R296" i="36"/>
  <c r="S296" i="36"/>
  <c r="T296" i="36"/>
  <c r="U296" i="36"/>
  <c r="V296" i="36"/>
  <c r="W296" i="36"/>
  <c r="X296" i="36"/>
  <c r="Y296" i="36"/>
  <c r="Z296" i="36"/>
  <c r="P303" i="36"/>
  <c r="Q303" i="36"/>
  <c r="R303" i="36"/>
  <c r="S303" i="36"/>
  <c r="T303" i="36"/>
  <c r="U303" i="36"/>
  <c r="V303" i="36"/>
  <c r="W303" i="36"/>
  <c r="X303" i="36"/>
  <c r="Z303" i="36"/>
  <c r="P304" i="36"/>
  <c r="Q304" i="36"/>
  <c r="R304" i="36"/>
  <c r="S304" i="36"/>
  <c r="T304" i="36"/>
  <c r="U304" i="36"/>
  <c r="V304" i="36"/>
  <c r="W304" i="36"/>
  <c r="X304" i="36"/>
  <c r="Z304" i="36"/>
  <c r="G714" i="27" l="1"/>
  <c r="Y309" i="36"/>
  <c r="H51" i="37" l="1"/>
  <c r="I6" i="36" l="1"/>
  <c r="L6" i="36" s="1"/>
  <c r="G710" i="27"/>
  <c r="U24" i="36" l="1"/>
  <c r="V29" i="36"/>
  <c r="Q14" i="36"/>
  <c r="Z6" i="36"/>
  <c r="P13" i="36"/>
  <c r="T22" i="36"/>
  <c r="S21" i="36"/>
  <c r="Y28" i="36"/>
  <c r="O8" i="36"/>
  <c r="R16" i="36"/>
  <c r="I262" i="36"/>
  <c r="L262" i="36" s="1"/>
  <c r="I227" i="36"/>
  <c r="L227" i="36" s="1"/>
  <c r="I192" i="36"/>
  <c r="L192" i="36" s="1"/>
  <c r="I137" i="36"/>
  <c r="L137" i="36" s="1"/>
  <c r="I157" i="36"/>
  <c r="L157" i="36" s="1"/>
  <c r="Q165" i="36" l="1"/>
  <c r="S173" i="36"/>
  <c r="P164" i="36"/>
  <c r="V181" i="36"/>
  <c r="U178" i="36"/>
  <c r="Z166" i="36"/>
  <c r="R168" i="36"/>
  <c r="T176" i="36"/>
  <c r="O159" i="36"/>
  <c r="Y185" i="36"/>
  <c r="Y308" i="36"/>
  <c r="G113" i="26" s="1"/>
  <c r="Q200" i="36"/>
  <c r="S208" i="36"/>
  <c r="P199" i="36"/>
  <c r="V216" i="36"/>
  <c r="U213" i="36"/>
  <c r="Z201" i="36"/>
  <c r="R203" i="36"/>
  <c r="T211" i="36"/>
  <c r="O194" i="36"/>
  <c r="Y220" i="36"/>
  <c r="Y151" i="36"/>
  <c r="Z139" i="36"/>
  <c r="R141" i="36"/>
  <c r="T146" i="36"/>
  <c r="O138" i="36"/>
  <c r="O229" i="36"/>
  <c r="Y255" i="36"/>
  <c r="V251" i="36"/>
  <c r="P234" i="36"/>
  <c r="Q235" i="36"/>
  <c r="S243" i="36"/>
  <c r="Z236" i="36"/>
  <c r="R238" i="36"/>
  <c r="U248" i="36"/>
  <c r="T246" i="36"/>
  <c r="R273" i="36"/>
  <c r="T281" i="36"/>
  <c r="O264" i="36"/>
  <c r="Y290" i="36"/>
  <c r="P269" i="36"/>
  <c r="V286" i="36"/>
  <c r="S278" i="36"/>
  <c r="Q270" i="36"/>
  <c r="U283" i="36"/>
  <c r="Z271" i="36"/>
  <c r="J113" i="26" l="1"/>
  <c r="J712" i="27"/>
  <c r="L712" i="27" l="1"/>
  <c r="K712" i="27"/>
  <c r="M712" i="27" l="1"/>
  <c r="G664" i="27" l="1"/>
  <c r="F664" i="27"/>
  <c r="I49" i="36" l="1"/>
  <c r="L49" i="36" s="1"/>
  <c r="I47" i="37"/>
  <c r="G698" i="27"/>
  <c r="G697" i="27"/>
  <c r="F698" i="27"/>
  <c r="F685" i="27"/>
  <c r="H104" i="35"/>
  <c r="F681" i="27" s="1"/>
  <c r="F686" i="27"/>
  <c r="F661" i="27"/>
  <c r="G648" i="27"/>
  <c r="G713" i="27"/>
  <c r="G716" i="27"/>
  <c r="G114" i="26"/>
  <c r="P309" i="36"/>
  <c r="Q309" i="36"/>
  <c r="R309" i="36"/>
  <c r="S309" i="36"/>
  <c r="T309" i="36"/>
  <c r="U309" i="36"/>
  <c r="V309" i="36"/>
  <c r="W309" i="36"/>
  <c r="X309" i="36"/>
  <c r="Z309" i="36"/>
  <c r="O309" i="36"/>
  <c r="J714" i="27" l="1"/>
  <c r="G54" i="26"/>
  <c r="I53" i="37"/>
  <c r="L53" i="37" s="1"/>
  <c r="I52" i="37"/>
  <c r="L52" i="37" s="1"/>
  <c r="L55" i="37"/>
  <c r="L54" i="37"/>
  <c r="I50" i="37"/>
  <c r="L50" i="37" s="1"/>
  <c r="I48" i="37"/>
  <c r="L48" i="37" s="1"/>
  <c r="I49" i="37"/>
  <c r="L49" i="37" s="1"/>
  <c r="G52" i="26"/>
  <c r="I51" i="37"/>
  <c r="L51" i="37" s="1"/>
  <c r="G53" i="26"/>
  <c r="G647" i="27"/>
  <c r="J713" i="27"/>
  <c r="S305" i="36"/>
  <c r="T305" i="36"/>
  <c r="U305" i="36"/>
  <c r="V305" i="36"/>
  <c r="W305" i="36"/>
  <c r="X305" i="36"/>
  <c r="Z305" i="36"/>
  <c r="P305" i="36"/>
  <c r="Q305" i="36"/>
  <c r="O305" i="36"/>
  <c r="L111" i="36"/>
  <c r="I103" i="36"/>
  <c r="L103" i="36" s="1"/>
  <c r="K714" i="27" l="1"/>
  <c r="K713" i="27"/>
  <c r="J53" i="26"/>
  <c r="J648" i="27"/>
  <c r="J114" i="26"/>
  <c r="L648" i="27" l="1"/>
  <c r="M648" i="27" s="1"/>
  <c r="K648" i="27"/>
  <c r="L713" i="27"/>
  <c r="L714" i="27"/>
  <c r="M713" i="27" l="1"/>
  <c r="M714" i="27"/>
  <c r="AQ6" i="73"/>
  <c r="AR7" i="73"/>
  <c r="AR8" i="73"/>
  <c r="AR9" i="73"/>
  <c r="AR10" i="73"/>
  <c r="AR11" i="73"/>
  <c r="AR6" i="73"/>
  <c r="AQ7" i="73"/>
  <c r="AQ8" i="73"/>
  <c r="AQ9" i="73"/>
  <c r="AQ10" i="73"/>
  <c r="AQ11" i="73"/>
  <c r="G7" i="26"/>
  <c r="P53" i="73" l="1"/>
  <c r="P51" i="73"/>
  <c r="P47" i="73"/>
  <c r="P41" i="73"/>
  <c r="P39" i="73"/>
  <c r="P27" i="73"/>
  <c r="P23" i="73"/>
  <c r="AC23" i="73" s="1"/>
  <c r="P15" i="73"/>
  <c r="P13" i="73"/>
  <c r="P11" i="73"/>
  <c r="P56" i="73"/>
  <c r="P52" i="73"/>
  <c r="AC52" i="73" s="1"/>
  <c r="P44" i="73"/>
  <c r="P40" i="73"/>
  <c r="P36" i="73"/>
  <c r="P28" i="73"/>
  <c r="P24" i="73"/>
  <c r="P14" i="73"/>
  <c r="N41" i="73"/>
  <c r="N13" i="73"/>
  <c r="N53" i="73"/>
  <c r="N51" i="73"/>
  <c r="N47" i="73"/>
  <c r="AA47" i="73" s="1"/>
  <c r="N27" i="73"/>
  <c r="N23" i="73"/>
  <c r="AA23" i="73" s="1"/>
  <c r="N11" i="73"/>
  <c r="AA11" i="73" s="1"/>
  <c r="N39" i="73"/>
  <c r="N15" i="73"/>
  <c r="N56" i="73"/>
  <c r="AA56" i="73" s="1"/>
  <c r="N52" i="73"/>
  <c r="N44" i="73"/>
  <c r="N40" i="73"/>
  <c r="N36" i="73"/>
  <c r="N28" i="73"/>
  <c r="N24" i="73"/>
  <c r="N14" i="73"/>
  <c r="M47" i="73"/>
  <c r="M39" i="73"/>
  <c r="J14" i="27" s="1"/>
  <c r="M13" i="73"/>
  <c r="Z13" i="73" s="1"/>
  <c r="M53" i="73"/>
  <c r="Z53" i="73" s="1"/>
  <c r="M51" i="73"/>
  <c r="M41" i="73"/>
  <c r="M27" i="73"/>
  <c r="M23" i="73"/>
  <c r="M15" i="73"/>
  <c r="Z15" i="73" s="1"/>
  <c r="M11" i="73"/>
  <c r="Z11" i="73" s="1"/>
  <c r="M56" i="73"/>
  <c r="Z56" i="73" s="1"/>
  <c r="M52" i="73"/>
  <c r="M44" i="73"/>
  <c r="M40" i="73"/>
  <c r="M36" i="73"/>
  <c r="M28" i="73"/>
  <c r="M24" i="73"/>
  <c r="M14" i="73"/>
  <c r="Z14" i="73" s="1"/>
  <c r="R56" i="73"/>
  <c r="R14" i="73"/>
  <c r="R52" i="73"/>
  <c r="AE52" i="73" s="1"/>
  <c r="R44" i="73"/>
  <c r="R40" i="73"/>
  <c r="R36" i="73"/>
  <c r="R28" i="73"/>
  <c r="R24" i="73"/>
  <c r="R53" i="73"/>
  <c r="R51" i="73"/>
  <c r="R47" i="73"/>
  <c r="R41" i="73"/>
  <c r="R39" i="73"/>
  <c r="R27" i="73"/>
  <c r="AE27" i="73" s="1"/>
  <c r="R15" i="73"/>
  <c r="R11" i="73"/>
  <c r="R13" i="73"/>
  <c r="R23" i="73"/>
  <c r="AE23" i="73" s="1"/>
  <c r="O53" i="73"/>
  <c r="O51" i="73"/>
  <c r="O47" i="73"/>
  <c r="AB47" i="73" s="1"/>
  <c r="O41" i="73"/>
  <c r="O39" i="73"/>
  <c r="O27" i="73"/>
  <c r="AB27" i="73" s="1"/>
  <c r="O23" i="73"/>
  <c r="AB23" i="73" s="1"/>
  <c r="O15" i="73"/>
  <c r="AB15" i="73" s="1"/>
  <c r="O13" i="73"/>
  <c r="O11" i="73"/>
  <c r="O56" i="73"/>
  <c r="O52" i="73"/>
  <c r="O44" i="73"/>
  <c r="O40" i="73"/>
  <c r="O36" i="73"/>
  <c r="O28" i="73"/>
  <c r="O24" i="73"/>
  <c r="O14" i="73"/>
  <c r="Q53" i="73"/>
  <c r="Q51" i="73"/>
  <c r="Q47" i="73"/>
  <c r="Q41" i="73"/>
  <c r="Q39" i="73"/>
  <c r="Q27" i="73"/>
  <c r="AD27" i="73" s="1"/>
  <c r="Q23" i="73"/>
  <c r="Q15" i="73"/>
  <c r="AD15" i="73" s="1"/>
  <c r="Q13" i="73"/>
  <c r="Q11" i="73"/>
  <c r="Q14" i="73"/>
  <c r="Q36" i="73"/>
  <c r="Q44" i="73"/>
  <c r="Q40" i="73"/>
  <c r="Q24" i="73"/>
  <c r="Q56" i="73"/>
  <c r="Q52" i="73"/>
  <c r="AD52" i="73" s="1"/>
  <c r="Q28" i="73"/>
  <c r="X52" i="73"/>
  <c r="AK52" i="73" s="1"/>
  <c r="X44" i="73"/>
  <c r="X40" i="73"/>
  <c r="X36" i="73"/>
  <c r="X28" i="73"/>
  <c r="X24" i="73"/>
  <c r="X14" i="73"/>
  <c r="X51" i="73"/>
  <c r="X47" i="73"/>
  <c r="AK47" i="73" s="1"/>
  <c r="X41" i="73"/>
  <c r="X39" i="73"/>
  <c r="X29" i="73"/>
  <c r="X27" i="73"/>
  <c r="AK27" i="73" s="1"/>
  <c r="X13" i="73"/>
  <c r="AK13" i="73" s="1"/>
  <c r="X56" i="73"/>
  <c r="AK56" i="73" s="1"/>
  <c r="X53" i="73"/>
  <c r="AK53" i="73" s="1"/>
  <c r="X23" i="73"/>
  <c r="AK23" i="73" s="1"/>
  <c r="X15" i="73"/>
  <c r="X11" i="73"/>
  <c r="W51" i="73"/>
  <c r="W44" i="73"/>
  <c r="W23" i="73"/>
  <c r="AJ23" i="73" s="1"/>
  <c r="W28" i="73"/>
  <c r="W14" i="73"/>
  <c r="W40" i="73"/>
  <c r="W12" i="73"/>
  <c r="W15" i="73"/>
  <c r="AJ15" i="73" s="1"/>
  <c r="W47" i="73"/>
  <c r="AJ47" i="73" s="1"/>
  <c r="W52" i="73"/>
  <c r="AJ52" i="73" s="1"/>
  <c r="W24" i="73"/>
  <c r="W56" i="73"/>
  <c r="AJ56" i="73" s="1"/>
  <c r="W36" i="73"/>
  <c r="W55" i="73"/>
  <c r="W41" i="73"/>
  <c r="W27" i="73"/>
  <c r="AJ27" i="73" s="1"/>
  <c r="W13" i="73"/>
  <c r="AJ13" i="73" s="1"/>
  <c r="W53" i="73"/>
  <c r="AJ53" i="73" s="1"/>
  <c r="W39" i="73"/>
  <c r="W11" i="73"/>
  <c r="V47" i="73"/>
  <c r="AI47" i="73" s="1"/>
  <c r="V36" i="73"/>
  <c r="V53" i="73"/>
  <c r="AI53" i="73" s="1"/>
  <c r="V39" i="73"/>
  <c r="V11" i="73"/>
  <c r="V23" i="73"/>
  <c r="AI23" i="73" s="1"/>
  <c r="V24" i="73"/>
  <c r="V13" i="73"/>
  <c r="V44" i="73"/>
  <c r="V28" i="73"/>
  <c r="V14" i="73"/>
  <c r="V56" i="73"/>
  <c r="AI56" i="73" s="1"/>
  <c r="V27" i="73"/>
  <c r="AI27" i="73" s="1"/>
  <c r="V31" i="73"/>
  <c r="V51" i="73"/>
  <c r="V40" i="73"/>
  <c r="V15" i="73"/>
  <c r="AI15" i="73" s="1"/>
  <c r="V41" i="73"/>
  <c r="V52" i="73"/>
  <c r="AI52" i="73" s="1"/>
  <c r="U9" i="73"/>
  <c r="U56" i="73"/>
  <c r="U52" i="73"/>
  <c r="AH52" i="73" s="1"/>
  <c r="U24" i="73"/>
  <c r="U40" i="73"/>
  <c r="U36" i="73"/>
  <c r="U47" i="73"/>
  <c r="AH47" i="73" s="1"/>
  <c r="U23" i="73"/>
  <c r="AH23" i="73" s="1"/>
  <c r="U48" i="73"/>
  <c r="U28" i="73"/>
  <c r="U14" i="73"/>
  <c r="U15" i="73"/>
  <c r="AH15" i="73" s="1"/>
  <c r="U51" i="73"/>
  <c r="U44" i="73"/>
  <c r="U41" i="73"/>
  <c r="U27" i="73"/>
  <c r="AH27" i="73" s="1"/>
  <c r="U13" i="73"/>
  <c r="AH13" i="73" s="1"/>
  <c r="U53" i="73"/>
  <c r="AH53" i="73" s="1"/>
  <c r="U39" i="73"/>
  <c r="U11" i="73"/>
  <c r="T41" i="73"/>
  <c r="T27" i="73"/>
  <c r="AG27" i="73" s="1"/>
  <c r="T13" i="73"/>
  <c r="AG13" i="73" s="1"/>
  <c r="T11" i="73"/>
  <c r="T51" i="73"/>
  <c r="T23" i="73"/>
  <c r="AG23" i="73" s="1"/>
  <c r="T52" i="73"/>
  <c r="AG52" i="73" s="1"/>
  <c r="T15" i="73"/>
  <c r="AG15" i="73" s="1"/>
  <c r="T53" i="73"/>
  <c r="AG53" i="73" s="1"/>
  <c r="T44" i="73"/>
  <c r="T49" i="73"/>
  <c r="T40" i="73"/>
  <c r="T28" i="73"/>
  <c r="T14" i="73"/>
  <c r="T36" i="73"/>
  <c r="T22" i="73"/>
  <c r="T47" i="73"/>
  <c r="AG47" i="73" s="1"/>
  <c r="T24" i="73"/>
  <c r="T56" i="73"/>
  <c r="AG56" i="73" s="1"/>
  <c r="T39" i="73"/>
  <c r="S36" i="73"/>
  <c r="S15" i="73"/>
  <c r="AF15" i="73" s="1"/>
  <c r="S11" i="73"/>
  <c r="S56" i="73"/>
  <c r="AF56" i="73" s="1"/>
  <c r="S51" i="73"/>
  <c r="S44" i="73"/>
  <c r="S24" i="73"/>
  <c r="S52" i="73"/>
  <c r="AF52" i="73" s="1"/>
  <c r="S39" i="73"/>
  <c r="S53" i="73"/>
  <c r="AF53" i="73" s="1"/>
  <c r="S47" i="73"/>
  <c r="AF47" i="73" s="1"/>
  <c r="S40" i="73"/>
  <c r="S41" i="73"/>
  <c r="S27" i="73"/>
  <c r="S13" i="73"/>
  <c r="AF13" i="73" s="1"/>
  <c r="S28" i="73"/>
  <c r="S21" i="73"/>
  <c r="S14" i="73"/>
  <c r="S23" i="73"/>
  <c r="AF23" i="73" s="1"/>
  <c r="AE13" i="73"/>
  <c r="AE56" i="73"/>
  <c r="AE53" i="73"/>
  <c r="AE47" i="73"/>
  <c r="AK15" i="73"/>
  <c r="AA13" i="73"/>
  <c r="AA15" i="73"/>
  <c r="AA52" i="73"/>
  <c r="AA53" i="73"/>
  <c r="AA27" i="73"/>
  <c r="Z27" i="73"/>
  <c r="Z23" i="73"/>
  <c r="Z52" i="73"/>
  <c r="Z47" i="73"/>
  <c r="AF27" i="73"/>
  <c r="AC47" i="73"/>
  <c r="AC15" i="73"/>
  <c r="AC56" i="73"/>
  <c r="AC27" i="73"/>
  <c r="AC53" i="73"/>
  <c r="AC13" i="73"/>
  <c r="AB56" i="73"/>
  <c r="AB52" i="73"/>
  <c r="AB13" i="73"/>
  <c r="AB53" i="73"/>
  <c r="AI13" i="73"/>
  <c r="AE15" i="73"/>
  <c r="AD47" i="73"/>
  <c r="AD23" i="73"/>
  <c r="AD56" i="73"/>
  <c r="AD53" i="73"/>
  <c r="AD13" i="73"/>
  <c r="AH56" i="73"/>
  <c r="L63" i="73"/>
  <c r="M63" i="73" s="1"/>
  <c r="R34" i="73" s="1"/>
  <c r="L62" i="73"/>
  <c r="M62" i="73" s="1"/>
  <c r="P55" i="73" s="1"/>
  <c r="P46" i="73" l="1"/>
  <c r="O12" i="73"/>
  <c r="R21" i="73"/>
  <c r="S46" i="73"/>
  <c r="T32" i="73"/>
  <c r="X22" i="73"/>
  <c r="R45" i="73"/>
  <c r="M46" i="73"/>
  <c r="N6" i="73"/>
  <c r="AA6" i="73" s="1"/>
  <c r="S30" i="73"/>
  <c r="AF30" i="73" s="1"/>
  <c r="T7" i="73"/>
  <c r="AG7" i="73" s="1"/>
  <c r="T46" i="73"/>
  <c r="AG46" i="73" s="1"/>
  <c r="U55" i="73"/>
  <c r="U30" i="73"/>
  <c r="W18" i="73"/>
  <c r="W43" i="73"/>
  <c r="X33" i="73"/>
  <c r="X49" i="73"/>
  <c r="Q10" i="73"/>
  <c r="Q25" i="73"/>
  <c r="O16" i="73"/>
  <c r="O37" i="73"/>
  <c r="M12" i="73"/>
  <c r="Z12" i="73" s="1"/>
  <c r="M48" i="73"/>
  <c r="Z48" i="73" s="1"/>
  <c r="N8" i="73"/>
  <c r="N48" i="73"/>
  <c r="P12" i="73"/>
  <c r="P48" i="73"/>
  <c r="P33" i="73"/>
  <c r="Q19" i="73"/>
  <c r="O33" i="73"/>
  <c r="R43" i="73"/>
  <c r="N55" i="73"/>
  <c r="N31" i="73"/>
  <c r="T30" i="73"/>
  <c r="V45" i="73"/>
  <c r="AI45" i="73" s="1"/>
  <c r="W19" i="73"/>
  <c r="X31" i="73"/>
  <c r="O50" i="73"/>
  <c r="O35" i="73"/>
  <c r="M45" i="73"/>
  <c r="S35" i="73"/>
  <c r="S18" i="73"/>
  <c r="U16" i="73"/>
  <c r="V7" i="73"/>
  <c r="AI7" i="73" s="1"/>
  <c r="V55" i="73"/>
  <c r="V20" i="73"/>
  <c r="AI20" i="73" s="1"/>
  <c r="W25" i="73"/>
  <c r="AJ25" i="73" s="1"/>
  <c r="W50" i="73"/>
  <c r="W7" i="73"/>
  <c r="X26" i="73"/>
  <c r="Q30" i="73"/>
  <c r="Q34" i="73"/>
  <c r="O22" i="73"/>
  <c r="R29" i="73"/>
  <c r="R54" i="73"/>
  <c r="M50" i="73"/>
  <c r="M43" i="73"/>
  <c r="N50" i="73"/>
  <c r="P50" i="73"/>
  <c r="P35" i="73"/>
  <c r="X50" i="73"/>
  <c r="O48" i="73"/>
  <c r="M8" i="73"/>
  <c r="M55" i="73"/>
  <c r="S9" i="73"/>
  <c r="V46" i="73"/>
  <c r="W8" i="73"/>
  <c r="Q32" i="73"/>
  <c r="AD32" i="73" s="1"/>
  <c r="M10" i="73"/>
  <c r="Z10" i="73" s="1"/>
  <c r="N7" i="73"/>
  <c r="AA7" i="73" s="1"/>
  <c r="T20" i="73"/>
  <c r="AG20" i="73" s="1"/>
  <c r="T38" i="73"/>
  <c r="T34" i="73"/>
  <c r="U54" i="73"/>
  <c r="V49" i="73"/>
  <c r="V35" i="73"/>
  <c r="Q29" i="73"/>
  <c r="O9" i="73"/>
  <c r="R7" i="73"/>
  <c r="R6" i="73"/>
  <c r="M22" i="73"/>
  <c r="Z22" i="73" s="1"/>
  <c r="M49" i="73"/>
  <c r="Z49" i="73" s="1"/>
  <c r="N18" i="73"/>
  <c r="P16" i="73"/>
  <c r="P37" i="73"/>
  <c r="S31" i="73"/>
  <c r="V43" i="73"/>
  <c r="O26" i="73"/>
  <c r="R55" i="73"/>
  <c r="N37" i="73"/>
  <c r="U8" i="73"/>
  <c r="W38" i="73"/>
  <c r="AJ38" i="73" s="1"/>
  <c r="X45" i="73"/>
  <c r="AK45" i="73" s="1"/>
  <c r="R18" i="73"/>
  <c r="AE18" i="73" s="1"/>
  <c r="N22" i="73"/>
  <c r="AA22" i="73" s="1"/>
  <c r="P9" i="73"/>
  <c r="S12" i="73"/>
  <c r="T16" i="73"/>
  <c r="T50" i="73"/>
  <c r="U10" i="73"/>
  <c r="V26" i="73"/>
  <c r="V50" i="73"/>
  <c r="W6" i="73"/>
  <c r="W45" i="73"/>
  <c r="AJ45" i="73" s="1"/>
  <c r="W42" i="73"/>
  <c r="Q54" i="73"/>
  <c r="Q42" i="73"/>
  <c r="AD42" i="73" s="1"/>
  <c r="Q43" i="73"/>
  <c r="R12" i="73"/>
  <c r="R22" i="73"/>
  <c r="M25" i="73"/>
  <c r="P26" i="73"/>
  <c r="P43" i="73"/>
  <c r="W46" i="73"/>
  <c r="Q20" i="73"/>
  <c r="O43" i="73"/>
  <c r="T29" i="73"/>
  <c r="X34" i="73"/>
  <c r="AK34" i="73" s="1"/>
  <c r="R8" i="73"/>
  <c r="AE8" i="73" s="1"/>
  <c r="M7" i="73"/>
  <c r="N43" i="73"/>
  <c r="S33" i="73"/>
  <c r="T31" i="73"/>
  <c r="T9" i="73"/>
  <c r="U18" i="73"/>
  <c r="U22" i="73"/>
  <c r="U17" i="73"/>
  <c r="V18" i="73"/>
  <c r="AI18" i="73" s="1"/>
  <c r="W49" i="73"/>
  <c r="X17" i="73"/>
  <c r="O38" i="73"/>
  <c r="AB38" i="73" s="1"/>
  <c r="O19" i="73"/>
  <c r="R26" i="73"/>
  <c r="M32" i="73"/>
  <c r="M29" i="73"/>
  <c r="P45" i="73"/>
  <c r="S6" i="73"/>
  <c r="V32" i="73"/>
  <c r="W21" i="73"/>
  <c r="X43" i="73"/>
  <c r="N20" i="73"/>
  <c r="AA20" i="73" s="1"/>
  <c r="S54" i="73"/>
  <c r="T55" i="73"/>
  <c r="O45" i="73"/>
  <c r="M26" i="73"/>
  <c r="N42" i="73"/>
  <c r="S16" i="73"/>
  <c r="S43" i="73"/>
  <c r="T45" i="73"/>
  <c r="V54" i="73"/>
  <c r="V42" i="73"/>
  <c r="V8" i="73"/>
  <c r="W9" i="73"/>
  <c r="X19" i="73"/>
  <c r="AK19" i="73" s="1"/>
  <c r="X8" i="73"/>
  <c r="AK8" i="73" s="1"/>
  <c r="Q49" i="73"/>
  <c r="O21" i="73"/>
  <c r="R35" i="73"/>
  <c r="R46" i="73"/>
  <c r="M34" i="73"/>
  <c r="M35" i="73"/>
  <c r="N30" i="73"/>
  <c r="N29" i="73"/>
  <c r="Q38" i="73"/>
  <c r="N38" i="73"/>
  <c r="AA38" i="73" s="1"/>
  <c r="S49" i="73"/>
  <c r="AF49" i="73" s="1"/>
  <c r="U21" i="73"/>
  <c r="AH21" i="73" s="1"/>
  <c r="X21" i="73"/>
  <c r="X10" i="73"/>
  <c r="Q26" i="73"/>
  <c r="R17" i="73"/>
  <c r="R50" i="73"/>
  <c r="N32" i="73"/>
  <c r="N35" i="73"/>
  <c r="P38" i="73"/>
  <c r="P19" i="73"/>
  <c r="AC19" i="73" s="1"/>
  <c r="S34" i="73"/>
  <c r="X32" i="73"/>
  <c r="AK32" i="73" s="1"/>
  <c r="R31" i="73"/>
  <c r="P22" i="73"/>
  <c r="S38" i="73"/>
  <c r="S8" i="73"/>
  <c r="T37" i="73"/>
  <c r="V22" i="73"/>
  <c r="X46" i="73"/>
  <c r="R32" i="73"/>
  <c r="T35" i="73"/>
  <c r="V17" i="73"/>
  <c r="W48" i="73"/>
  <c r="W22" i="73"/>
  <c r="X12" i="73"/>
  <c r="AK12" i="73" s="1"/>
  <c r="X48" i="73"/>
  <c r="Q17" i="73"/>
  <c r="O46" i="73"/>
  <c r="R19" i="73"/>
  <c r="M33" i="73"/>
  <c r="N21" i="73"/>
  <c r="P21" i="73"/>
  <c r="S7" i="73"/>
  <c r="S19" i="73"/>
  <c r="AF19" i="73" s="1"/>
  <c r="S10" i="73"/>
  <c r="S55" i="73"/>
  <c r="T12" i="73"/>
  <c r="AG12" i="73" s="1"/>
  <c r="T17" i="73"/>
  <c r="T10" i="73"/>
  <c r="U34" i="73"/>
  <c r="U29" i="73"/>
  <c r="U37" i="73"/>
  <c r="U31" i="73"/>
  <c r="V16" i="73"/>
  <c r="AI16" i="73" s="1"/>
  <c r="V10" i="73"/>
  <c r="V38" i="73"/>
  <c r="AI38" i="73" s="1"/>
  <c r="W32" i="73"/>
  <c r="W29" i="73"/>
  <c r="X7" i="73"/>
  <c r="AK7" i="73" s="1"/>
  <c r="X25" i="73"/>
  <c r="Q22" i="73"/>
  <c r="AD22" i="73" s="1"/>
  <c r="Q12" i="73"/>
  <c r="Q21" i="73"/>
  <c r="Q45" i="73"/>
  <c r="O18" i="73"/>
  <c r="AB18" i="73" s="1"/>
  <c r="O42" i="73"/>
  <c r="AB42" i="73" s="1"/>
  <c r="R37" i="73"/>
  <c r="R16" i="73"/>
  <c r="R10" i="73"/>
  <c r="M31" i="73"/>
  <c r="N54" i="73"/>
  <c r="N45" i="73"/>
  <c r="P18" i="73"/>
  <c r="AC18" i="73" s="1"/>
  <c r="P42" i="73"/>
  <c r="S26" i="73"/>
  <c r="AF26" i="73" s="1"/>
  <c r="S17" i="73"/>
  <c r="S48" i="73"/>
  <c r="AF48" i="73" s="1"/>
  <c r="T54" i="73"/>
  <c r="T26" i="73"/>
  <c r="T21" i="73"/>
  <c r="AG21" i="73" s="1"/>
  <c r="U43" i="73"/>
  <c r="U19" i="73"/>
  <c r="AH19" i="73" s="1"/>
  <c r="U45" i="73"/>
  <c r="AH45" i="73" s="1"/>
  <c r="V29" i="73"/>
  <c r="V21" i="73"/>
  <c r="AI21" i="73" s="1"/>
  <c r="W35" i="73"/>
  <c r="X6" i="73"/>
  <c r="X30" i="73"/>
  <c r="X54" i="73"/>
  <c r="O20" i="73"/>
  <c r="AB20" i="73" s="1"/>
  <c r="O17" i="73"/>
  <c r="R20" i="73"/>
  <c r="M6" i="73"/>
  <c r="Z6" i="73" s="1"/>
  <c r="M30" i="73"/>
  <c r="Z30" i="73" s="1"/>
  <c r="M54" i="73"/>
  <c r="M37" i="73"/>
  <c r="N26" i="73"/>
  <c r="N34" i="73"/>
  <c r="N49" i="73"/>
  <c r="AA49" i="73" s="1"/>
  <c r="P20" i="73"/>
  <c r="P17" i="73"/>
  <c r="S45" i="73"/>
  <c r="AF45" i="73" s="1"/>
  <c r="T43" i="73"/>
  <c r="U25" i="73"/>
  <c r="AH25" i="73" s="1"/>
  <c r="U35" i="73"/>
  <c r="U50" i="73"/>
  <c r="V12" i="73"/>
  <c r="AI12" i="73" s="1"/>
  <c r="W10" i="73"/>
  <c r="W16" i="73"/>
  <c r="AJ16" i="73" s="1"/>
  <c r="X35" i="73"/>
  <c r="X38" i="73"/>
  <c r="AK38" i="73" s="1"/>
  <c r="Q16" i="73"/>
  <c r="AD16" i="73" s="1"/>
  <c r="Q31" i="73"/>
  <c r="Q55" i="73"/>
  <c r="O25" i="73"/>
  <c r="R9" i="73"/>
  <c r="M38" i="73"/>
  <c r="Z38" i="73" s="1"/>
  <c r="M9" i="73"/>
  <c r="N9" i="73"/>
  <c r="P25" i="73"/>
  <c r="T25" i="73"/>
  <c r="AG25" i="73" s="1"/>
  <c r="U12" i="73"/>
  <c r="U7" i="73"/>
  <c r="V37" i="73"/>
  <c r="V48" i="73"/>
  <c r="AI48" i="73" s="1"/>
  <c r="W20" i="73"/>
  <c r="AJ20" i="73" s="1"/>
  <c r="W33" i="73"/>
  <c r="X37" i="73"/>
  <c r="Q9" i="73"/>
  <c r="O30" i="73"/>
  <c r="AB30" i="73" s="1"/>
  <c r="R33" i="73"/>
  <c r="AE33" i="73" s="1"/>
  <c r="M16" i="73"/>
  <c r="M19" i="73"/>
  <c r="N12" i="73"/>
  <c r="P6" i="73"/>
  <c r="AC6" i="73" s="1"/>
  <c r="P30" i="73"/>
  <c r="AC30" i="73" s="1"/>
  <c r="P54" i="73"/>
  <c r="S20" i="73"/>
  <c r="AF20" i="73" s="1"/>
  <c r="S32" i="73"/>
  <c r="S22" i="73"/>
  <c r="AF22" i="73" s="1"/>
  <c r="T19" i="73"/>
  <c r="AG19" i="73" s="1"/>
  <c r="T42" i="73"/>
  <c r="AG42" i="73" s="1"/>
  <c r="T48" i="73"/>
  <c r="AG48" i="73" s="1"/>
  <c r="U26" i="73"/>
  <c r="AH26" i="73" s="1"/>
  <c r="U6" i="73"/>
  <c r="U42" i="73"/>
  <c r="V30" i="73"/>
  <c r="AI30" i="73" s="1"/>
  <c r="V33" i="73"/>
  <c r="W30" i="73"/>
  <c r="AJ30" i="73" s="1"/>
  <c r="X9" i="73"/>
  <c r="X18" i="73"/>
  <c r="X42" i="73"/>
  <c r="Q18" i="73"/>
  <c r="AD18" i="73" s="1"/>
  <c r="Q48" i="73"/>
  <c r="AD48" i="73" s="1"/>
  <c r="Q35" i="73"/>
  <c r="O8" i="73"/>
  <c r="AB8" i="73" s="1"/>
  <c r="O32" i="73"/>
  <c r="AB32" i="73" s="1"/>
  <c r="O29" i="73"/>
  <c r="R38" i="73"/>
  <c r="M18" i="73"/>
  <c r="Z18" i="73" s="1"/>
  <c r="M42" i="73"/>
  <c r="Z42" i="73" s="1"/>
  <c r="M17" i="73"/>
  <c r="N19" i="73"/>
  <c r="P8" i="73"/>
  <c r="AC8" i="73" s="1"/>
  <c r="P32" i="73"/>
  <c r="AC32" i="73" s="1"/>
  <c r="P29" i="73"/>
  <c r="S42" i="73"/>
  <c r="AF42" i="73" s="1"/>
  <c r="S37" i="73"/>
  <c r="U38" i="73"/>
  <c r="AH38" i="73" s="1"/>
  <c r="V9" i="73"/>
  <c r="V34" i="73"/>
  <c r="W26" i="73"/>
  <c r="AJ26" i="73" s="1"/>
  <c r="X55" i="73"/>
  <c r="Q46" i="73"/>
  <c r="AD46" i="73" s="1"/>
  <c r="Q7" i="73"/>
  <c r="O49" i="73"/>
  <c r="AB49" i="73" s="1"/>
  <c r="R30" i="73"/>
  <c r="N10" i="73"/>
  <c r="AA10" i="73" s="1"/>
  <c r="N17" i="73"/>
  <c r="P49" i="73"/>
  <c r="S25" i="73"/>
  <c r="U32" i="73"/>
  <c r="U49" i="73"/>
  <c r="AH49" i="73" s="1"/>
  <c r="V19" i="73"/>
  <c r="AI19" i="73" s="1"/>
  <c r="W17" i="73"/>
  <c r="X16" i="73"/>
  <c r="AK16" i="73" s="1"/>
  <c r="Q6" i="73"/>
  <c r="Q33" i="73"/>
  <c r="AD33" i="73" s="1"/>
  <c r="O6" i="73"/>
  <c r="AB6" i="73" s="1"/>
  <c r="O54" i="73"/>
  <c r="R49" i="73"/>
  <c r="AE49" i="73" s="1"/>
  <c r="S50" i="73"/>
  <c r="S29" i="73"/>
  <c r="T33" i="73"/>
  <c r="T8" i="73"/>
  <c r="AG8" i="73" s="1"/>
  <c r="T6" i="73"/>
  <c r="T18" i="73"/>
  <c r="AG18" i="73" s="1"/>
  <c r="U46" i="73"/>
  <c r="AH46" i="73" s="1"/>
  <c r="U33" i="73"/>
  <c r="U20" i="73"/>
  <c r="V6" i="73"/>
  <c r="V25" i="73"/>
  <c r="AI25" i="73" s="1"/>
  <c r="W34" i="73"/>
  <c r="W31" i="73"/>
  <c r="W54" i="73"/>
  <c r="W37" i="73"/>
  <c r="X20" i="73"/>
  <c r="AK20" i="73" s="1"/>
  <c r="Q50" i="73"/>
  <c r="Q8" i="73"/>
  <c r="AD8" i="73" s="1"/>
  <c r="Q37" i="73"/>
  <c r="O10" i="73"/>
  <c r="O34" i="73"/>
  <c r="O7" i="73"/>
  <c r="AB7" i="73" s="1"/>
  <c r="O31" i="73"/>
  <c r="O55" i="73"/>
  <c r="R25" i="73"/>
  <c r="AE25" i="73" s="1"/>
  <c r="R48" i="73"/>
  <c r="AE48" i="73" s="1"/>
  <c r="R42" i="73"/>
  <c r="M20" i="73"/>
  <c r="M21" i="73"/>
  <c r="Z21" i="73" s="1"/>
  <c r="N16" i="73"/>
  <c r="AA16" i="73" s="1"/>
  <c r="N46" i="73"/>
  <c r="AA46" i="73" s="1"/>
  <c r="N25" i="73"/>
  <c r="N33" i="73"/>
  <c r="AA33" i="73" s="1"/>
  <c r="P10" i="73"/>
  <c r="P34" i="73"/>
  <c r="P7" i="73"/>
  <c r="AC7" i="73" s="1"/>
  <c r="P31" i="73"/>
  <c r="J13" i="27"/>
  <c r="J43" i="27"/>
  <c r="Z7" i="73"/>
  <c r="L94" i="27"/>
  <c r="AI40" i="73"/>
  <c r="J49" i="27"/>
  <c r="AA41" i="73"/>
  <c r="L43" i="27"/>
  <c r="AG11" i="73"/>
  <c r="L107" i="27"/>
  <c r="AJ44" i="73"/>
  <c r="L59" i="27"/>
  <c r="AH14" i="73"/>
  <c r="L44" i="27"/>
  <c r="AG28" i="73"/>
  <c r="J25" i="27"/>
  <c r="Z40" i="73"/>
  <c r="J48" i="27"/>
  <c r="AA40" i="73"/>
  <c r="L90" i="27"/>
  <c r="AI28" i="73"/>
  <c r="L50" i="27"/>
  <c r="AG51" i="73"/>
  <c r="J96" i="27"/>
  <c r="AC51" i="73"/>
  <c r="J10" i="27"/>
  <c r="Z24" i="73"/>
  <c r="J33" i="27"/>
  <c r="AA24" i="73"/>
  <c r="J73" i="27"/>
  <c r="AB51" i="73"/>
  <c r="J59" i="27"/>
  <c r="AB14" i="73"/>
  <c r="L49" i="27"/>
  <c r="AG41" i="73"/>
  <c r="L112" i="27"/>
  <c r="AJ11" i="73"/>
  <c r="J20" i="27"/>
  <c r="J135" i="27"/>
  <c r="AE11" i="73"/>
  <c r="L129" i="27"/>
  <c r="AK39" i="73"/>
  <c r="Z34" i="73"/>
  <c r="L125" i="27"/>
  <c r="AK24" i="73"/>
  <c r="L56" i="27"/>
  <c r="AH24" i="73"/>
  <c r="J118" i="27"/>
  <c r="AD41" i="73"/>
  <c r="J71" i="27"/>
  <c r="AB40" i="73"/>
  <c r="L35" i="27"/>
  <c r="AG36" i="73"/>
  <c r="J84" i="27"/>
  <c r="AC44" i="73"/>
  <c r="J82" i="27"/>
  <c r="AC14" i="73"/>
  <c r="L113" i="27"/>
  <c r="AJ28" i="73"/>
  <c r="L25" i="27"/>
  <c r="AF40" i="73"/>
  <c r="J102" i="27"/>
  <c r="AD24" i="73"/>
  <c r="J142" i="27"/>
  <c r="AE51" i="73"/>
  <c r="J60" i="27"/>
  <c r="AB39" i="73"/>
  <c r="L127" i="27"/>
  <c r="AK36" i="73"/>
  <c r="L13" i="27"/>
  <c r="AF14" i="73"/>
  <c r="L130" i="27"/>
  <c r="AK44" i="73"/>
  <c r="L67" i="27"/>
  <c r="AH28" i="73"/>
  <c r="L84" i="27"/>
  <c r="AI44" i="73"/>
  <c r="J56" i="27"/>
  <c r="AB24" i="73"/>
  <c r="J95" i="27"/>
  <c r="AC41" i="73"/>
  <c r="L15" i="27"/>
  <c r="AF44" i="73"/>
  <c r="J136" i="27"/>
  <c r="AE28" i="73"/>
  <c r="J127" i="27"/>
  <c r="AE36" i="73"/>
  <c r="J112" i="27"/>
  <c r="AD11" i="73"/>
  <c r="L37" i="27"/>
  <c r="AG39" i="73"/>
  <c r="L48" i="27"/>
  <c r="AG40" i="73"/>
  <c r="L102" i="27"/>
  <c r="AJ24" i="73"/>
  <c r="L21" i="27"/>
  <c r="AF28" i="73"/>
  <c r="J15" i="27"/>
  <c r="Z44" i="73"/>
  <c r="J36" i="27"/>
  <c r="AA14" i="73"/>
  <c r="L137" i="27"/>
  <c r="AK31" i="73"/>
  <c r="L58" i="27"/>
  <c r="AH36" i="73"/>
  <c r="J113" i="27"/>
  <c r="AD28" i="73"/>
  <c r="L89" i="27"/>
  <c r="AI11" i="73"/>
  <c r="J61" i="27"/>
  <c r="AB44" i="73"/>
  <c r="L36" i="27"/>
  <c r="AG14" i="73"/>
  <c r="J94" i="27"/>
  <c r="AC40" i="73"/>
  <c r="L20" i="27"/>
  <c r="AF11" i="73"/>
  <c r="J12" i="27"/>
  <c r="Z36" i="73"/>
  <c r="J50" i="27"/>
  <c r="AA51" i="73"/>
  <c r="L141" i="27"/>
  <c r="AK41" i="73"/>
  <c r="AD6" i="73"/>
  <c r="J104" i="27"/>
  <c r="AD36" i="73"/>
  <c r="J125" i="27"/>
  <c r="AE24" i="73"/>
  <c r="L96" i="27"/>
  <c r="AI51" i="73"/>
  <c r="J58" i="27"/>
  <c r="AB36" i="73"/>
  <c r="L106" i="27"/>
  <c r="AJ39" i="73"/>
  <c r="L135" i="27"/>
  <c r="AK11" i="73"/>
  <c r="L27" i="27"/>
  <c r="AF51" i="73"/>
  <c r="J21" i="27"/>
  <c r="Z28" i="73"/>
  <c r="L136" i="27"/>
  <c r="AK28" i="73"/>
  <c r="AF6" i="73"/>
  <c r="L119" i="27"/>
  <c r="AJ51" i="73"/>
  <c r="L128" i="27"/>
  <c r="AK14" i="73"/>
  <c r="L60" i="27"/>
  <c r="AH39" i="73"/>
  <c r="L83" i="27"/>
  <c r="AI39" i="73"/>
  <c r="J26" i="27"/>
  <c r="Z41" i="73"/>
  <c r="L71" i="27"/>
  <c r="AH40" i="73"/>
  <c r="J117" i="27"/>
  <c r="AD40" i="73"/>
  <c r="L104" i="27"/>
  <c r="AJ36" i="73"/>
  <c r="L33" i="27"/>
  <c r="AG24" i="73"/>
  <c r="Z39" i="73"/>
  <c r="J107" i="27"/>
  <c r="AD44" i="73"/>
  <c r="J106" i="27"/>
  <c r="AD39" i="73"/>
  <c r="L81" i="27"/>
  <c r="AI36" i="73"/>
  <c r="J66" i="27"/>
  <c r="AB11" i="73"/>
  <c r="J79" i="27"/>
  <c r="AC24" i="73"/>
  <c r="L117" i="27"/>
  <c r="AJ40" i="73"/>
  <c r="L118" i="27"/>
  <c r="AJ41" i="73"/>
  <c r="L12" i="27"/>
  <c r="AF36" i="73"/>
  <c r="J37" i="27"/>
  <c r="AA39" i="73"/>
  <c r="L61" i="27"/>
  <c r="AH44" i="73"/>
  <c r="J105" i="27"/>
  <c r="AD14" i="73"/>
  <c r="J128" i="27"/>
  <c r="AE14" i="73"/>
  <c r="L66" i="27"/>
  <c r="AH11" i="73"/>
  <c r="J141" i="27"/>
  <c r="AE41" i="73"/>
  <c r="L95" i="27"/>
  <c r="AI41" i="73"/>
  <c r="J67" i="27"/>
  <c r="AB28" i="73"/>
  <c r="J89" i="27"/>
  <c r="AC11" i="73"/>
  <c r="L105" i="27"/>
  <c r="AJ14" i="73"/>
  <c r="L26" i="27"/>
  <c r="AF41" i="73"/>
  <c r="J38" i="27"/>
  <c r="AA44" i="73"/>
  <c r="J129" i="27"/>
  <c r="AE39" i="73"/>
  <c r="L140" i="27"/>
  <c r="AK40" i="73"/>
  <c r="L73" i="27"/>
  <c r="AH51" i="73"/>
  <c r="J119" i="27"/>
  <c r="AD51" i="73"/>
  <c r="L142" i="27"/>
  <c r="AK51" i="73"/>
  <c r="L79" i="27"/>
  <c r="AI24" i="73"/>
  <c r="J72" i="27"/>
  <c r="AB41" i="73"/>
  <c r="J81" i="27"/>
  <c r="AC36" i="73"/>
  <c r="L10" i="27"/>
  <c r="AF24" i="73"/>
  <c r="J27" i="27"/>
  <c r="Z51" i="73"/>
  <c r="J35" i="27"/>
  <c r="AA36" i="73"/>
  <c r="J140" i="27"/>
  <c r="AE40" i="73"/>
  <c r="L72" i="27"/>
  <c r="AH41" i="73"/>
  <c r="L82" i="27"/>
  <c r="AI14" i="73"/>
  <c r="L38" i="27"/>
  <c r="AG44" i="73"/>
  <c r="J90" i="27"/>
  <c r="AC28" i="73"/>
  <c r="J83" i="27"/>
  <c r="AC39" i="73"/>
  <c r="L14" i="27"/>
  <c r="AF39" i="73"/>
  <c r="J44" i="27"/>
  <c r="AA28" i="73"/>
  <c r="J130" i="27"/>
  <c r="AE44" i="73"/>
  <c r="AE6" i="73"/>
  <c r="Z8" i="73"/>
  <c r="AD38" i="73"/>
  <c r="Z16" i="73"/>
  <c r="AA8" i="73"/>
  <c r="AB9" i="73"/>
  <c r="AD49" i="73"/>
  <c r="AB21" i="73"/>
  <c r="AB12" i="73"/>
  <c r="AJ22" i="73"/>
  <c r="Z20" i="73"/>
  <c r="AK33" i="73"/>
  <c r="AI26" i="73"/>
  <c r="AD21" i="73"/>
  <c r="AC21" i="73"/>
  <c r="AC22" i="73"/>
  <c r="AJ18" i="73"/>
  <c r="AF46" i="73"/>
  <c r="AH18" i="73"/>
  <c r="AH16" i="73"/>
  <c r="AH20" i="73"/>
  <c r="AI8" i="73"/>
  <c r="AC38" i="73"/>
  <c r="Z33" i="73"/>
  <c r="AD12" i="73"/>
  <c r="AH8" i="73"/>
  <c r="AH32" i="73"/>
  <c r="AJ7" i="73"/>
  <c r="AA32" i="73"/>
  <c r="AA21" i="73"/>
  <c r="AH7" i="73"/>
  <c r="AH48" i="73"/>
  <c r="AD19" i="73"/>
  <c r="AD26" i="73"/>
  <c r="AE21" i="73"/>
  <c r="AK25" i="73"/>
  <c r="AB22" i="73"/>
  <c r="AG22" i="73"/>
  <c r="AG16" i="73"/>
  <c r="AC49" i="73"/>
  <c r="AK18" i="73"/>
  <c r="AF38" i="73"/>
  <c r="AF7" i="73"/>
  <c r="Z25" i="73"/>
  <c r="AA45" i="73"/>
  <c r="AK30" i="73"/>
  <c r="AE46" i="73"/>
  <c r="AK42" i="73"/>
  <c r="AD30" i="73"/>
  <c r="AB48" i="73"/>
  <c r="AG45" i="73"/>
  <c r="AC20" i="73"/>
  <c r="AK26" i="73"/>
  <c r="AJ32" i="73"/>
  <c r="AJ19" i="73"/>
  <c r="AF18" i="73"/>
  <c r="Z26" i="73"/>
  <c r="AE19" i="73"/>
  <c r="AA12" i="73"/>
  <c r="AA42" i="73"/>
  <c r="AK48" i="73"/>
  <c r="AE12" i="73"/>
  <c r="AE7" i="73"/>
  <c r="AG26" i="73"/>
  <c r="AC12" i="73"/>
  <c r="AC42" i="73"/>
  <c r="AC33" i="73"/>
  <c r="AE16" i="73"/>
  <c r="AJ46" i="73"/>
  <c r="AJ42" i="73"/>
  <c r="AJ49" i="73"/>
  <c r="AF21" i="73"/>
  <c r="AF32" i="73"/>
  <c r="Z46" i="73"/>
  <c r="AA25" i="73"/>
  <c r="AD45" i="73"/>
  <c r="AI46" i="73"/>
  <c r="AI42" i="73"/>
  <c r="AI49" i="73"/>
  <c r="AC25" i="73"/>
  <c r="AC46" i="73"/>
  <c r="AF12" i="73"/>
  <c r="Z45" i="73"/>
  <c r="AA26" i="73"/>
  <c r="AK22" i="73"/>
  <c r="AE38" i="73"/>
  <c r="AE30" i="73"/>
  <c r="AH30" i="73"/>
  <c r="AE32" i="73"/>
  <c r="AH42" i="73"/>
  <c r="AH33" i="73"/>
  <c r="AI22" i="73"/>
  <c r="AI32" i="73"/>
  <c r="AB33" i="73"/>
  <c r="AB16" i="73"/>
  <c r="AG38" i="73"/>
  <c r="AG49" i="73"/>
  <c r="AG32" i="73"/>
  <c r="AC26" i="73"/>
  <c r="AC16" i="73"/>
  <c r="AJ12" i="73"/>
  <c r="AJ33" i="73"/>
  <c r="AF33" i="73"/>
  <c r="AE45" i="73"/>
  <c r="AK49" i="73"/>
  <c r="AK46" i="73"/>
  <c r="AH12" i="73"/>
  <c r="AD25" i="73"/>
  <c r="AH22" i="73"/>
  <c r="AD7" i="73"/>
  <c r="AI33" i="73"/>
  <c r="AB19" i="73"/>
  <c r="AB25" i="73"/>
  <c r="AB46" i="73"/>
  <c r="AG30" i="73"/>
  <c r="AE42" i="73"/>
  <c r="AJ21" i="73"/>
  <c r="Z32" i="73"/>
  <c r="AA48" i="73"/>
  <c r="AE20" i="73"/>
  <c r="AE22" i="73"/>
  <c r="AD20" i="73"/>
  <c r="AB45" i="73"/>
  <c r="AB26" i="73"/>
  <c r="AG33" i="73"/>
  <c r="AC45" i="73"/>
  <c r="AC48" i="73"/>
  <c r="AJ48" i="73"/>
  <c r="AJ8" i="73"/>
  <c r="AE26" i="73"/>
  <c r="AF8" i="73"/>
  <c r="AF25" i="73"/>
  <c r="AF16" i="73"/>
  <c r="Z19" i="73"/>
  <c r="AA19" i="73"/>
  <c r="AA30" i="73"/>
  <c r="AK21" i="73"/>
  <c r="L126" i="27" l="1"/>
  <c r="AA18" i="73"/>
  <c r="D49" i="73"/>
  <c r="L9" i="27"/>
  <c r="J9" i="27"/>
  <c r="J55" i="27"/>
  <c r="J11" i="27"/>
  <c r="J19" i="27"/>
  <c r="J64" i="27"/>
  <c r="J32" i="27"/>
  <c r="J101" i="27"/>
  <c r="J78" i="27"/>
  <c r="L91" i="27"/>
  <c r="AI31" i="73"/>
  <c r="J92" i="27"/>
  <c r="AC35" i="73"/>
  <c r="J116" i="27"/>
  <c r="AD37" i="73"/>
  <c r="L145" i="27"/>
  <c r="AK29" i="73"/>
  <c r="L53" i="27"/>
  <c r="AG29" i="73"/>
  <c r="J23" i="27"/>
  <c r="Z35" i="73"/>
  <c r="L116" i="27"/>
  <c r="AJ37" i="73"/>
  <c r="L87" i="27"/>
  <c r="AI9" i="73"/>
  <c r="L64" i="27"/>
  <c r="AH9" i="73"/>
  <c r="J22" i="27"/>
  <c r="Z31" i="73"/>
  <c r="L23" i="27"/>
  <c r="AF35" i="73"/>
  <c r="J121" i="27"/>
  <c r="AD55" i="73"/>
  <c r="J18" i="27"/>
  <c r="Z9" i="73"/>
  <c r="L16" i="27"/>
  <c r="AF43" i="73"/>
  <c r="L133" i="27"/>
  <c r="AK9" i="73"/>
  <c r="L40" i="27"/>
  <c r="AG50" i="73"/>
  <c r="J114" i="27"/>
  <c r="AD31" i="73"/>
  <c r="L52" i="27"/>
  <c r="AG55" i="73"/>
  <c r="J51" i="27"/>
  <c r="AA54" i="73"/>
  <c r="L120" i="27"/>
  <c r="AJ54" i="73"/>
  <c r="L88" i="27"/>
  <c r="AI10" i="73"/>
  <c r="J8" i="27"/>
  <c r="Z17" i="73"/>
  <c r="J88" i="27"/>
  <c r="AC10" i="73"/>
  <c r="J133" i="27"/>
  <c r="AE9" i="73"/>
  <c r="L114" i="27"/>
  <c r="AJ31" i="73"/>
  <c r="J103" i="27"/>
  <c r="AD34" i="73"/>
  <c r="J138" i="27"/>
  <c r="AE35" i="73"/>
  <c r="J97" i="27"/>
  <c r="AC54" i="73"/>
  <c r="J145" i="27"/>
  <c r="AE29" i="73"/>
  <c r="L108" i="27"/>
  <c r="AJ43" i="73"/>
  <c r="J74" i="27"/>
  <c r="AB54" i="73"/>
  <c r="J52" i="27"/>
  <c r="AA55" i="73"/>
  <c r="J132" i="27"/>
  <c r="AE50" i="73"/>
  <c r="J53" i="27"/>
  <c r="AA29" i="73"/>
  <c r="J99" i="27"/>
  <c r="AC29" i="73"/>
  <c r="L97" i="27"/>
  <c r="AI54" i="73"/>
  <c r="L86" i="27"/>
  <c r="AI50" i="73"/>
  <c r="L98" i="27"/>
  <c r="AI55" i="73"/>
  <c r="J144" i="27"/>
  <c r="AE55" i="73"/>
  <c r="L28" i="27"/>
  <c r="AF54" i="73"/>
  <c r="J30" i="27"/>
  <c r="Z29" i="73"/>
  <c r="L69" i="27"/>
  <c r="AH35" i="73"/>
  <c r="L103" i="27"/>
  <c r="AJ34" i="73"/>
  <c r="L138" i="27"/>
  <c r="AK35" i="73"/>
  <c r="J109" i="27"/>
  <c r="AD50" i="73"/>
  <c r="J111" i="27"/>
  <c r="AD10" i="73"/>
  <c r="L123" i="27"/>
  <c r="AK17" i="73"/>
  <c r="L30" i="27"/>
  <c r="AF29" i="73"/>
  <c r="J29" i="27"/>
  <c r="Z55" i="73"/>
  <c r="J122" i="27"/>
  <c r="AD29" i="73"/>
  <c r="L122" i="27"/>
  <c r="AJ29" i="73"/>
  <c r="J63" i="27"/>
  <c r="AB50" i="73"/>
  <c r="L19" i="27"/>
  <c r="AF10" i="73"/>
  <c r="J87" i="27"/>
  <c r="AC9" i="73"/>
  <c r="J39" i="27"/>
  <c r="AA43" i="73"/>
  <c r="L11" i="27"/>
  <c r="AF34" i="73"/>
  <c r="J75" i="27"/>
  <c r="AB55" i="73"/>
  <c r="J120" i="27"/>
  <c r="AD54" i="73"/>
  <c r="J31" i="27"/>
  <c r="AA17" i="73"/>
  <c r="J42" i="27"/>
  <c r="J69" i="27"/>
  <c r="AB35" i="73"/>
  <c r="J16" i="27"/>
  <c r="Z43" i="73"/>
  <c r="J86" i="27"/>
  <c r="AC50" i="73"/>
  <c r="L144" i="27"/>
  <c r="AK55" i="73"/>
  <c r="L39" i="27"/>
  <c r="AG43" i="73"/>
  <c r="L22" i="27"/>
  <c r="AF31" i="73"/>
  <c r="L57" i="27"/>
  <c r="AH34" i="73"/>
  <c r="J76" i="27"/>
  <c r="AB29" i="73"/>
  <c r="J139" i="27"/>
  <c r="AE37" i="73"/>
  <c r="L121" i="27"/>
  <c r="AJ55" i="73"/>
  <c r="L47" i="27"/>
  <c r="AG37" i="73"/>
  <c r="J28" i="27"/>
  <c r="Z54" i="73"/>
  <c r="L75" i="27"/>
  <c r="AH55" i="73"/>
  <c r="L8" i="27"/>
  <c r="AF17" i="73"/>
  <c r="L54" i="27"/>
  <c r="AH17" i="73"/>
  <c r="J45" i="27"/>
  <c r="AA31" i="73"/>
  <c r="L139" i="27"/>
  <c r="AK37" i="73"/>
  <c r="J57" i="27"/>
  <c r="AB34" i="73"/>
  <c r="L51" i="27"/>
  <c r="AG54" i="73"/>
  <c r="L124" i="27"/>
  <c r="AK6" i="73"/>
  <c r="J126" i="27"/>
  <c r="AE34" i="73"/>
  <c r="J54" i="27"/>
  <c r="AB17" i="73"/>
  <c r="J123" i="27"/>
  <c r="AE17" i="73"/>
  <c r="J85" i="27"/>
  <c r="AC43" i="73"/>
  <c r="L80" i="27"/>
  <c r="AI34" i="73"/>
  <c r="J108" i="27"/>
  <c r="AD43" i="73"/>
  <c r="J98" i="27"/>
  <c r="AC55" i="73"/>
  <c r="L31" i="27"/>
  <c r="AG17" i="73"/>
  <c r="J110" i="27"/>
  <c r="AD9" i="73"/>
  <c r="J40" i="27"/>
  <c r="AA50" i="73"/>
  <c r="J131" i="27"/>
  <c r="AE43" i="73"/>
  <c r="J68" i="27"/>
  <c r="AB31" i="73"/>
  <c r="L70" i="27"/>
  <c r="AH37" i="73"/>
  <c r="L134" i="27"/>
  <c r="AK10" i="73"/>
  <c r="L100" i="27"/>
  <c r="AJ17" i="73"/>
  <c r="L62" i="27"/>
  <c r="AH43" i="73"/>
  <c r="J80" i="27"/>
  <c r="AC34" i="73"/>
  <c r="L46" i="27"/>
  <c r="AG35" i="73"/>
  <c r="L55" i="27"/>
  <c r="AH6" i="73"/>
  <c r="L110" i="27"/>
  <c r="AJ9" i="73"/>
  <c r="J65" i="27"/>
  <c r="AB10" i="73"/>
  <c r="L74" i="27"/>
  <c r="AH54" i="73"/>
  <c r="J93" i="27"/>
  <c r="AC37" i="73"/>
  <c r="L45" i="27"/>
  <c r="AG31" i="73"/>
  <c r="J41" i="27"/>
  <c r="AA9" i="73"/>
  <c r="J47" i="27"/>
  <c r="AA37" i="73"/>
  <c r="L115" i="27"/>
  <c r="AJ35" i="73"/>
  <c r="J134" i="27"/>
  <c r="AE10" i="73"/>
  <c r="L76" i="27"/>
  <c r="AH29" i="73"/>
  <c r="J46" i="27"/>
  <c r="AA35" i="73"/>
  <c r="L111" i="27"/>
  <c r="AJ10" i="73"/>
  <c r="J62" i="27"/>
  <c r="AB43" i="73"/>
  <c r="L34" i="27"/>
  <c r="AG34" i="73"/>
  <c r="L65" i="27"/>
  <c r="AH10" i="73"/>
  <c r="L93" i="27"/>
  <c r="AI37" i="73"/>
  <c r="J24" i="27"/>
  <c r="Z37" i="73"/>
  <c r="J17" i="27"/>
  <c r="Z50" i="73"/>
  <c r="L77" i="27"/>
  <c r="AI17" i="73"/>
  <c r="L85" i="27"/>
  <c r="AI43" i="73"/>
  <c r="L63" i="27"/>
  <c r="AH50" i="73"/>
  <c r="L18" i="27"/>
  <c r="AF9" i="73"/>
  <c r="L42" i="27"/>
  <c r="AG10" i="73"/>
  <c r="L17" i="27"/>
  <c r="AF50" i="73"/>
  <c r="L143" i="27"/>
  <c r="AK54" i="73"/>
  <c r="L101" i="27"/>
  <c r="AJ6" i="73"/>
  <c r="J124" i="27"/>
  <c r="J91" i="27"/>
  <c r="AC31" i="73"/>
  <c r="L92" i="27"/>
  <c r="AI35" i="73"/>
  <c r="J143" i="27"/>
  <c r="AE54" i="73"/>
  <c r="L24" i="27"/>
  <c r="AF37" i="73"/>
  <c r="L41" i="27"/>
  <c r="AG9" i="73"/>
  <c r="J100" i="27"/>
  <c r="AD17" i="73"/>
  <c r="L32" i="27"/>
  <c r="AG6" i="73"/>
  <c r="L109" i="27"/>
  <c r="AJ50" i="73"/>
  <c r="L132" i="27"/>
  <c r="AK50" i="73"/>
  <c r="J70" i="27"/>
  <c r="AB37" i="73"/>
  <c r="J77" i="27"/>
  <c r="AC17" i="73"/>
  <c r="L99" i="27"/>
  <c r="AI29" i="73"/>
  <c r="L68" i="27"/>
  <c r="AH31" i="73"/>
  <c r="J115" i="27"/>
  <c r="AD35" i="73"/>
  <c r="J34" i="27"/>
  <c r="AA34" i="73"/>
  <c r="J137" i="27"/>
  <c r="AE31" i="73"/>
  <c r="L29" i="27"/>
  <c r="AF55" i="73"/>
  <c r="L78" i="27"/>
  <c r="AI6" i="73"/>
  <c r="L131" i="27"/>
  <c r="AK43" i="73"/>
  <c r="D79" i="73" l="1"/>
  <c r="E79" i="73" s="1"/>
  <c r="E49" i="73"/>
  <c r="G57" i="35"/>
  <c r="G56" i="35"/>
  <c r="G48" i="35"/>
  <c r="H57" i="35"/>
  <c r="F675" i="27" s="1"/>
  <c r="H56" i="35"/>
  <c r="F674" i="27" s="1"/>
  <c r="H55" i="35"/>
  <c r="F672" i="27" s="1"/>
  <c r="I48" i="35" l="1"/>
  <c r="F683" i="27" l="1"/>
  <c r="F682" i="27"/>
  <c r="F679" i="27"/>
  <c r="F680" i="27"/>
  <c r="F678" i="27"/>
  <c r="F671" i="27"/>
  <c r="F670" i="27"/>
  <c r="F666" i="27"/>
  <c r="F667" i="27"/>
  <c r="F665" i="27"/>
  <c r="F668" i="27"/>
  <c r="G75" i="26" l="1"/>
  <c r="G680" i="27"/>
  <c r="G675" i="27"/>
  <c r="G674" i="27"/>
  <c r="G670" i="27"/>
  <c r="G83" i="35"/>
  <c r="G679" i="27" s="1"/>
  <c r="G667" i="27"/>
  <c r="G666" i="27"/>
  <c r="J75" i="26" l="1"/>
  <c r="L671" i="27" s="1"/>
  <c r="I49" i="35"/>
  <c r="G671" i="27"/>
  <c r="J671" i="27" s="1"/>
  <c r="G683" i="27"/>
  <c r="M671" i="27" l="1"/>
  <c r="K671" i="27"/>
  <c r="J28" i="26"/>
  <c r="J27" i="26"/>
  <c r="J26" i="26"/>
  <c r="J25" i="26"/>
  <c r="J24" i="26"/>
  <c r="J23" i="26"/>
  <c r="J22" i="26"/>
  <c r="J21" i="26"/>
  <c r="G28" i="26"/>
  <c r="G27" i="26"/>
  <c r="J442" i="27" s="1"/>
  <c r="G25" i="26"/>
  <c r="J506" i="27" s="1"/>
  <c r="G26" i="26"/>
  <c r="G24" i="26"/>
  <c r="G22" i="26"/>
  <c r="G23" i="26"/>
  <c r="G21" i="26"/>
  <c r="G11" i="26" l="1"/>
  <c r="U55" i="36" l="1"/>
  <c r="R60" i="36"/>
  <c r="U61" i="36"/>
  <c r="W53" i="36"/>
  <c r="T56" i="36"/>
  <c r="G652" i="27" l="1"/>
  <c r="G650" i="27"/>
  <c r="G651" i="27"/>
  <c r="G654" i="27"/>
  <c r="G700" i="27"/>
  <c r="G696" i="27"/>
  <c r="G695" i="27"/>
  <c r="G693" i="27"/>
  <c r="G692" i="27"/>
  <c r="G691" i="27"/>
  <c r="G689" i="27"/>
  <c r="G690" i="27"/>
  <c r="G688" i="27"/>
  <c r="G687" i="27"/>
  <c r="G660" i="27"/>
  <c r="G659" i="27"/>
  <c r="G658" i="27"/>
  <c r="G655" i="27"/>
  <c r="G646" i="27"/>
  <c r="G644" i="27"/>
  <c r="G642" i="27"/>
  <c r="G686" i="27"/>
  <c r="G685" i="27"/>
  <c r="G684" i="27"/>
  <c r="G682" i="27"/>
  <c r="G681" i="27"/>
  <c r="G678" i="27"/>
  <c r="G677" i="27"/>
  <c r="G676" i="27"/>
  <c r="G672" i="27"/>
  <c r="G665" i="27"/>
  <c r="G663" i="27"/>
  <c r="G662" i="27"/>
  <c r="G661" i="27"/>
  <c r="G657" i="27"/>
  <c r="G656" i="27"/>
  <c r="L362" i="27"/>
  <c r="L363" i="27"/>
  <c r="L364" i="27"/>
  <c r="L365" i="27"/>
  <c r="L366" i="27"/>
  <c r="L367" i="27"/>
  <c r="L368" i="27"/>
  <c r="L369" i="27"/>
  <c r="L370" i="27"/>
  <c r="L371" i="27"/>
  <c r="L372" i="27"/>
  <c r="L373" i="27"/>
  <c r="L374" i="27"/>
  <c r="L375" i="27"/>
  <c r="L376" i="27"/>
  <c r="L377" i="27"/>
  <c r="L378" i="27"/>
  <c r="L379" i="27"/>
  <c r="L380" i="27"/>
  <c r="L381" i="27"/>
  <c r="L382" i="27"/>
  <c r="L383" i="27"/>
  <c r="L384" i="27"/>
  <c r="L385" i="27"/>
  <c r="L386" i="27"/>
  <c r="L387" i="27"/>
  <c r="L388" i="27"/>
  <c r="L389" i="27"/>
  <c r="L390" i="27"/>
  <c r="L391" i="27"/>
  <c r="L392" i="27"/>
  <c r="L393" i="27"/>
  <c r="L394" i="27"/>
  <c r="L395" i="27"/>
  <c r="L396" i="27"/>
  <c r="L397" i="27"/>
  <c r="L398" i="27"/>
  <c r="L399" i="27"/>
  <c r="L400" i="27"/>
  <c r="L401" i="27"/>
  <c r="L402" i="27"/>
  <c r="L403" i="27"/>
  <c r="L404" i="27"/>
  <c r="L405" i="27"/>
  <c r="L406" i="27"/>
  <c r="L407" i="27"/>
  <c r="L408" i="27"/>
  <c r="L409" i="27"/>
  <c r="L410" i="27"/>
  <c r="L411" i="27"/>
  <c r="L412" i="27"/>
  <c r="L413" i="27"/>
  <c r="L414" i="27"/>
  <c r="L415" i="27"/>
  <c r="L416" i="27"/>
  <c r="L417" i="27"/>
  <c r="L418" i="27"/>
  <c r="L419" i="27"/>
  <c r="L420" i="27"/>
  <c r="L421" i="27"/>
  <c r="L422" i="27"/>
  <c r="L423" i="27"/>
  <c r="L424" i="27"/>
  <c r="L425" i="27"/>
  <c r="L426" i="27"/>
  <c r="L427" i="27"/>
  <c r="L428" i="27"/>
  <c r="L429" i="27"/>
  <c r="L430" i="27"/>
  <c r="L431" i="27"/>
  <c r="L432" i="27"/>
  <c r="L433" i="27"/>
  <c r="L434" i="27"/>
  <c r="L435" i="27"/>
  <c r="L436" i="27"/>
  <c r="L437" i="27"/>
  <c r="L438" i="27"/>
  <c r="L439" i="27"/>
  <c r="L440" i="27"/>
  <c r="L441" i="27"/>
  <c r="L442" i="27"/>
  <c r="L443" i="27"/>
  <c r="L444" i="27"/>
  <c r="L445" i="27"/>
  <c r="L446" i="27"/>
  <c r="L447" i="27"/>
  <c r="L448" i="27"/>
  <c r="L449" i="27"/>
  <c r="L450" i="27"/>
  <c r="L451" i="27"/>
  <c r="L452" i="27"/>
  <c r="L453" i="27"/>
  <c r="L454" i="27"/>
  <c r="L455" i="27"/>
  <c r="L456" i="27"/>
  <c r="L457" i="27"/>
  <c r="L458" i="27"/>
  <c r="L459" i="27"/>
  <c r="L460" i="27"/>
  <c r="L461" i="27"/>
  <c r="L462" i="27"/>
  <c r="L463" i="27"/>
  <c r="L464" i="27"/>
  <c r="L465" i="27"/>
  <c r="L466" i="27"/>
  <c r="L467" i="27"/>
  <c r="L468" i="27"/>
  <c r="L469" i="27"/>
  <c r="L470" i="27"/>
  <c r="L471" i="27"/>
  <c r="L472" i="27"/>
  <c r="L473" i="27"/>
  <c r="L474" i="27"/>
  <c r="L475" i="27"/>
  <c r="L476" i="27"/>
  <c r="L477" i="27"/>
  <c r="L478" i="27"/>
  <c r="L479" i="27"/>
  <c r="L480" i="27"/>
  <c r="L481" i="27"/>
  <c r="L482" i="27"/>
  <c r="L483" i="27"/>
  <c r="L484" i="27"/>
  <c r="L485" i="27"/>
  <c r="L486" i="27"/>
  <c r="L487" i="27"/>
  <c r="L488" i="27"/>
  <c r="L489" i="27"/>
  <c r="L490" i="27"/>
  <c r="L491" i="27"/>
  <c r="L492" i="27"/>
  <c r="L493" i="27"/>
  <c r="L494" i="27"/>
  <c r="L495" i="27"/>
  <c r="L496" i="27"/>
  <c r="L497" i="27"/>
  <c r="L498" i="27"/>
  <c r="L499" i="27"/>
  <c r="L500" i="27"/>
  <c r="L501" i="27"/>
  <c r="L502" i="27"/>
  <c r="L503" i="27"/>
  <c r="L504" i="27"/>
  <c r="L505" i="27"/>
  <c r="L506" i="27"/>
  <c r="L507" i="27"/>
  <c r="L508" i="27"/>
  <c r="L509" i="27"/>
  <c r="L510" i="27"/>
  <c r="L511" i="27"/>
  <c r="L512" i="27"/>
  <c r="L513" i="27"/>
  <c r="L514" i="27"/>
  <c r="L515" i="27"/>
  <c r="L516" i="27"/>
  <c r="L517" i="27"/>
  <c r="L518" i="27"/>
  <c r="L519" i="27"/>
  <c r="L520" i="27"/>
  <c r="L521" i="27"/>
  <c r="L522" i="27"/>
  <c r="L523" i="27"/>
  <c r="L524" i="27"/>
  <c r="L525" i="27"/>
  <c r="L526" i="27"/>
  <c r="L527" i="27"/>
  <c r="L528" i="27"/>
  <c r="L529" i="27"/>
  <c r="L530" i="27"/>
  <c r="L531" i="27"/>
  <c r="L532" i="27"/>
  <c r="L533" i="27"/>
  <c r="L534" i="27"/>
  <c r="L535" i="27"/>
  <c r="L536" i="27"/>
  <c r="L537" i="27"/>
  <c r="L538" i="27"/>
  <c r="L539" i="27"/>
  <c r="L540" i="27"/>
  <c r="L541" i="27"/>
  <c r="L542" i="27"/>
  <c r="L543" i="27"/>
  <c r="L544" i="27"/>
  <c r="L545" i="27"/>
  <c r="J362" i="27"/>
  <c r="J363" i="27"/>
  <c r="J364" i="27"/>
  <c r="J365" i="27"/>
  <c r="J366" i="27"/>
  <c r="J367" i="27"/>
  <c r="J368" i="27"/>
  <c r="J369" i="27"/>
  <c r="J370" i="27"/>
  <c r="J371" i="27"/>
  <c r="J372" i="27"/>
  <c r="J373" i="27"/>
  <c r="J374" i="27"/>
  <c r="J375" i="27"/>
  <c r="J376" i="27"/>
  <c r="J377" i="27"/>
  <c r="J378" i="27"/>
  <c r="J379" i="27"/>
  <c r="J380" i="27"/>
  <c r="J381" i="27"/>
  <c r="J382" i="27"/>
  <c r="J383" i="27"/>
  <c r="J384" i="27"/>
  <c r="J385" i="27"/>
  <c r="J386" i="27"/>
  <c r="J387" i="27"/>
  <c r="J388" i="27"/>
  <c r="J389" i="27"/>
  <c r="J390" i="27"/>
  <c r="J391" i="27"/>
  <c r="J392" i="27"/>
  <c r="J393" i="27"/>
  <c r="J394" i="27"/>
  <c r="J395" i="27"/>
  <c r="J396" i="27"/>
  <c r="J397" i="27"/>
  <c r="J398" i="27"/>
  <c r="J399" i="27"/>
  <c r="J400" i="27"/>
  <c r="J401" i="27"/>
  <c r="J402" i="27"/>
  <c r="J403" i="27"/>
  <c r="J404" i="27"/>
  <c r="J405" i="27"/>
  <c r="J406" i="27"/>
  <c r="J407" i="27"/>
  <c r="J408" i="27"/>
  <c r="J409" i="27"/>
  <c r="J410" i="27"/>
  <c r="J411" i="27"/>
  <c r="J412" i="27"/>
  <c r="J413" i="27"/>
  <c r="J414" i="27"/>
  <c r="J415" i="27"/>
  <c r="J416" i="27"/>
  <c r="J417" i="27"/>
  <c r="J418" i="27"/>
  <c r="J419" i="27"/>
  <c r="J420" i="27"/>
  <c r="J421" i="27"/>
  <c r="J422" i="27"/>
  <c r="J423" i="27"/>
  <c r="J424" i="27"/>
  <c r="J425" i="27"/>
  <c r="J426" i="27"/>
  <c r="J427" i="27"/>
  <c r="J428" i="27"/>
  <c r="J429" i="27"/>
  <c r="J430" i="27"/>
  <c r="J431" i="27"/>
  <c r="J432" i="27"/>
  <c r="J433" i="27"/>
  <c r="J434" i="27"/>
  <c r="J435" i="27"/>
  <c r="J436" i="27"/>
  <c r="J437" i="27"/>
  <c r="J438" i="27"/>
  <c r="J439" i="27"/>
  <c r="J440" i="27"/>
  <c r="J441" i="27"/>
  <c r="J443" i="27"/>
  <c r="J444" i="27"/>
  <c r="J445" i="27"/>
  <c r="J446" i="27"/>
  <c r="J447" i="27"/>
  <c r="J448" i="27"/>
  <c r="J449" i="27"/>
  <c r="J450" i="27"/>
  <c r="J451" i="27"/>
  <c r="J452" i="27"/>
  <c r="J453" i="27"/>
  <c r="J454" i="27"/>
  <c r="J455" i="27"/>
  <c r="J456" i="27"/>
  <c r="J457" i="27"/>
  <c r="J458" i="27"/>
  <c r="J459" i="27"/>
  <c r="J460" i="27"/>
  <c r="J461" i="27"/>
  <c r="J462" i="27"/>
  <c r="J463" i="27"/>
  <c r="J464" i="27"/>
  <c r="J465" i="27"/>
  <c r="J466" i="27"/>
  <c r="J467" i="27"/>
  <c r="J468" i="27"/>
  <c r="J469" i="27"/>
  <c r="J470" i="27"/>
  <c r="J471" i="27"/>
  <c r="J472" i="27"/>
  <c r="J473" i="27"/>
  <c r="J474" i="27"/>
  <c r="J475" i="27"/>
  <c r="J476" i="27"/>
  <c r="J477" i="27"/>
  <c r="J478" i="27"/>
  <c r="J479" i="27"/>
  <c r="J480" i="27"/>
  <c r="J481" i="27"/>
  <c r="J482" i="27"/>
  <c r="J483" i="27"/>
  <c r="J484" i="27"/>
  <c r="J485" i="27"/>
  <c r="J486" i="27"/>
  <c r="J487" i="27"/>
  <c r="J488" i="27"/>
  <c r="J489" i="27"/>
  <c r="J490" i="27"/>
  <c r="J491" i="27"/>
  <c r="J492" i="27"/>
  <c r="J493" i="27"/>
  <c r="J494" i="27"/>
  <c r="J495" i="27"/>
  <c r="J496" i="27"/>
  <c r="J497" i="27"/>
  <c r="J498" i="27"/>
  <c r="J499" i="27"/>
  <c r="J500" i="27"/>
  <c r="J501" i="27"/>
  <c r="J502" i="27"/>
  <c r="J503" i="27"/>
  <c r="J504" i="27"/>
  <c r="J505" i="27"/>
  <c r="J507" i="27"/>
  <c r="J508" i="27"/>
  <c r="J509" i="27"/>
  <c r="J510" i="27"/>
  <c r="J511" i="27"/>
  <c r="J512" i="27"/>
  <c r="J513" i="27"/>
  <c r="J514" i="27"/>
  <c r="J515" i="27"/>
  <c r="J516" i="27"/>
  <c r="J517" i="27"/>
  <c r="J518" i="27"/>
  <c r="J519" i="27"/>
  <c r="J520" i="27"/>
  <c r="J521" i="27"/>
  <c r="J522" i="27"/>
  <c r="J523" i="27"/>
  <c r="J524" i="27"/>
  <c r="J525" i="27"/>
  <c r="J526" i="27"/>
  <c r="J527" i="27"/>
  <c r="J528" i="27"/>
  <c r="J529" i="27"/>
  <c r="J530" i="27"/>
  <c r="J531" i="27"/>
  <c r="J532" i="27"/>
  <c r="J533" i="27"/>
  <c r="J534" i="27"/>
  <c r="J535" i="27"/>
  <c r="J536" i="27"/>
  <c r="J537" i="27"/>
  <c r="J538" i="27"/>
  <c r="J539" i="27"/>
  <c r="J540" i="27"/>
  <c r="J541" i="27"/>
  <c r="J542" i="27"/>
  <c r="J543" i="27"/>
  <c r="J544" i="27"/>
  <c r="J545" i="27"/>
  <c r="I166" i="36" l="1"/>
  <c r="L166" i="36" s="1"/>
  <c r="I52" i="36"/>
  <c r="I131" i="35"/>
  <c r="L131" i="35" s="1"/>
  <c r="I130" i="35"/>
  <c r="L130" i="35" s="1"/>
  <c r="I129" i="35"/>
  <c r="L129" i="35" s="1"/>
  <c r="I128" i="35"/>
  <c r="L128" i="35" s="1"/>
  <c r="I139" i="35"/>
  <c r="G8" i="26"/>
  <c r="X41" i="36"/>
  <c r="I80" i="36"/>
  <c r="L80" i="36" s="1"/>
  <c r="I59" i="36"/>
  <c r="L59" i="36" s="1"/>
  <c r="O303" i="36" l="1"/>
  <c r="I305" i="36"/>
  <c r="L305" i="36" s="1"/>
  <c r="I304" i="36"/>
  <c r="L304" i="36" s="1"/>
  <c r="I303" i="36"/>
  <c r="L303" i="36" s="1"/>
  <c r="O64" i="36"/>
  <c r="R62" i="36"/>
  <c r="X73" i="36"/>
  <c r="X308" i="36" s="1"/>
  <c r="G110" i="26" s="1"/>
  <c r="W65" i="36"/>
  <c r="W308" i="36" s="1"/>
  <c r="G112" i="26" s="1"/>
  <c r="T70" i="36"/>
  <c r="T125" i="36"/>
  <c r="Z119" i="36"/>
  <c r="Z308" i="36" s="1"/>
  <c r="G111" i="26" s="1"/>
  <c r="R121" i="36"/>
  <c r="O117" i="36"/>
  <c r="R305" i="36"/>
  <c r="I113" i="35"/>
  <c r="I4" i="36"/>
  <c r="L4" i="36" s="1"/>
  <c r="I135" i="36"/>
  <c r="L135" i="36" s="1"/>
  <c r="I74" i="36"/>
  <c r="L74" i="36" s="1"/>
  <c r="I236" i="36"/>
  <c r="L236" i="36" s="1"/>
  <c r="I167" i="36"/>
  <c r="L167" i="36" s="1"/>
  <c r="I153" i="36"/>
  <c r="L153" i="36" s="1"/>
  <c r="I118" i="36"/>
  <c r="L118" i="36" s="1"/>
  <c r="I275" i="36"/>
  <c r="L275" i="36" s="1"/>
  <c r="I41" i="36"/>
  <c r="L41" i="36" s="1"/>
  <c r="I196" i="36"/>
  <c r="L196" i="36" s="1"/>
  <c r="I12" i="36"/>
  <c r="L12" i="36" s="1"/>
  <c r="I298" i="36"/>
  <c r="G69" i="26"/>
  <c r="G60" i="26"/>
  <c r="I42" i="36"/>
  <c r="I297" i="36"/>
  <c r="G45" i="26"/>
  <c r="I133" i="36"/>
  <c r="I132" i="35"/>
  <c r="G99" i="26"/>
  <c r="I223" i="36"/>
  <c r="L223" i="36" s="1"/>
  <c r="I26" i="36"/>
  <c r="L26" i="36" s="1"/>
  <c r="I189" i="36"/>
  <c r="L189" i="36" s="1"/>
  <c r="I22" i="36"/>
  <c r="L22" i="36" s="1"/>
  <c r="I226" i="36"/>
  <c r="L226" i="36" s="1"/>
  <c r="I40" i="36"/>
  <c r="L40" i="36" s="1"/>
  <c r="I67" i="36"/>
  <c r="L67" i="36" s="1"/>
  <c r="I68" i="36"/>
  <c r="L68" i="36" s="1"/>
  <c r="I174" i="36"/>
  <c r="L174" i="36" s="1"/>
  <c r="I188" i="36"/>
  <c r="L188" i="36" s="1"/>
  <c r="I155" i="36"/>
  <c r="L155" i="36" s="1"/>
  <c r="I156" i="36"/>
  <c r="L156" i="36" s="1"/>
  <c r="I138" i="36"/>
  <c r="L138" i="36" s="1"/>
  <c r="I149" i="36"/>
  <c r="L149" i="36" s="1"/>
  <c r="I70" i="36"/>
  <c r="L70" i="36" s="1"/>
  <c r="I139" i="36"/>
  <c r="L139" i="36" s="1"/>
  <c r="I148" i="36"/>
  <c r="L148" i="36" s="1"/>
  <c r="I71" i="36"/>
  <c r="L71" i="36" s="1"/>
  <c r="I140" i="36"/>
  <c r="L140" i="36" s="1"/>
  <c r="I72" i="36"/>
  <c r="L72" i="36" s="1"/>
  <c r="I141" i="36"/>
  <c r="L141" i="36" s="1"/>
  <c r="I199" i="36"/>
  <c r="L199" i="36" s="1"/>
  <c r="I222" i="36"/>
  <c r="L222" i="36" s="1"/>
  <c r="I73" i="36"/>
  <c r="L73" i="36" s="1"/>
  <c r="I142" i="36"/>
  <c r="L142" i="36" s="1"/>
  <c r="I217" i="36"/>
  <c r="L217" i="36" s="1"/>
  <c r="I221" i="36"/>
  <c r="L221" i="36" s="1"/>
  <c r="I75" i="36"/>
  <c r="L75" i="36" s="1"/>
  <c r="I143" i="36"/>
  <c r="L143" i="36" s="1"/>
  <c r="I218" i="36"/>
  <c r="L218" i="36" s="1"/>
  <c r="I214" i="36"/>
  <c r="L214" i="36" s="1"/>
  <c r="I76" i="36"/>
  <c r="L76" i="36" s="1"/>
  <c r="I144" i="36"/>
  <c r="L144" i="36" s="1"/>
  <c r="I219" i="36"/>
  <c r="L219" i="36" s="1"/>
  <c r="I195" i="36"/>
  <c r="L195" i="36" s="1"/>
  <c r="I62" i="36"/>
  <c r="L62" i="36" s="1"/>
  <c r="I77" i="36"/>
  <c r="L77" i="36" s="1"/>
  <c r="I145" i="36"/>
  <c r="L145" i="36" s="1"/>
  <c r="I194" i="36"/>
  <c r="L194" i="36" s="1"/>
  <c r="I63" i="36"/>
  <c r="L63" i="36" s="1"/>
  <c r="I78" i="36"/>
  <c r="L78" i="36" s="1"/>
  <c r="I164" i="36"/>
  <c r="L164" i="36" s="1"/>
  <c r="I146" i="36"/>
  <c r="L146" i="36" s="1"/>
  <c r="I64" i="36"/>
  <c r="L64" i="36" s="1"/>
  <c r="I79" i="36"/>
  <c r="L79" i="36" s="1"/>
  <c r="I165" i="36"/>
  <c r="L165" i="36" s="1"/>
  <c r="I147" i="36"/>
  <c r="L147" i="36" s="1"/>
  <c r="I65" i="36"/>
  <c r="L65" i="36" s="1"/>
  <c r="I53" i="36"/>
  <c r="L53" i="36" s="1"/>
  <c r="I154" i="36"/>
  <c r="L154" i="36" s="1"/>
  <c r="I152" i="36"/>
  <c r="L152" i="36" s="1"/>
  <c r="I151" i="36"/>
  <c r="L151" i="36" s="1"/>
  <c r="I150" i="36"/>
  <c r="L150" i="36" s="1"/>
  <c r="I69" i="36"/>
  <c r="L69" i="36" s="1"/>
  <c r="I66" i="36"/>
  <c r="L66" i="36" s="1"/>
  <c r="I271" i="36"/>
  <c r="L271" i="36" s="1"/>
  <c r="I267" i="36"/>
  <c r="L267" i="36" s="1"/>
  <c r="I272" i="36"/>
  <c r="L272" i="36" s="1"/>
  <c r="I264" i="36"/>
  <c r="L264" i="36" s="1"/>
  <c r="I273" i="36"/>
  <c r="L273" i="36" s="1"/>
  <c r="I295" i="36"/>
  <c r="L295" i="36" s="1"/>
  <c r="I279" i="36"/>
  <c r="L279" i="36" s="1"/>
  <c r="I292" i="36"/>
  <c r="L292" i="36" s="1"/>
  <c r="I280" i="36"/>
  <c r="L280" i="36" s="1"/>
  <c r="I291" i="36"/>
  <c r="L291" i="36" s="1"/>
  <c r="I282" i="36"/>
  <c r="L282" i="36" s="1"/>
  <c r="I290" i="36"/>
  <c r="L290" i="36" s="1"/>
  <c r="I283" i="36"/>
  <c r="L283" i="36" s="1"/>
  <c r="I289" i="36"/>
  <c r="L289" i="36" s="1"/>
  <c r="I296" i="36"/>
  <c r="L296" i="36" s="1"/>
  <c r="I284" i="36"/>
  <c r="L284" i="36" s="1"/>
  <c r="I288" i="36"/>
  <c r="L288" i="36" s="1"/>
  <c r="I263" i="36"/>
  <c r="L263" i="36" s="1"/>
  <c r="I285" i="36"/>
  <c r="L285" i="36" s="1"/>
  <c r="I281" i="36"/>
  <c r="L281" i="36" s="1"/>
  <c r="I265" i="36"/>
  <c r="L265" i="36" s="1"/>
  <c r="I286" i="36"/>
  <c r="L286" i="36" s="1"/>
  <c r="I278" i="36"/>
  <c r="L278" i="36" s="1"/>
  <c r="I266" i="36"/>
  <c r="L266" i="36" s="1"/>
  <c r="I287" i="36"/>
  <c r="L287" i="36" s="1"/>
  <c r="I277" i="36"/>
  <c r="L277" i="36" s="1"/>
  <c r="I270" i="36"/>
  <c r="L270" i="36" s="1"/>
  <c r="I274" i="36"/>
  <c r="L274" i="36" s="1"/>
  <c r="I268" i="36"/>
  <c r="L268" i="36" s="1"/>
  <c r="I293" i="36"/>
  <c r="L293" i="36" s="1"/>
  <c r="I276" i="36"/>
  <c r="L276" i="36" s="1"/>
  <c r="I269" i="36"/>
  <c r="L269" i="36" s="1"/>
  <c r="I294" i="36"/>
  <c r="L294" i="36" s="1"/>
  <c r="I230" i="36"/>
  <c r="L230" i="36" s="1"/>
  <c r="I252" i="36"/>
  <c r="L252" i="36" s="1"/>
  <c r="I256" i="36"/>
  <c r="L256" i="36" s="1"/>
  <c r="I235" i="36"/>
  <c r="L235" i="36" s="1"/>
  <c r="I231" i="36"/>
  <c r="L231" i="36" s="1"/>
  <c r="I251" i="36"/>
  <c r="L251" i="36" s="1"/>
  <c r="I243" i="36"/>
  <c r="L243" i="36" s="1"/>
  <c r="I250" i="36"/>
  <c r="L250" i="36" s="1"/>
  <c r="I244" i="36"/>
  <c r="L244" i="36" s="1"/>
  <c r="I260" i="36"/>
  <c r="L260" i="36" s="1"/>
  <c r="I249" i="36"/>
  <c r="L249" i="36" s="1"/>
  <c r="I232" i="36"/>
  <c r="L232" i="36" s="1"/>
  <c r="I257" i="36"/>
  <c r="L257" i="36" s="1"/>
  <c r="I233" i="36"/>
  <c r="L233" i="36" s="1"/>
  <c r="I234" i="36"/>
  <c r="L234" i="36" s="1"/>
  <c r="I258" i="36"/>
  <c r="L258" i="36" s="1"/>
  <c r="I239" i="36"/>
  <c r="L239" i="36" s="1"/>
  <c r="I261" i="36"/>
  <c r="L261" i="36" s="1"/>
  <c r="I240" i="36"/>
  <c r="L240" i="36" s="1"/>
  <c r="I259" i="36"/>
  <c r="L259" i="36" s="1"/>
  <c r="I241" i="36"/>
  <c r="L241" i="36" s="1"/>
  <c r="I242" i="36"/>
  <c r="L242" i="36" s="1"/>
  <c r="I246" i="36"/>
  <c r="L246" i="36" s="1"/>
  <c r="I247" i="36"/>
  <c r="L247" i="36" s="1"/>
  <c r="I248" i="36"/>
  <c r="L248" i="36" s="1"/>
  <c r="I245" i="36"/>
  <c r="L245" i="36" s="1"/>
  <c r="I253" i="36"/>
  <c r="L253" i="36" s="1"/>
  <c r="I238" i="36"/>
  <c r="L238" i="36" s="1"/>
  <c r="I228" i="36"/>
  <c r="L228" i="36" s="1"/>
  <c r="I254" i="36"/>
  <c r="L254" i="36" s="1"/>
  <c r="I237" i="36"/>
  <c r="L237" i="36" s="1"/>
  <c r="I229" i="36"/>
  <c r="L229" i="36" s="1"/>
  <c r="I255" i="36"/>
  <c r="L255" i="36" s="1"/>
  <c r="I197" i="36"/>
  <c r="L197" i="36" s="1"/>
  <c r="I216" i="36"/>
  <c r="L216" i="36" s="1"/>
  <c r="I200" i="36"/>
  <c r="L200" i="36" s="1"/>
  <c r="I193" i="36"/>
  <c r="L193" i="36" s="1"/>
  <c r="I225" i="36"/>
  <c r="L225" i="36" s="1"/>
  <c r="I220" i="36"/>
  <c r="L220" i="36" s="1"/>
  <c r="I198" i="36"/>
  <c r="L198" i="36" s="1"/>
  <c r="I215" i="36"/>
  <c r="L215" i="36" s="1"/>
  <c r="I203" i="36"/>
  <c r="L203" i="36" s="1"/>
  <c r="I210" i="36"/>
  <c r="L210" i="36" s="1"/>
  <c r="I204" i="36"/>
  <c r="L204" i="36" s="1"/>
  <c r="I209" i="36"/>
  <c r="L209" i="36" s="1"/>
  <c r="I205" i="36"/>
  <c r="L205" i="36" s="1"/>
  <c r="I208" i="36"/>
  <c r="L208" i="36" s="1"/>
  <c r="I206" i="36"/>
  <c r="L206" i="36" s="1"/>
  <c r="I207" i="36"/>
  <c r="L207" i="36" s="1"/>
  <c r="I211" i="36"/>
  <c r="L211" i="36" s="1"/>
  <c r="I202" i="36"/>
  <c r="L202" i="36" s="1"/>
  <c r="I212" i="36"/>
  <c r="L212" i="36" s="1"/>
  <c r="I201" i="36"/>
  <c r="L201" i="36" s="1"/>
  <c r="I213" i="36"/>
  <c r="L213" i="36" s="1"/>
  <c r="I224" i="36"/>
  <c r="L224" i="36" s="1"/>
  <c r="I169" i="36"/>
  <c r="L169" i="36" s="1"/>
  <c r="I172" i="36"/>
  <c r="L172" i="36" s="1"/>
  <c r="I185" i="36"/>
  <c r="L185" i="36" s="1"/>
  <c r="I190" i="36"/>
  <c r="L190" i="36" s="1"/>
  <c r="I191" i="36"/>
  <c r="L191" i="36" s="1"/>
  <c r="I158" i="36"/>
  <c r="L158" i="36" s="1"/>
  <c r="I173" i="36"/>
  <c r="L173" i="36" s="1"/>
  <c r="I184" i="36"/>
  <c r="L184" i="36" s="1"/>
  <c r="I183" i="36"/>
  <c r="L183" i="36" s="1"/>
  <c r="I176" i="36"/>
  <c r="L176" i="36" s="1"/>
  <c r="I182" i="36"/>
  <c r="L182" i="36" s="1"/>
  <c r="I177" i="36"/>
  <c r="L177" i="36" s="1"/>
  <c r="I181" i="36"/>
  <c r="L181" i="36" s="1"/>
  <c r="I159" i="36"/>
  <c r="L159" i="36" s="1"/>
  <c r="I178" i="36"/>
  <c r="L178" i="36" s="1"/>
  <c r="I175" i="36"/>
  <c r="L175" i="36" s="1"/>
  <c r="I160" i="36"/>
  <c r="L160" i="36" s="1"/>
  <c r="I179" i="36"/>
  <c r="L179" i="36" s="1"/>
  <c r="I171" i="36"/>
  <c r="L171" i="36" s="1"/>
  <c r="I161" i="36"/>
  <c r="L161" i="36" s="1"/>
  <c r="I180" i="36"/>
  <c r="L180" i="36" s="1"/>
  <c r="I170" i="36"/>
  <c r="L170" i="36" s="1"/>
  <c r="I162" i="36"/>
  <c r="L162" i="36" s="1"/>
  <c r="I186" i="36"/>
  <c r="L186" i="36" s="1"/>
  <c r="I168" i="36"/>
  <c r="L168" i="36" s="1"/>
  <c r="I163" i="36"/>
  <c r="L163" i="36" s="1"/>
  <c r="I187" i="36"/>
  <c r="L187" i="36" s="1"/>
  <c r="I54" i="36"/>
  <c r="L54" i="36" s="1"/>
  <c r="I27" i="36"/>
  <c r="L27" i="36" s="1"/>
  <c r="I28" i="36"/>
  <c r="L28" i="36" s="1"/>
  <c r="I8" i="36"/>
  <c r="L8" i="36" s="1"/>
  <c r="I29" i="36"/>
  <c r="L29" i="36" s="1"/>
  <c r="I24" i="36"/>
  <c r="L24" i="36" s="1"/>
  <c r="I21" i="36"/>
  <c r="L21" i="36" s="1"/>
  <c r="I25" i="36"/>
  <c r="L25" i="36" s="1"/>
  <c r="I20" i="36"/>
  <c r="L20" i="36" s="1"/>
  <c r="I19" i="36"/>
  <c r="L19" i="36" s="1"/>
  <c r="I18" i="36"/>
  <c r="L18" i="36" s="1"/>
  <c r="I9" i="36"/>
  <c r="L9" i="36" s="1"/>
  <c r="I30" i="36"/>
  <c r="L30" i="36" s="1"/>
  <c r="I10" i="36"/>
  <c r="L10" i="36" s="1"/>
  <c r="I31" i="36"/>
  <c r="L31" i="36" s="1"/>
  <c r="I11" i="36"/>
  <c r="L11" i="36" s="1"/>
  <c r="I36" i="36"/>
  <c r="L36" i="36" s="1"/>
  <c r="I7" i="36"/>
  <c r="L7" i="36" s="1"/>
  <c r="I13" i="36"/>
  <c r="L13" i="36" s="1"/>
  <c r="I38" i="36"/>
  <c r="L38" i="36" s="1"/>
  <c r="I14" i="36"/>
  <c r="L14" i="36" s="1"/>
  <c r="I39" i="36"/>
  <c r="L39" i="36" s="1"/>
  <c r="I37" i="36"/>
  <c r="L37" i="36" s="1"/>
  <c r="I15" i="36"/>
  <c r="L15" i="36" s="1"/>
  <c r="I35" i="36"/>
  <c r="L35" i="36" s="1"/>
  <c r="I16" i="36"/>
  <c r="L16" i="36" s="1"/>
  <c r="I34" i="36"/>
  <c r="L34" i="36" s="1"/>
  <c r="I17" i="36"/>
  <c r="L17" i="36" s="1"/>
  <c r="I33" i="36"/>
  <c r="L33" i="36" s="1"/>
  <c r="I127" i="36"/>
  <c r="L127" i="36" s="1"/>
  <c r="I132" i="36"/>
  <c r="L132" i="36" s="1"/>
  <c r="I130" i="36"/>
  <c r="L130" i="36" s="1"/>
  <c r="I117" i="36"/>
  <c r="L117" i="36" s="1"/>
  <c r="I129" i="36"/>
  <c r="L129" i="36" s="1"/>
  <c r="I119" i="36"/>
  <c r="L119" i="36" s="1"/>
  <c r="I128" i="36"/>
  <c r="L128" i="36" s="1"/>
  <c r="I123" i="36"/>
  <c r="L123" i="36" s="1"/>
  <c r="I124" i="36"/>
  <c r="L124" i="36" s="1"/>
  <c r="I126" i="36"/>
  <c r="L126" i="36" s="1"/>
  <c r="I131" i="36"/>
  <c r="L131" i="36" s="1"/>
  <c r="I120" i="36"/>
  <c r="L120" i="36" s="1"/>
  <c r="I121" i="36"/>
  <c r="L121" i="36" s="1"/>
  <c r="I125" i="36"/>
  <c r="L125" i="36" s="1"/>
  <c r="I122" i="36"/>
  <c r="L122" i="36" s="1"/>
  <c r="I56" i="36"/>
  <c r="L56" i="36" s="1"/>
  <c r="I57" i="36"/>
  <c r="L57" i="36" s="1"/>
  <c r="I60" i="36"/>
  <c r="L60" i="36" s="1"/>
  <c r="I55" i="36"/>
  <c r="L55" i="36" s="1"/>
  <c r="I58" i="36"/>
  <c r="L58" i="36" s="1"/>
  <c r="I61" i="36"/>
  <c r="L61" i="36" s="1"/>
  <c r="I32" i="36"/>
  <c r="L32" i="36" s="1"/>
  <c r="I23" i="36"/>
  <c r="L23" i="36" s="1"/>
  <c r="G115" i="26"/>
  <c r="J112" i="26" l="1"/>
  <c r="J110" i="26"/>
  <c r="G116" i="26"/>
  <c r="I112" i="36"/>
  <c r="L112" i="36" s="1"/>
  <c r="J115" i="26"/>
  <c r="J715" i="27"/>
  <c r="G93" i="26"/>
  <c r="G98" i="26"/>
  <c r="G71" i="26"/>
  <c r="I35" i="35"/>
  <c r="I34" i="35"/>
  <c r="I57" i="35"/>
  <c r="I56" i="35"/>
  <c r="G78" i="26"/>
  <c r="J99" i="26"/>
  <c r="J698" i="27"/>
  <c r="J697" i="27"/>
  <c r="J69" i="26"/>
  <c r="J664" i="27"/>
  <c r="R308" i="36"/>
  <c r="G105" i="26" s="1"/>
  <c r="Q308" i="36"/>
  <c r="G104" i="26" s="1"/>
  <c r="P308" i="36"/>
  <c r="G103" i="26" s="1"/>
  <c r="V308" i="36"/>
  <c r="G109" i="26" s="1"/>
  <c r="U308" i="36"/>
  <c r="G108" i="26" s="1"/>
  <c r="T308" i="36"/>
  <c r="G107" i="26" s="1"/>
  <c r="S308" i="36"/>
  <c r="G106" i="26" s="1"/>
  <c r="O308" i="36"/>
  <c r="G102" i="26" s="1"/>
  <c r="J111" i="26"/>
  <c r="I14" i="35"/>
  <c r="L14" i="35" s="1"/>
  <c r="G65" i="26"/>
  <c r="I102" i="36"/>
  <c r="L102" i="36" s="1"/>
  <c r="J655" i="27"/>
  <c r="J709" i="27"/>
  <c r="I84" i="35"/>
  <c r="I82" i="35"/>
  <c r="I83" i="35"/>
  <c r="G83" i="26"/>
  <c r="G72" i="26"/>
  <c r="G10" i="26"/>
  <c r="G9" i="26"/>
  <c r="J107" i="26" l="1"/>
  <c r="J106" i="26"/>
  <c r="J108" i="26"/>
  <c r="J109" i="26"/>
  <c r="J102" i="26"/>
  <c r="J103" i="26"/>
  <c r="J104" i="26"/>
  <c r="J105" i="26"/>
  <c r="L715" i="27"/>
  <c r="M715" i="27" s="1"/>
  <c r="L664" i="27"/>
  <c r="M664" i="27" s="1"/>
  <c r="J65" i="26"/>
  <c r="K664" i="27"/>
  <c r="K715" i="27"/>
  <c r="K697" i="27"/>
  <c r="K698" i="27"/>
  <c r="J116" i="26"/>
  <c r="J716" i="27"/>
  <c r="J78" i="26"/>
  <c r="J675" i="27"/>
  <c r="L697" i="27"/>
  <c r="L698" i="27"/>
  <c r="K709" i="27"/>
  <c r="J83" i="26"/>
  <c r="J680" i="27"/>
  <c r="J72" i="26"/>
  <c r="J667" i="27"/>
  <c r="K8" i="27"/>
  <c r="L709" i="27" l="1"/>
  <c r="L716" i="27"/>
  <c r="M716" i="27" s="1"/>
  <c r="L675" i="27"/>
  <c r="M675" i="27" s="1"/>
  <c r="L667" i="27"/>
  <c r="M667" i="27" s="1"/>
  <c r="L680" i="27"/>
  <c r="M697" i="27"/>
  <c r="M698" i="27"/>
  <c r="K675" i="27"/>
  <c r="K716" i="27"/>
  <c r="K680" i="27"/>
  <c r="K667" i="27"/>
  <c r="M680" i="27" l="1"/>
  <c r="M709" i="27"/>
  <c r="M545" i="27" l="1"/>
  <c r="M544" i="27"/>
  <c r="M543" i="27"/>
  <c r="M542" i="27"/>
  <c r="K542" i="27"/>
  <c r="M541" i="27"/>
  <c r="K541" i="27"/>
  <c r="M540" i="27"/>
  <c r="M539" i="27"/>
  <c r="K539" i="27"/>
  <c r="M538" i="27"/>
  <c r="K538" i="27"/>
  <c r="M537" i="27"/>
  <c r="M536" i="27"/>
  <c r="K535" i="27"/>
  <c r="K534" i="27"/>
  <c r="M533" i="27"/>
  <c r="M532" i="27"/>
  <c r="K532" i="27"/>
  <c r="M531" i="27"/>
  <c r="K531" i="27"/>
  <c r="M530" i="27"/>
  <c r="M529" i="27"/>
  <c r="K529" i="27"/>
  <c r="K528" i="27"/>
  <c r="M527" i="27"/>
  <c r="M526" i="27"/>
  <c r="M525" i="27"/>
  <c r="M524" i="27"/>
  <c r="K523" i="27"/>
  <c r="M522" i="27"/>
  <c r="M521" i="27"/>
  <c r="K521" i="27"/>
  <c r="M520" i="27"/>
  <c r="K519" i="27"/>
  <c r="M518" i="27"/>
  <c r="K518" i="27"/>
  <c r="M517" i="27"/>
  <c r="M516" i="27"/>
  <c r="M515" i="27"/>
  <c r="M514" i="27"/>
  <c r="K514" i="27"/>
  <c r="K513" i="27"/>
  <c r="M512" i="27"/>
  <c r="M511" i="27"/>
  <c r="M510" i="27"/>
  <c r="M509" i="27"/>
  <c r="K509" i="27"/>
  <c r="M508" i="27"/>
  <c r="M507" i="27"/>
  <c r="K507" i="27"/>
  <c r="M505" i="27"/>
  <c r="M504" i="27"/>
  <c r="M503" i="27"/>
  <c r="K503" i="27"/>
  <c r="M502" i="27"/>
  <c r="K501" i="27"/>
  <c r="M499" i="27"/>
  <c r="M498" i="27"/>
  <c r="K498" i="27"/>
  <c r="M497" i="27"/>
  <c r="K497" i="27"/>
  <c r="M496" i="27"/>
  <c r="K496" i="27"/>
  <c r="M495" i="27"/>
  <c r="K495" i="27"/>
  <c r="M493" i="27"/>
  <c r="M492" i="27"/>
  <c r="K492" i="27"/>
  <c r="M491" i="27"/>
  <c r="K491" i="27"/>
  <c r="M490" i="27"/>
  <c r="K489" i="27"/>
  <c r="K488" i="27"/>
  <c r="M487" i="27"/>
  <c r="M486" i="27"/>
  <c r="M485" i="27"/>
  <c r="M484" i="27"/>
  <c r="M483" i="27"/>
  <c r="K483" i="27"/>
  <c r="M482" i="27"/>
  <c r="K482" i="27"/>
  <c r="M481" i="27"/>
  <c r="K481" i="27"/>
  <c r="M480" i="27"/>
  <c r="M479" i="27"/>
  <c r="M478" i="27"/>
  <c r="K477" i="27"/>
  <c r="M476" i="27"/>
  <c r="M475" i="27"/>
  <c r="M474" i="27"/>
  <c r="M473" i="27"/>
  <c r="K473" i="27"/>
  <c r="M472" i="27"/>
  <c r="K472" i="27"/>
  <c r="M471" i="27"/>
  <c r="K471" i="27"/>
  <c r="M470" i="27"/>
  <c r="M469" i="27"/>
  <c r="M468" i="27"/>
  <c r="M467" i="27"/>
  <c r="M466" i="27"/>
  <c r="K466" i="27"/>
  <c r="K465" i="27"/>
  <c r="K464" i="27"/>
  <c r="M463" i="27"/>
  <c r="M462" i="27"/>
  <c r="M461" i="27"/>
  <c r="M460" i="27"/>
  <c r="K459" i="27"/>
  <c r="M457" i="27"/>
  <c r="K457" i="27"/>
  <c r="M456" i="27"/>
  <c r="M455" i="27"/>
  <c r="K455" i="27"/>
  <c r="M454" i="27"/>
  <c r="K454" i="27"/>
  <c r="K453" i="27"/>
  <c r="M451" i="27"/>
  <c r="K451" i="27"/>
  <c r="M450" i="27"/>
  <c r="K450" i="27"/>
  <c r="M449" i="27"/>
  <c r="K449" i="27"/>
  <c r="M448" i="27"/>
  <c r="K447" i="27"/>
  <c r="K446" i="27"/>
  <c r="K445" i="27"/>
  <c r="M444" i="27"/>
  <c r="M443" i="27"/>
  <c r="M442" i="27"/>
  <c r="K441" i="27"/>
  <c r="M440" i="27"/>
  <c r="M439" i="27"/>
  <c r="K439" i="27"/>
  <c r="M438" i="27"/>
  <c r="M437" i="27"/>
  <c r="M436" i="27"/>
  <c r="K435" i="27"/>
  <c r="M432" i="27"/>
  <c r="K432" i="27"/>
  <c r="M431" i="27"/>
  <c r="M430" i="27"/>
  <c r="K429" i="27"/>
  <c r="M427" i="27"/>
  <c r="K427" i="27"/>
  <c r="M426" i="27"/>
  <c r="M425" i="27"/>
  <c r="M424" i="27"/>
  <c r="K424" i="27"/>
  <c r="K423" i="27"/>
  <c r="M420" i="27"/>
  <c r="K420" i="27"/>
  <c r="M419" i="27"/>
  <c r="M418" i="27"/>
  <c r="M417" i="27"/>
  <c r="K417" i="27"/>
  <c r="K416" i="27"/>
  <c r="K415" i="27"/>
  <c r="M414" i="27"/>
  <c r="M413" i="27"/>
  <c r="M412" i="27"/>
  <c r="K412" i="27"/>
  <c r="K411" i="27"/>
  <c r="M409" i="27"/>
  <c r="M408" i="27"/>
  <c r="M407" i="27"/>
  <c r="K407" i="27"/>
  <c r="M406" i="27"/>
  <c r="K405" i="27"/>
  <c r="M404" i="27"/>
  <c r="K404" i="27"/>
  <c r="K403" i="27"/>
  <c r="M402" i="27"/>
  <c r="M401" i="27"/>
  <c r="M400" i="27"/>
  <c r="M396" i="27"/>
  <c r="M395" i="27"/>
  <c r="K395" i="27"/>
  <c r="M394" i="27"/>
  <c r="K394" i="27"/>
  <c r="K391" i="27"/>
  <c r="M390" i="27"/>
  <c r="M389" i="27"/>
  <c r="M388" i="27"/>
  <c r="K387" i="27"/>
  <c r="K385" i="27"/>
  <c r="K367" i="27"/>
  <c r="K377" i="27"/>
  <c r="M381" i="27"/>
  <c r="D182" i="72"/>
  <c r="D181" i="72"/>
  <c r="C179" i="72"/>
  <c r="C170" i="72"/>
  <c r="D175" i="72" s="1"/>
  <c r="D155" i="72"/>
  <c r="D154" i="72"/>
  <c r="C142" i="72"/>
  <c r="D146" i="72" s="1"/>
  <c r="D127" i="72"/>
  <c r="D126" i="72"/>
  <c r="D125" i="72"/>
  <c r="C123" i="72"/>
  <c r="C151" i="72" s="1"/>
  <c r="D122" i="72"/>
  <c r="D121" i="72"/>
  <c r="D120" i="72"/>
  <c r="D119" i="72"/>
  <c r="D118" i="72"/>
  <c r="D99" i="72"/>
  <c r="D98" i="72"/>
  <c r="D97" i="72"/>
  <c r="D95" i="72"/>
  <c r="D94" i="72"/>
  <c r="D93" i="72"/>
  <c r="D92" i="72"/>
  <c r="D91" i="72"/>
  <c r="D90" i="72"/>
  <c r="C66" i="72"/>
  <c r="C65" i="72"/>
  <c r="C64" i="72"/>
  <c r="C58" i="72"/>
  <c r="D63" i="72" s="1"/>
  <c r="C39" i="72"/>
  <c r="C67" i="72" s="1"/>
  <c r="D38" i="72"/>
  <c r="D37" i="72"/>
  <c r="C31" i="72"/>
  <c r="D35" i="72" s="1"/>
  <c r="C3" i="72"/>
  <c r="D14" i="72" s="1"/>
  <c r="D67" i="72" l="1"/>
  <c r="D151" i="72"/>
  <c r="D6" i="72"/>
  <c r="D8" i="72"/>
  <c r="D40" i="72"/>
  <c r="D41" i="72"/>
  <c r="D7" i="72"/>
  <c r="D9" i="72"/>
  <c r="D10" i="72"/>
  <c r="D42" i="72"/>
  <c r="D11" i="72"/>
  <c r="D12" i="72"/>
  <c r="D13" i="72"/>
  <c r="D64" i="72"/>
  <c r="D65" i="72"/>
  <c r="D66" i="72"/>
  <c r="D36" i="72"/>
  <c r="D68" i="72"/>
  <c r="D180" i="72"/>
  <c r="M363" i="27"/>
  <c r="K366" i="27"/>
  <c r="K371" i="27"/>
  <c r="M380" i="27"/>
  <c r="M374" i="27"/>
  <c r="K365" i="27"/>
  <c r="M383" i="27"/>
  <c r="M377" i="27"/>
  <c r="K382" i="27"/>
  <c r="K372" i="27"/>
  <c r="M366" i="27"/>
  <c r="M362" i="27"/>
  <c r="M384" i="27"/>
  <c r="M375" i="27"/>
  <c r="K363" i="27"/>
  <c r="K378" i="27"/>
  <c r="K374" i="27"/>
  <c r="M369" i="27"/>
  <c r="M368" i="27"/>
  <c r="K384" i="27"/>
  <c r="K380" i="27"/>
  <c r="M372" i="27"/>
  <c r="K369" i="27"/>
  <c r="M365" i="27"/>
  <c r="K362" i="27"/>
  <c r="M378" i="27"/>
  <c r="K375" i="27"/>
  <c r="M371" i="27"/>
  <c r="K368" i="27"/>
  <c r="K389" i="27"/>
  <c r="K401" i="27"/>
  <c r="K413" i="27"/>
  <c r="K419" i="27"/>
  <c r="K425" i="27"/>
  <c r="K431" i="27"/>
  <c r="K437" i="27"/>
  <c r="K443" i="27"/>
  <c r="K461" i="27"/>
  <c r="K467" i="27"/>
  <c r="K479" i="27"/>
  <c r="K485" i="27"/>
  <c r="K515" i="27"/>
  <c r="K525" i="27"/>
  <c r="K537" i="27"/>
  <c r="K543" i="27"/>
  <c r="K396" i="27"/>
  <c r="K414" i="27"/>
  <c r="K426" i="27"/>
  <c r="K462" i="27"/>
  <c r="K480" i="27"/>
  <c r="K504" i="27"/>
  <c r="K516" i="27"/>
  <c r="K526" i="27"/>
  <c r="K544" i="27"/>
  <c r="K383" i="27"/>
  <c r="M379" i="27"/>
  <c r="M376" i="27"/>
  <c r="M373" i="27"/>
  <c r="M370" i="27"/>
  <c r="M367" i="27"/>
  <c r="M364" i="27"/>
  <c r="K397" i="27"/>
  <c r="K409" i="27"/>
  <c r="K421" i="27"/>
  <c r="K433" i="27"/>
  <c r="K463" i="27"/>
  <c r="K469" i="27"/>
  <c r="K475" i="27"/>
  <c r="K487" i="27"/>
  <c r="K493" i="27"/>
  <c r="K499" i="27"/>
  <c r="K505" i="27"/>
  <c r="K511" i="27"/>
  <c r="K517" i="27"/>
  <c r="K527" i="27"/>
  <c r="K533" i="27"/>
  <c r="K545" i="27"/>
  <c r="K402" i="27"/>
  <c r="K438" i="27"/>
  <c r="K474" i="27"/>
  <c r="K522" i="27"/>
  <c r="M397" i="27"/>
  <c r="K390" i="27"/>
  <c r="K408" i="27"/>
  <c r="K444" i="27"/>
  <c r="K456" i="27"/>
  <c r="K468" i="27"/>
  <c r="K486" i="27"/>
  <c r="K510" i="27"/>
  <c r="M385" i="27"/>
  <c r="M391" i="27"/>
  <c r="M403" i="27"/>
  <c r="M415" i="27"/>
  <c r="M421" i="27"/>
  <c r="M433" i="27"/>
  <c r="M445" i="27"/>
  <c r="M382" i="27"/>
  <c r="K379" i="27"/>
  <c r="K376" i="27"/>
  <c r="K373" i="27"/>
  <c r="K370" i="27"/>
  <c r="K364" i="27"/>
  <c r="K386" i="27"/>
  <c r="K392" i="27"/>
  <c r="K398" i="27"/>
  <c r="K410" i="27"/>
  <c r="K422" i="27"/>
  <c r="K428" i="27"/>
  <c r="K434" i="27"/>
  <c r="K440" i="27"/>
  <c r="K452" i="27"/>
  <c r="K458" i="27"/>
  <c r="K470" i="27"/>
  <c r="K476" i="27"/>
  <c r="K494" i="27"/>
  <c r="K500" i="27"/>
  <c r="K506" i="27"/>
  <c r="K512" i="27"/>
  <c r="K540" i="27"/>
  <c r="M392" i="27"/>
  <c r="M410" i="27"/>
  <c r="M428" i="27"/>
  <c r="M446" i="27"/>
  <c r="M488" i="27"/>
  <c r="M506" i="27"/>
  <c r="M534" i="27"/>
  <c r="M386" i="27"/>
  <c r="M398" i="27"/>
  <c r="M416" i="27"/>
  <c r="M458" i="27"/>
  <c r="M494" i="27"/>
  <c r="K399" i="27"/>
  <c r="M387" i="27"/>
  <c r="M399" i="27"/>
  <c r="M411" i="27"/>
  <c r="M423" i="27"/>
  <c r="M435" i="27"/>
  <c r="M447" i="27"/>
  <c r="M453" i="27"/>
  <c r="M465" i="27"/>
  <c r="M477" i="27"/>
  <c r="M489" i="27"/>
  <c r="M501" i="27"/>
  <c r="M513" i="27"/>
  <c r="M535" i="27"/>
  <c r="M422" i="27"/>
  <c r="M434" i="27"/>
  <c r="M452" i="27"/>
  <c r="M464" i="27"/>
  <c r="M500" i="27"/>
  <c r="M528" i="27"/>
  <c r="K393" i="27"/>
  <c r="M393" i="27"/>
  <c r="M405" i="27"/>
  <c r="M429" i="27"/>
  <c r="M441" i="27"/>
  <c r="M459" i="27"/>
  <c r="M519" i="27"/>
  <c r="M523" i="27"/>
  <c r="K388" i="27"/>
  <c r="K400" i="27"/>
  <c r="K406" i="27"/>
  <c r="K418" i="27"/>
  <c r="K430" i="27"/>
  <c r="K436" i="27"/>
  <c r="K442" i="27"/>
  <c r="K448" i="27"/>
  <c r="K460" i="27"/>
  <c r="K478" i="27"/>
  <c r="K484" i="27"/>
  <c r="K490" i="27"/>
  <c r="K502" i="27"/>
  <c r="K508" i="27"/>
  <c r="K520" i="27"/>
  <c r="K524" i="27"/>
  <c r="K530" i="27"/>
  <c r="K536" i="27"/>
  <c r="K381" i="27"/>
  <c r="D69" i="72"/>
  <c r="D148" i="72"/>
  <c r="D177" i="72"/>
  <c r="D39" i="72"/>
  <c r="D62" i="72"/>
  <c r="D70" i="72"/>
  <c r="D123" i="72"/>
  <c r="D149" i="72"/>
  <c r="D178" i="72"/>
  <c r="D147" i="72"/>
  <c r="D176" i="72"/>
  <c r="D34" i="72"/>
  <c r="D150" i="72"/>
  <c r="D179" i="72"/>
  <c r="D153" i="72"/>
  <c r="D174" i="72"/>
  <c r="J30" i="26" l="1"/>
  <c r="J31" i="26"/>
  <c r="J29" i="26"/>
  <c r="G29" i="26"/>
  <c r="L599" i="27" l="1"/>
  <c r="L611" i="27"/>
  <c r="L623" i="27"/>
  <c r="L600" i="27"/>
  <c r="L612" i="27"/>
  <c r="L616" i="27"/>
  <c r="L601" i="27"/>
  <c r="L613" i="27"/>
  <c r="L602" i="27"/>
  <c r="L614" i="27"/>
  <c r="L604" i="27"/>
  <c r="L603" i="27"/>
  <c r="L615" i="27"/>
  <c r="L605" i="27"/>
  <c r="L617" i="27"/>
  <c r="L618" i="27"/>
  <c r="L606" i="27"/>
  <c r="L607" i="27"/>
  <c r="L608" i="27"/>
  <c r="L609" i="27"/>
  <c r="L610" i="27"/>
  <c r="L619" i="27"/>
  <c r="L620" i="27"/>
  <c r="L598" i="27"/>
  <c r="L621" i="27"/>
  <c r="L622" i="27"/>
  <c r="L551" i="27"/>
  <c r="L563" i="27"/>
  <c r="L552" i="27"/>
  <c r="L564" i="27"/>
  <c r="L556" i="27"/>
  <c r="L553" i="27"/>
  <c r="L565" i="27"/>
  <c r="L568" i="27"/>
  <c r="L554" i="27"/>
  <c r="L566" i="27"/>
  <c r="L555" i="27"/>
  <c r="L567" i="27"/>
  <c r="L557" i="27"/>
  <c r="L569" i="27"/>
  <c r="L546" i="27"/>
  <c r="L570" i="27"/>
  <c r="L558" i="27"/>
  <c r="L571" i="27"/>
  <c r="L561" i="27"/>
  <c r="L547" i="27"/>
  <c r="L548" i="27"/>
  <c r="L549" i="27"/>
  <c r="L560" i="27"/>
  <c r="L550" i="27"/>
  <c r="L562" i="27"/>
  <c r="L559" i="27"/>
  <c r="L575" i="27"/>
  <c r="L587" i="27"/>
  <c r="L580" i="27"/>
  <c r="L576" i="27"/>
  <c r="L588" i="27"/>
  <c r="L577" i="27"/>
  <c r="L589" i="27"/>
  <c r="L578" i="27"/>
  <c r="L590" i="27"/>
  <c r="L579" i="27"/>
  <c r="L591" i="27"/>
  <c r="L592" i="27"/>
  <c r="L581" i="27"/>
  <c r="L593" i="27"/>
  <c r="L594" i="27"/>
  <c r="L582" i="27"/>
  <c r="L572" i="27"/>
  <c r="L573" i="27"/>
  <c r="L574" i="27"/>
  <c r="L583" i="27"/>
  <c r="L596" i="27"/>
  <c r="L584" i="27"/>
  <c r="L585" i="27"/>
  <c r="L586" i="27"/>
  <c r="L595" i="27"/>
  <c r="L597" i="27"/>
  <c r="J547" i="27"/>
  <c r="J559" i="27"/>
  <c r="J571" i="27"/>
  <c r="J549" i="27"/>
  <c r="J548" i="27"/>
  <c r="J560" i="27"/>
  <c r="J561" i="27"/>
  <c r="J550" i="27"/>
  <c r="J562" i="27"/>
  <c r="J551" i="27"/>
  <c r="J563" i="27"/>
  <c r="J553" i="27"/>
  <c r="J565" i="27"/>
  <c r="J567" i="27"/>
  <c r="J558" i="27"/>
  <c r="J564" i="27"/>
  <c r="J566" i="27"/>
  <c r="J568" i="27"/>
  <c r="J569" i="27"/>
  <c r="J546" i="27"/>
  <c r="J570" i="27"/>
  <c r="J552" i="27"/>
  <c r="J554" i="27"/>
  <c r="J555" i="27"/>
  <c r="J556" i="27"/>
  <c r="J557" i="27"/>
  <c r="M546" i="27" l="1"/>
  <c r="K546" i="27"/>
  <c r="G31" i="26"/>
  <c r="G30" i="26"/>
  <c r="G17" i="26"/>
  <c r="J17" i="26"/>
  <c r="J16" i="26"/>
  <c r="G16" i="26"/>
  <c r="J260" i="27" l="1"/>
  <c r="J274" i="27"/>
  <c r="J261" i="27"/>
  <c r="J275" i="27"/>
  <c r="J262" i="27"/>
  <c r="J276" i="27"/>
  <c r="J267" i="27"/>
  <c r="J269" i="27"/>
  <c r="J270" i="27"/>
  <c r="J272" i="27"/>
  <c r="J259" i="27"/>
  <c r="J263" i="27"/>
  <c r="J277" i="27"/>
  <c r="J265" i="27"/>
  <c r="J266" i="27"/>
  <c r="J254" i="27"/>
  <c r="J255" i="27"/>
  <c r="J256" i="27"/>
  <c r="J257" i="27"/>
  <c r="J271" i="27"/>
  <c r="J258" i="27"/>
  <c r="J273" i="27"/>
  <c r="J264" i="27"/>
  <c r="J278" i="27"/>
  <c r="J279" i="27"/>
  <c r="J280" i="27"/>
  <c r="J268" i="27"/>
  <c r="J232" i="27"/>
  <c r="J246" i="27"/>
  <c r="J245" i="27"/>
  <c r="J233" i="27"/>
  <c r="J247" i="27"/>
  <c r="J234" i="27"/>
  <c r="J248" i="27"/>
  <c r="J252" i="27"/>
  <c r="J240" i="27"/>
  <c r="J241" i="27"/>
  <c r="J242" i="27"/>
  <c r="J243" i="27"/>
  <c r="J244" i="27"/>
  <c r="J235" i="27"/>
  <c r="J249" i="27"/>
  <c r="J237" i="27"/>
  <c r="J238" i="27"/>
  <c r="J239" i="27"/>
  <c r="J227" i="27"/>
  <c r="J228" i="27"/>
  <c r="J229" i="27"/>
  <c r="J230" i="27"/>
  <c r="J231" i="27"/>
  <c r="J236" i="27"/>
  <c r="J250" i="27"/>
  <c r="J251" i="27"/>
  <c r="J253" i="27"/>
  <c r="J607" i="27"/>
  <c r="J619" i="27"/>
  <c r="J621" i="27"/>
  <c r="J608" i="27"/>
  <c r="J620" i="27"/>
  <c r="J609" i="27"/>
  <c r="J598" i="27"/>
  <c r="J610" i="27"/>
  <c r="J622" i="27"/>
  <c r="J599" i="27"/>
  <c r="J611" i="27"/>
  <c r="J623" i="27"/>
  <c r="J601" i="27"/>
  <c r="J613" i="27"/>
  <c r="J615" i="27"/>
  <c r="J604" i="27"/>
  <c r="J616" i="27"/>
  <c r="J614" i="27"/>
  <c r="J617" i="27"/>
  <c r="J618" i="27"/>
  <c r="J603" i="27"/>
  <c r="J612" i="27"/>
  <c r="J602" i="27"/>
  <c r="J606" i="27"/>
  <c r="J600" i="27"/>
  <c r="J605" i="27"/>
  <c r="L227" i="27"/>
  <c r="L239" i="27"/>
  <c r="L251" i="27"/>
  <c r="L228" i="27"/>
  <c r="L240" i="27"/>
  <c r="L252" i="27"/>
  <c r="L229" i="27"/>
  <c r="L241" i="27"/>
  <c r="L253" i="27"/>
  <c r="L230" i="27"/>
  <c r="L242" i="27"/>
  <c r="L231" i="27"/>
  <c r="L243" i="27"/>
  <c r="L232" i="27"/>
  <c r="L244" i="27"/>
  <c r="L233" i="27"/>
  <c r="L245" i="27"/>
  <c r="L234" i="27"/>
  <c r="L246" i="27"/>
  <c r="L250" i="27"/>
  <c r="L235" i="27"/>
  <c r="L249" i="27"/>
  <c r="L236" i="27"/>
  <c r="L248" i="27"/>
  <c r="L237" i="27"/>
  <c r="L238" i="27"/>
  <c r="L247" i="27"/>
  <c r="L263" i="27"/>
  <c r="L275" i="27"/>
  <c r="L264" i="27"/>
  <c r="L276" i="27"/>
  <c r="L265" i="27"/>
  <c r="L277" i="27"/>
  <c r="L254" i="27"/>
  <c r="L266" i="27"/>
  <c r="L278" i="27"/>
  <c r="L268" i="27"/>
  <c r="L255" i="27"/>
  <c r="L267" i="27"/>
  <c r="L279" i="27"/>
  <c r="L256" i="27"/>
  <c r="L280" i="27"/>
  <c r="L257" i="27"/>
  <c r="L269" i="27"/>
  <c r="L258" i="27"/>
  <c r="L270" i="27"/>
  <c r="L259" i="27"/>
  <c r="L260" i="27"/>
  <c r="L261" i="27"/>
  <c r="L262" i="27"/>
  <c r="L271" i="27"/>
  <c r="L272" i="27"/>
  <c r="L273" i="27"/>
  <c r="L274" i="27"/>
  <c r="J583" i="27"/>
  <c r="J595" i="27"/>
  <c r="J585" i="27"/>
  <c r="J572" i="27"/>
  <c r="J584" i="27"/>
  <c r="J596" i="27"/>
  <c r="J573" i="27"/>
  <c r="J597" i="27"/>
  <c r="J574" i="27"/>
  <c r="J586" i="27"/>
  <c r="J575" i="27"/>
  <c r="J587" i="27"/>
  <c r="J577" i="27"/>
  <c r="J589" i="27"/>
  <c r="J591" i="27"/>
  <c r="J592" i="27"/>
  <c r="J593" i="27"/>
  <c r="J590" i="27"/>
  <c r="J594" i="27"/>
  <c r="J588" i="27"/>
  <c r="J576" i="27"/>
  <c r="J578" i="27"/>
  <c r="J582" i="27"/>
  <c r="J579" i="27"/>
  <c r="J580" i="27"/>
  <c r="J581" i="27"/>
  <c r="K567" i="27"/>
  <c r="K566" i="27"/>
  <c r="K562" i="27"/>
  <c r="K561" i="27"/>
  <c r="K558" i="27"/>
  <c r="K556" i="27"/>
  <c r="K570" i="27"/>
  <c r="M576" i="27"/>
  <c r="M573" i="27"/>
  <c r="M266" i="27" l="1"/>
  <c r="M242" i="27"/>
  <c r="M254" i="27"/>
  <c r="M257" i="27"/>
  <c r="M276" i="27"/>
  <c r="M246" i="27"/>
  <c r="M229" i="27"/>
  <c r="M236" i="27"/>
  <c r="M274" i="27"/>
  <c r="M280" i="27"/>
  <c r="M264" i="27"/>
  <c r="M234" i="27"/>
  <c r="M252" i="27"/>
  <c r="M248" i="27"/>
  <c r="M230" i="27"/>
  <c r="M273" i="27"/>
  <c r="M256" i="27"/>
  <c r="M275" i="27"/>
  <c r="M245" i="27"/>
  <c r="M240" i="27"/>
  <c r="M233" i="27"/>
  <c r="M272" i="27"/>
  <c r="M228" i="27"/>
  <c r="M271" i="27"/>
  <c r="M267" i="27"/>
  <c r="M247" i="27"/>
  <c r="M244" i="27"/>
  <c r="M251" i="27"/>
  <c r="M262" i="27"/>
  <c r="M255" i="27"/>
  <c r="M238" i="27"/>
  <c r="M232" i="27"/>
  <c r="M239" i="27"/>
  <c r="M261" i="27"/>
  <c r="M268" i="27"/>
  <c r="M237" i="27"/>
  <c r="M243" i="27"/>
  <c r="M227" i="27"/>
  <c r="M278" i="27"/>
  <c r="M279" i="27"/>
  <c r="M263" i="27"/>
  <c r="M258" i="27"/>
  <c r="M277" i="27"/>
  <c r="M235" i="27"/>
  <c r="M253" i="27"/>
  <c r="M260" i="27"/>
  <c r="M231" i="27"/>
  <c r="M259" i="27"/>
  <c r="M270" i="27"/>
  <c r="M249" i="27"/>
  <c r="M269" i="27"/>
  <c r="M265" i="27"/>
  <c r="M250" i="27"/>
  <c r="M241" i="27"/>
  <c r="K247" i="27"/>
  <c r="K254" i="27"/>
  <c r="K237" i="27"/>
  <c r="K271" i="27"/>
  <c r="K229" i="27"/>
  <c r="K266" i="27"/>
  <c r="K590" i="27"/>
  <c r="K261" i="27"/>
  <c r="K249" i="27"/>
  <c r="K265" i="27"/>
  <c r="K235" i="27"/>
  <c r="K277" i="27"/>
  <c r="K256" i="27"/>
  <c r="K260" i="27"/>
  <c r="K253" i="27"/>
  <c r="K243" i="27"/>
  <c r="K279" i="27"/>
  <c r="K259" i="27"/>
  <c r="K248" i="27"/>
  <c r="K255" i="27"/>
  <c r="K232" i="27"/>
  <c r="K242" i="27"/>
  <c r="K278" i="27"/>
  <c r="K272" i="27"/>
  <c r="K236" i="27"/>
  <c r="K231" i="27"/>
  <c r="K273" i="27"/>
  <c r="K241" i="27"/>
  <c r="K230" i="27"/>
  <c r="K267" i="27"/>
  <c r="K269" i="27"/>
  <c r="K228" i="27"/>
  <c r="K262" i="27"/>
  <c r="K274" i="27"/>
  <c r="K251" i="27"/>
  <c r="K280" i="27"/>
  <c r="K263" i="27"/>
  <c r="K264" i="27"/>
  <c r="K227" i="27"/>
  <c r="K275" i="27"/>
  <c r="K239" i="27"/>
  <c r="K276" i="27"/>
  <c r="K245" i="27"/>
  <c r="K257" i="27"/>
  <c r="K238" i="27"/>
  <c r="K560" i="27"/>
  <c r="K268" i="27"/>
  <c r="K252" i="27"/>
  <c r="K270" i="27"/>
  <c r="K234" i="27"/>
  <c r="K240" i="27"/>
  <c r="K244" i="27"/>
  <c r="K233" i="27"/>
  <c r="K250" i="27"/>
  <c r="K258" i="27"/>
  <c r="K246" i="27"/>
  <c r="K563" i="27"/>
  <c r="K594" i="27"/>
  <c r="K586" i="27"/>
  <c r="K596" i="27"/>
  <c r="K569" i="27"/>
  <c r="K597" i="27"/>
  <c r="K587" i="27"/>
  <c r="K547" i="27"/>
  <c r="K549" i="27"/>
  <c r="K554" i="27"/>
  <c r="K564" i="27"/>
  <c r="K592" i="27"/>
  <c r="K548" i="27"/>
  <c r="K584" i="27"/>
  <c r="K580" i="27"/>
  <c r="K553" i="27"/>
  <c r="K568" i="27"/>
  <c r="K595" i="27"/>
  <c r="K591" i="27"/>
  <c r="K559" i="27"/>
  <c r="K581" i="27"/>
  <c r="K585" i="27"/>
  <c r="K578" i="27"/>
  <c r="K550" i="27"/>
  <c r="K565" i="27"/>
  <c r="K583" i="27"/>
  <c r="K575" i="27"/>
  <c r="K571" i="27"/>
  <c r="K593" i="27"/>
  <c r="K577" i="27"/>
  <c r="K576" i="27"/>
  <c r="K589" i="27"/>
  <c r="K551" i="27"/>
  <c r="K582" i="27"/>
  <c r="K552" i="27"/>
  <c r="K555" i="27"/>
  <c r="K572" i="27"/>
  <c r="K579" i="27"/>
  <c r="K557" i="27"/>
  <c r="K588" i="27"/>
  <c r="K574" i="27"/>
  <c r="K573" i="27"/>
  <c r="M588" i="27" l="1"/>
  <c r="M591" i="27"/>
  <c r="M597" i="27"/>
  <c r="M582" i="27"/>
  <c r="M584" i="27"/>
  <c r="M589" i="27"/>
  <c r="M572" i="27"/>
  <c r="M577" i="27"/>
  <c r="M595" i="27"/>
  <c r="M581" i="27"/>
  <c r="M585" i="27"/>
  <c r="M590" i="27"/>
  <c r="M575" i="27"/>
  <c r="M596" i="27"/>
  <c r="M586" i="27"/>
  <c r="M578" i="27"/>
  <c r="M592" i="27"/>
  <c r="M587" i="27"/>
  <c r="M579" i="27"/>
  <c r="M580" i="27"/>
  <c r="M574" i="27"/>
  <c r="M594" i="27"/>
  <c r="M593" i="27"/>
  <c r="M583" i="27"/>
  <c r="F63" i="35" l="1"/>
  <c r="G63" i="26" l="1"/>
  <c r="G55" i="26"/>
  <c r="J647" i="27"/>
  <c r="J658" i="27" l="1"/>
  <c r="J650" i="27"/>
  <c r="J696" i="27"/>
  <c r="G50" i="26"/>
  <c r="J645" i="27" l="1"/>
  <c r="K696" i="27"/>
  <c r="L711" i="27"/>
  <c r="J711" i="27"/>
  <c r="J702" i="27"/>
  <c r="L702" i="27"/>
  <c r="J704" i="27"/>
  <c r="L704" i="27"/>
  <c r="L707" i="27"/>
  <c r="J707" i="27"/>
  <c r="J705" i="27"/>
  <c r="L705" i="27"/>
  <c r="J706" i="27"/>
  <c r="L706" i="27"/>
  <c r="G32" i="26"/>
  <c r="I4" i="35"/>
  <c r="L4" i="35" s="1"/>
  <c r="J20" i="26"/>
  <c r="J19" i="26"/>
  <c r="J18" i="26"/>
  <c r="J15" i="26"/>
  <c r="J14" i="26"/>
  <c r="J13" i="26"/>
  <c r="K645" i="27" l="1"/>
  <c r="M706" i="27"/>
  <c r="K706" i="27"/>
  <c r="M705" i="27"/>
  <c r="K705" i="27"/>
  <c r="K707" i="27"/>
  <c r="M707" i="27"/>
  <c r="M704" i="27"/>
  <c r="K704" i="27"/>
  <c r="M702" i="27"/>
  <c r="K702" i="27"/>
  <c r="K711" i="27"/>
  <c r="M711" i="27"/>
  <c r="L146" i="27"/>
  <c r="L155" i="27"/>
  <c r="L167" i="27"/>
  <c r="L156" i="27"/>
  <c r="L168" i="27"/>
  <c r="L157" i="27"/>
  <c r="L169" i="27"/>
  <c r="L158" i="27"/>
  <c r="L170" i="27"/>
  <c r="L147" i="27"/>
  <c r="L159" i="27"/>
  <c r="L171" i="27"/>
  <c r="L148" i="27"/>
  <c r="L160" i="27"/>
  <c r="L172" i="27"/>
  <c r="L149" i="27"/>
  <c r="L161" i="27"/>
  <c r="L150" i="27"/>
  <c r="L162" i="27"/>
  <c r="L151" i="27"/>
  <c r="L152" i="27"/>
  <c r="L153" i="27"/>
  <c r="L154" i="27"/>
  <c r="L163" i="27"/>
  <c r="L164" i="27"/>
  <c r="L165" i="27"/>
  <c r="L166" i="27"/>
  <c r="L179" i="27"/>
  <c r="L191" i="27"/>
  <c r="L180" i="27"/>
  <c r="L192" i="27"/>
  <c r="L181" i="27"/>
  <c r="L193" i="27"/>
  <c r="L182" i="27"/>
  <c r="L194" i="27"/>
  <c r="L183" i="27"/>
  <c r="L195" i="27"/>
  <c r="L184" i="27"/>
  <c r="L196" i="27"/>
  <c r="L173" i="27"/>
  <c r="L185" i="27"/>
  <c r="L197" i="27"/>
  <c r="L174" i="27"/>
  <c r="L186" i="27"/>
  <c r="L198" i="27"/>
  <c r="L187" i="27"/>
  <c r="L188" i="27"/>
  <c r="L189" i="27"/>
  <c r="L190" i="27"/>
  <c r="L199" i="27"/>
  <c r="L176" i="27"/>
  <c r="L178" i="27"/>
  <c r="L175" i="27"/>
  <c r="L177" i="27"/>
  <c r="L203" i="27"/>
  <c r="L215" i="27"/>
  <c r="L204" i="27"/>
  <c r="L216" i="27"/>
  <c r="L205" i="27"/>
  <c r="L217" i="27"/>
  <c r="L206" i="27"/>
  <c r="L218" i="27"/>
  <c r="L207" i="27"/>
  <c r="L219" i="27"/>
  <c r="L208" i="27"/>
  <c r="L220" i="27"/>
  <c r="L209" i="27"/>
  <c r="L221" i="27"/>
  <c r="L210" i="27"/>
  <c r="L222" i="27"/>
  <c r="L223" i="27"/>
  <c r="L224" i="27"/>
  <c r="L225" i="27"/>
  <c r="L226" i="27"/>
  <c r="L200" i="27"/>
  <c r="L214" i="27"/>
  <c r="L201" i="27"/>
  <c r="L213" i="27"/>
  <c r="L202" i="27"/>
  <c r="L212" i="27"/>
  <c r="L211" i="27"/>
  <c r="L287" i="27"/>
  <c r="L299" i="27"/>
  <c r="L288" i="27"/>
  <c r="L300" i="27"/>
  <c r="L289" i="27"/>
  <c r="L301" i="27"/>
  <c r="L290" i="27"/>
  <c r="L302" i="27"/>
  <c r="L304" i="27"/>
  <c r="L291" i="27"/>
  <c r="L303" i="27"/>
  <c r="L292" i="27"/>
  <c r="L281" i="27"/>
  <c r="L293" i="27"/>
  <c r="L305" i="27"/>
  <c r="L282" i="27"/>
  <c r="L294" i="27"/>
  <c r="L306" i="27"/>
  <c r="L295" i="27"/>
  <c r="L296" i="27"/>
  <c r="L285" i="27"/>
  <c r="L297" i="27"/>
  <c r="L298" i="27"/>
  <c r="L286" i="27"/>
  <c r="L307" i="27"/>
  <c r="L283" i="27"/>
  <c r="L284" i="27"/>
  <c r="L311" i="27"/>
  <c r="L323" i="27"/>
  <c r="L312" i="27"/>
  <c r="L324" i="27"/>
  <c r="L313" i="27"/>
  <c r="L325" i="27"/>
  <c r="L314" i="27"/>
  <c r="L326" i="27"/>
  <c r="L328" i="27"/>
  <c r="L315" i="27"/>
  <c r="L327" i="27"/>
  <c r="L316" i="27"/>
  <c r="L317" i="27"/>
  <c r="L329" i="27"/>
  <c r="L318" i="27"/>
  <c r="L330" i="27"/>
  <c r="L331" i="27"/>
  <c r="L332" i="27"/>
  <c r="L320" i="27"/>
  <c r="L333" i="27"/>
  <c r="L334" i="27"/>
  <c r="L322" i="27"/>
  <c r="L308" i="27"/>
  <c r="L309" i="27"/>
  <c r="L310" i="27"/>
  <c r="L321" i="27"/>
  <c r="L319" i="27"/>
  <c r="L335" i="27"/>
  <c r="L347" i="27"/>
  <c r="L359" i="27"/>
  <c r="L336" i="27"/>
  <c r="L348" i="27"/>
  <c r="L360" i="27"/>
  <c r="L337" i="27"/>
  <c r="L349" i="27"/>
  <c r="L361" i="27"/>
  <c r="L338" i="27"/>
  <c r="L350" i="27"/>
  <c r="L352" i="27"/>
  <c r="L339" i="27"/>
  <c r="L351" i="27"/>
  <c r="L340" i="27"/>
  <c r="L341" i="27"/>
  <c r="L353" i="27"/>
  <c r="L342" i="27"/>
  <c r="L354" i="27"/>
  <c r="L357" i="27"/>
  <c r="L358" i="27"/>
  <c r="L356" i="27"/>
  <c r="L343" i="27"/>
  <c r="L344" i="27"/>
  <c r="L345" i="27"/>
  <c r="L346" i="27"/>
  <c r="L355" i="27"/>
  <c r="M146" i="27" l="1"/>
  <c r="M9" i="27"/>
  <c r="K16" i="27"/>
  <c r="K11" i="27"/>
  <c r="K124" i="27"/>
  <c r="K143" i="27"/>
  <c r="K27" i="27"/>
  <c r="K22" i="27"/>
  <c r="K123" i="27"/>
  <c r="K130" i="27"/>
  <c r="K15" i="27"/>
  <c r="K135" i="27"/>
  <c r="K140" i="27"/>
  <c r="K26" i="27"/>
  <c r="K20" i="27"/>
  <c r="K134" i="27"/>
  <c r="K128" i="27"/>
  <c r="K9" i="27"/>
  <c r="K28" i="27"/>
  <c r="K23" i="27"/>
  <c r="K14" i="27"/>
  <c r="K19" i="27"/>
  <c r="K145" i="27"/>
  <c r="K139" i="27"/>
  <c r="K129" i="27"/>
  <c r="K136" i="27"/>
  <c r="K132" i="27"/>
  <c r="K24" i="27"/>
  <c r="K18" i="27"/>
  <c r="K133" i="27"/>
  <c r="K138" i="27"/>
  <c r="K144" i="27"/>
  <c r="K126" i="27"/>
  <c r="K13" i="27"/>
  <c r="K30" i="27"/>
  <c r="K131" i="27"/>
  <c r="K127" i="27"/>
  <c r="K12" i="27"/>
  <c r="K25" i="27"/>
  <c r="K10" i="27"/>
  <c r="K29" i="27"/>
  <c r="K142" i="27"/>
  <c r="K137" i="27"/>
  <c r="K21" i="27"/>
  <c r="K17" i="27"/>
  <c r="K141" i="27"/>
  <c r="K125" i="27"/>
  <c r="M116" i="27"/>
  <c r="M211" i="27"/>
  <c r="M84" i="27"/>
  <c r="M158" i="27"/>
  <c r="M144" i="27"/>
  <c r="M112" i="27"/>
  <c r="M105" i="27"/>
  <c r="M98" i="27"/>
  <c r="M68" i="27"/>
  <c r="M74" i="27"/>
  <c r="M43" i="27"/>
  <c r="M48" i="27"/>
  <c r="M361" i="27"/>
  <c r="M358" i="27"/>
  <c r="M339" i="27"/>
  <c r="M164" i="27"/>
  <c r="M171" i="27"/>
  <c r="M154" i="27"/>
  <c r="M309" i="27"/>
  <c r="M311" i="27"/>
  <c r="M25" i="27"/>
  <c r="M17" i="27"/>
  <c r="M285" i="27"/>
  <c r="M299" i="27"/>
  <c r="M175" i="27"/>
  <c r="M182" i="27"/>
  <c r="M200" i="27"/>
  <c r="M218" i="27"/>
  <c r="M213" i="27"/>
  <c r="M124" i="27"/>
  <c r="M129" i="27"/>
  <c r="M349" i="27"/>
  <c r="M28" i="27"/>
  <c r="M316" i="27"/>
  <c r="M122" i="27"/>
  <c r="M92" i="27"/>
  <c r="M86" i="27"/>
  <c r="M67" i="27"/>
  <c r="M62" i="27"/>
  <c r="M31" i="27"/>
  <c r="M36" i="27"/>
  <c r="M337" i="27"/>
  <c r="M345" i="27"/>
  <c r="M152" i="27"/>
  <c r="M147" i="27"/>
  <c r="M165" i="27"/>
  <c r="M310" i="27"/>
  <c r="M317" i="27"/>
  <c r="M13" i="27"/>
  <c r="M22" i="27"/>
  <c r="M287" i="27"/>
  <c r="M293" i="27"/>
  <c r="M198" i="27"/>
  <c r="M192" i="27"/>
  <c r="M224" i="27"/>
  <c r="M206" i="27"/>
  <c r="M201" i="27"/>
  <c r="M123" i="27"/>
  <c r="M10" i="27"/>
  <c r="M360" i="27"/>
  <c r="M53" i="27"/>
  <c r="M305" i="27"/>
  <c r="M60" i="27"/>
  <c r="M21" i="27"/>
  <c r="M185" i="27"/>
  <c r="M115" i="27"/>
  <c r="M108" i="27"/>
  <c r="M79" i="27"/>
  <c r="M77" i="27"/>
  <c r="M66" i="27"/>
  <c r="M71" i="27"/>
  <c r="M51" i="27"/>
  <c r="M35" i="27"/>
  <c r="M348" i="27"/>
  <c r="M342" i="27"/>
  <c r="M162" i="27"/>
  <c r="M314" i="27"/>
  <c r="M322" i="27"/>
  <c r="M327" i="27"/>
  <c r="M26" i="27"/>
  <c r="M295" i="27"/>
  <c r="M304" i="27"/>
  <c r="M183" i="27"/>
  <c r="M191" i="27"/>
  <c r="M222" i="27"/>
  <c r="M209" i="27"/>
  <c r="M139" i="27"/>
  <c r="M132" i="27"/>
  <c r="M80" i="27"/>
  <c r="M328" i="27"/>
  <c r="M134" i="27"/>
  <c r="M354" i="27"/>
  <c r="M16" i="27"/>
  <c r="M128" i="27"/>
  <c r="M103" i="27"/>
  <c r="M101" i="27"/>
  <c r="M90" i="27"/>
  <c r="M95" i="27"/>
  <c r="M54" i="27"/>
  <c r="M59" i="27"/>
  <c r="M39" i="27"/>
  <c r="M41" i="27"/>
  <c r="M336" i="27"/>
  <c r="M335" i="27"/>
  <c r="M150" i="27"/>
  <c r="M168" i="27"/>
  <c r="M313" i="27"/>
  <c r="M321" i="27"/>
  <c r="M315" i="27"/>
  <c r="M14" i="27"/>
  <c r="M302" i="27"/>
  <c r="M283" i="27"/>
  <c r="M292" i="27"/>
  <c r="M173" i="27"/>
  <c r="M179" i="27"/>
  <c r="M210" i="27"/>
  <c r="M215" i="27"/>
  <c r="M127" i="27"/>
  <c r="M125" i="27"/>
  <c r="M55" i="27"/>
  <c r="M286" i="27"/>
  <c r="M104" i="27"/>
  <c r="M223" i="27"/>
  <c r="M114" i="27"/>
  <c r="M119" i="27"/>
  <c r="M78" i="27"/>
  <c r="M83" i="27"/>
  <c r="M75" i="27"/>
  <c r="M65" i="27"/>
  <c r="M49" i="27"/>
  <c r="M46" i="27"/>
  <c r="M357" i="27"/>
  <c r="M353" i="27"/>
  <c r="M172" i="27"/>
  <c r="M156" i="27"/>
  <c r="M325" i="27"/>
  <c r="M332" i="27"/>
  <c r="M20" i="27"/>
  <c r="M24" i="27"/>
  <c r="M290" i="27"/>
  <c r="M297" i="27"/>
  <c r="M303" i="27"/>
  <c r="M196" i="27"/>
  <c r="M197" i="27"/>
  <c r="M208" i="27"/>
  <c r="M221" i="27"/>
  <c r="M138" i="27"/>
  <c r="M143" i="27"/>
  <c r="M32" i="27"/>
  <c r="M170" i="27"/>
  <c r="M216" i="27"/>
  <c r="M91" i="27"/>
  <c r="M281" i="27"/>
  <c r="M102" i="27"/>
  <c r="M107" i="27"/>
  <c r="M88" i="27"/>
  <c r="M89" i="27"/>
  <c r="M64" i="27"/>
  <c r="M70" i="27"/>
  <c r="M37" i="27"/>
  <c r="M34" i="27"/>
  <c r="M347" i="27"/>
  <c r="M352" i="27"/>
  <c r="M159" i="27"/>
  <c r="M149" i="27"/>
  <c r="M324" i="27"/>
  <c r="M320" i="27"/>
  <c r="M19" i="27"/>
  <c r="M12" i="27"/>
  <c r="M301" i="27"/>
  <c r="M296" i="27"/>
  <c r="M291" i="27"/>
  <c r="M193" i="27"/>
  <c r="M190" i="27"/>
  <c r="M207" i="27"/>
  <c r="M203" i="27"/>
  <c r="M126" i="27"/>
  <c r="M131" i="27"/>
  <c r="M356" i="27"/>
  <c r="M180" i="27"/>
  <c r="M120" i="27"/>
  <c r="M151" i="27"/>
  <c r="M111" i="27"/>
  <c r="M113" i="27"/>
  <c r="M87" i="27"/>
  <c r="M94" i="27"/>
  <c r="M73" i="27"/>
  <c r="M58" i="27"/>
  <c r="M52" i="27"/>
  <c r="M45" i="27"/>
  <c r="M344" i="27"/>
  <c r="M359" i="27"/>
  <c r="M160" i="27"/>
  <c r="M167" i="27"/>
  <c r="M312" i="27"/>
  <c r="M308" i="27"/>
  <c r="M30" i="27"/>
  <c r="M29" i="27"/>
  <c r="M289" i="27"/>
  <c r="M284" i="27"/>
  <c r="M188" i="27"/>
  <c r="M181" i="27"/>
  <c r="M178" i="27"/>
  <c r="M217" i="27"/>
  <c r="M226" i="27"/>
  <c r="M135" i="27"/>
  <c r="M137" i="27"/>
  <c r="M72" i="27"/>
  <c r="M153" i="27"/>
  <c r="M47" i="27"/>
  <c r="M307" i="27"/>
  <c r="M100" i="27"/>
  <c r="M118" i="27"/>
  <c r="M97" i="27"/>
  <c r="M82" i="27"/>
  <c r="M61" i="27"/>
  <c r="M69" i="27"/>
  <c r="M40" i="27"/>
  <c r="M33" i="27"/>
  <c r="M346" i="27"/>
  <c r="M341" i="27"/>
  <c r="M169" i="27"/>
  <c r="M161" i="27"/>
  <c r="M323" i="27"/>
  <c r="M330" i="27"/>
  <c r="M18" i="27"/>
  <c r="M23" i="27"/>
  <c r="M300" i="27"/>
  <c r="M306" i="27"/>
  <c r="M176" i="27"/>
  <c r="M184" i="27"/>
  <c r="M189" i="27"/>
  <c r="M205" i="27"/>
  <c r="M214" i="27"/>
  <c r="M136" i="27"/>
  <c r="M142" i="27"/>
  <c r="M96" i="27"/>
  <c r="M331" i="27"/>
  <c r="M140" i="27"/>
  <c r="M42" i="27"/>
  <c r="M319" i="27"/>
  <c r="M204" i="27"/>
  <c r="M121" i="27"/>
  <c r="M106" i="27"/>
  <c r="M85" i="27"/>
  <c r="M93" i="27"/>
  <c r="M76" i="27"/>
  <c r="M57" i="27"/>
  <c r="M50" i="27"/>
  <c r="M350" i="27"/>
  <c r="M355" i="27"/>
  <c r="M340" i="27"/>
  <c r="M157" i="27"/>
  <c r="M155" i="27"/>
  <c r="M334" i="27"/>
  <c r="M318" i="27"/>
  <c r="M27" i="27"/>
  <c r="M11" i="27"/>
  <c r="M288" i="27"/>
  <c r="M294" i="27"/>
  <c r="M199" i="27"/>
  <c r="M195" i="27"/>
  <c r="M177" i="27"/>
  <c r="M220" i="27"/>
  <c r="M202" i="27"/>
  <c r="M145" i="27"/>
  <c r="M130" i="27"/>
  <c r="M110" i="27"/>
  <c r="M163" i="27"/>
  <c r="M186" i="27"/>
  <c r="M56" i="27"/>
  <c r="M326" i="27"/>
  <c r="M174" i="27"/>
  <c r="M109" i="27"/>
  <c r="M117" i="27"/>
  <c r="M99" i="27"/>
  <c r="M81" i="27"/>
  <c r="M63" i="27"/>
  <c r="M44" i="27"/>
  <c r="M38" i="27"/>
  <c r="M338" i="27"/>
  <c r="M343" i="27"/>
  <c r="M351" i="27"/>
  <c r="M148" i="27"/>
  <c r="M166" i="27"/>
  <c r="M333" i="27"/>
  <c r="M329" i="27"/>
  <c r="M15" i="27"/>
  <c r="M8" i="27"/>
  <c r="M298" i="27"/>
  <c r="M282" i="27"/>
  <c r="M187" i="27"/>
  <c r="M194" i="27"/>
  <c r="M212" i="27"/>
  <c r="M219" i="27"/>
  <c r="M225" i="27"/>
  <c r="M133" i="27"/>
  <c r="M141" i="27"/>
  <c r="G19" i="26" l="1"/>
  <c r="G20" i="26"/>
  <c r="G18" i="26"/>
  <c r="J289" i="27" s="1"/>
  <c r="G15" i="26"/>
  <c r="G14" i="26"/>
  <c r="J690" i="27"/>
  <c r="G92" i="26"/>
  <c r="G94" i="26"/>
  <c r="G101" i="26"/>
  <c r="G97" i="26"/>
  <c r="G95" i="26"/>
  <c r="G57" i="26"/>
  <c r="G56" i="26"/>
  <c r="G35" i="26"/>
  <c r="G33" i="26"/>
  <c r="G34" i="26"/>
  <c r="G96" i="26"/>
  <c r="G91" i="26"/>
  <c r="G90" i="26"/>
  <c r="G89" i="26"/>
  <c r="G88" i="26"/>
  <c r="G87" i="26"/>
  <c r="G86" i="26"/>
  <c r="G85" i="26"/>
  <c r="G84" i="26"/>
  <c r="G82" i="26"/>
  <c r="G81" i="26"/>
  <c r="G80" i="26"/>
  <c r="G79" i="26"/>
  <c r="G77" i="26"/>
  <c r="G76" i="26"/>
  <c r="G74" i="26"/>
  <c r="G73" i="26"/>
  <c r="J666" i="27"/>
  <c r="G70" i="26"/>
  <c r="G68" i="26"/>
  <c r="G67" i="26"/>
  <c r="G66" i="26"/>
  <c r="J660" i="27"/>
  <c r="G64" i="26"/>
  <c r="G62" i="26"/>
  <c r="G59" i="26"/>
  <c r="G58" i="26"/>
  <c r="G51" i="26"/>
  <c r="G49" i="26"/>
  <c r="G48" i="26"/>
  <c r="G47" i="26"/>
  <c r="G46" i="26"/>
  <c r="J637" i="27"/>
  <c r="G44" i="26"/>
  <c r="G43" i="26"/>
  <c r="G42" i="26"/>
  <c r="G40" i="26"/>
  <c r="G39" i="26"/>
  <c r="G38" i="26"/>
  <c r="G37" i="26"/>
  <c r="G36" i="26"/>
  <c r="E4" i="38"/>
  <c r="I144" i="37"/>
  <c r="L144" i="37" s="1"/>
  <c r="I142" i="37"/>
  <c r="L142" i="37" s="1"/>
  <c r="I141" i="37"/>
  <c r="L141" i="37" s="1"/>
  <c r="I140" i="37"/>
  <c r="L140" i="37" s="1"/>
  <c r="I139" i="37"/>
  <c r="L139" i="37" s="1"/>
  <c r="I138" i="37"/>
  <c r="L138" i="37" s="1"/>
  <c r="I137" i="37"/>
  <c r="L137" i="37" s="1"/>
  <c r="I136" i="37"/>
  <c r="L136" i="37" s="1"/>
  <c r="I135" i="37"/>
  <c r="L135" i="37" s="1"/>
  <c r="I133" i="37"/>
  <c r="L133" i="37" s="1"/>
  <c r="I132" i="37"/>
  <c r="L132" i="37" s="1"/>
  <c r="I131" i="37"/>
  <c r="L131" i="37" s="1"/>
  <c r="I129" i="37"/>
  <c r="L129" i="37" s="1"/>
  <c r="I128" i="37"/>
  <c r="L128" i="37" s="1"/>
  <c r="I127" i="37"/>
  <c r="L127" i="37" s="1"/>
  <c r="I125" i="37"/>
  <c r="L125" i="37" s="1"/>
  <c r="I124" i="37"/>
  <c r="L124" i="37" s="1"/>
  <c r="I122" i="37"/>
  <c r="L122" i="37" s="1"/>
  <c r="I121" i="37"/>
  <c r="L121" i="37" s="1"/>
  <c r="I120" i="37"/>
  <c r="L120" i="37" s="1"/>
  <c r="I119" i="37"/>
  <c r="L119" i="37" s="1"/>
  <c r="I118" i="37"/>
  <c r="L118" i="37" s="1"/>
  <c r="I117" i="37"/>
  <c r="L117" i="37" s="1"/>
  <c r="I115" i="37"/>
  <c r="L115" i="37" s="1"/>
  <c r="I114" i="37"/>
  <c r="L114" i="37" s="1"/>
  <c r="I113" i="37"/>
  <c r="L113" i="37" s="1"/>
  <c r="I112" i="37"/>
  <c r="L112" i="37" s="1"/>
  <c r="I111" i="37"/>
  <c r="L111" i="37" s="1"/>
  <c r="I110" i="37"/>
  <c r="I108" i="37"/>
  <c r="L108" i="37" s="1"/>
  <c r="I107" i="37"/>
  <c r="I106" i="37"/>
  <c r="L106" i="37" s="1"/>
  <c r="I100" i="37"/>
  <c r="L101" i="37" s="1"/>
  <c r="H101" i="37" s="1"/>
  <c r="I98" i="37"/>
  <c r="L98" i="37" s="1"/>
  <c r="I97" i="37"/>
  <c r="L97" i="37" s="1"/>
  <c r="I96" i="37"/>
  <c r="L96" i="37" s="1"/>
  <c r="I95" i="37"/>
  <c r="L95" i="37" s="1"/>
  <c r="I93" i="37"/>
  <c r="L93" i="37" s="1"/>
  <c r="I92" i="37"/>
  <c r="L92" i="37" s="1"/>
  <c r="I91" i="37"/>
  <c r="L91" i="37" s="1"/>
  <c r="I90" i="37"/>
  <c r="L90" i="37" s="1"/>
  <c r="I89" i="37"/>
  <c r="L89" i="37" s="1"/>
  <c r="I87" i="37"/>
  <c r="L87" i="37" s="1"/>
  <c r="I86" i="37"/>
  <c r="L86" i="37" s="1"/>
  <c r="I85" i="37"/>
  <c r="L85" i="37" s="1"/>
  <c r="I84" i="37"/>
  <c r="L84" i="37" s="1"/>
  <c r="I83" i="37"/>
  <c r="L83" i="37" s="1"/>
  <c r="I77" i="37"/>
  <c r="L77" i="37" s="1"/>
  <c r="I76" i="37"/>
  <c r="L76" i="37" s="1"/>
  <c r="I74" i="37"/>
  <c r="L74" i="37" s="1"/>
  <c r="I73" i="37"/>
  <c r="L73" i="37" s="1"/>
  <c r="I71" i="37"/>
  <c r="L71" i="37" s="1"/>
  <c r="I70" i="37"/>
  <c r="L70" i="37" s="1"/>
  <c r="I69" i="37"/>
  <c r="L69" i="37" s="1"/>
  <c r="G69" i="37"/>
  <c r="I68" i="37"/>
  <c r="L68" i="37" s="1"/>
  <c r="G68" i="37"/>
  <c r="I67" i="37"/>
  <c r="L67" i="37" s="1"/>
  <c r="I65" i="37"/>
  <c r="L65" i="37" s="1"/>
  <c r="I64" i="37"/>
  <c r="L64" i="37" s="1"/>
  <c r="L58" i="37"/>
  <c r="L57" i="37"/>
  <c r="I56" i="37"/>
  <c r="L59" i="37" s="1"/>
  <c r="H59" i="37" s="1"/>
  <c r="L47" i="37"/>
  <c r="I45" i="37"/>
  <c r="L45" i="37" s="1"/>
  <c r="I44" i="37"/>
  <c r="L44" i="37" s="1"/>
  <c r="G44" i="37"/>
  <c r="I43" i="37"/>
  <c r="L43" i="37" s="1"/>
  <c r="I42" i="37"/>
  <c r="L42" i="37" s="1"/>
  <c r="I41" i="37"/>
  <c r="L41" i="37" s="1"/>
  <c r="I39" i="37"/>
  <c r="G39" i="37"/>
  <c r="I38" i="37"/>
  <c r="L38" i="37" s="1"/>
  <c r="I37" i="37"/>
  <c r="L37" i="37" s="1"/>
  <c r="I35" i="37"/>
  <c r="L35" i="37" s="1"/>
  <c r="I34" i="37"/>
  <c r="L34" i="37" s="1"/>
  <c r="I33" i="37"/>
  <c r="L33" i="37" s="1"/>
  <c r="G33" i="37"/>
  <c r="I31" i="37"/>
  <c r="L31" i="37" s="1"/>
  <c r="I30" i="37"/>
  <c r="L30" i="37" s="1"/>
  <c r="I28" i="37"/>
  <c r="L28" i="37" s="1"/>
  <c r="G28" i="37"/>
  <c r="I27" i="37"/>
  <c r="L27" i="37" s="1"/>
  <c r="I26" i="37"/>
  <c r="L26" i="37" s="1"/>
  <c r="I25" i="37"/>
  <c r="L25" i="37" s="1"/>
  <c r="I24" i="37"/>
  <c r="L24" i="37" s="1"/>
  <c r="I18" i="37"/>
  <c r="L18" i="37" s="1"/>
  <c r="I17" i="37"/>
  <c r="L17" i="37" s="1"/>
  <c r="I16" i="37"/>
  <c r="L16" i="37" s="1"/>
  <c r="I15" i="37"/>
  <c r="L15" i="37" s="1"/>
  <c r="I13" i="37"/>
  <c r="I12" i="37"/>
  <c r="L12" i="37" s="1"/>
  <c r="I10" i="37"/>
  <c r="L10" i="37" s="1"/>
  <c r="I9" i="37"/>
  <c r="I7" i="37"/>
  <c r="G7" i="37"/>
  <c r="I5" i="37"/>
  <c r="G5" i="37"/>
  <c r="I4" i="37"/>
  <c r="L4" i="37" s="1"/>
  <c r="I307" i="36"/>
  <c r="L307" i="36" s="1"/>
  <c r="I306" i="36"/>
  <c r="L306" i="36" s="1"/>
  <c r="I302" i="36"/>
  <c r="I301" i="36"/>
  <c r="L301" i="36" s="1"/>
  <c r="I300" i="36"/>
  <c r="L300" i="36" s="1"/>
  <c r="I299" i="36"/>
  <c r="L299" i="36" s="1"/>
  <c r="L298" i="36"/>
  <c r="L297" i="36"/>
  <c r="I136" i="36"/>
  <c r="L136" i="36" s="1"/>
  <c r="I134" i="36"/>
  <c r="L133" i="36"/>
  <c r="I116" i="36"/>
  <c r="L116" i="36" s="1"/>
  <c r="I115" i="36"/>
  <c r="L115" i="36" s="1"/>
  <c r="I114" i="36"/>
  <c r="L114" i="36" s="1"/>
  <c r="I113" i="36"/>
  <c r="L113" i="36" s="1"/>
  <c r="I110" i="36"/>
  <c r="L110" i="36" s="1"/>
  <c r="I109" i="36"/>
  <c r="L109" i="36" s="1"/>
  <c r="I108" i="36"/>
  <c r="L108" i="36" s="1"/>
  <c r="I107" i="36"/>
  <c r="I106" i="36"/>
  <c r="L106" i="36" s="1"/>
  <c r="I105" i="36"/>
  <c r="I104" i="36"/>
  <c r="L104" i="36" s="1"/>
  <c r="I101" i="36"/>
  <c r="I96" i="36"/>
  <c r="I95" i="36"/>
  <c r="L95" i="36" s="1"/>
  <c r="I94" i="36"/>
  <c r="L94" i="36" s="1"/>
  <c r="I93" i="36"/>
  <c r="L93" i="36" s="1"/>
  <c r="I92" i="36"/>
  <c r="I91" i="36"/>
  <c r="L91" i="36" s="1"/>
  <c r="I87" i="36"/>
  <c r="L87" i="36" s="1"/>
  <c r="I86" i="36"/>
  <c r="L86" i="36" s="1"/>
  <c r="I85" i="36"/>
  <c r="L85" i="36" s="1"/>
  <c r="I84" i="36"/>
  <c r="I83" i="36"/>
  <c r="L83" i="36" s="1"/>
  <c r="L52" i="36"/>
  <c r="I51" i="36"/>
  <c r="L51" i="36" s="1"/>
  <c r="I50" i="36"/>
  <c r="L50" i="36" s="1"/>
  <c r="I48" i="36"/>
  <c r="I47" i="36"/>
  <c r="I46" i="36"/>
  <c r="I45" i="36"/>
  <c r="L45" i="36" s="1"/>
  <c r="I44" i="36"/>
  <c r="I43" i="36"/>
  <c r="L43" i="36" s="1"/>
  <c r="L42" i="36"/>
  <c r="I5" i="36"/>
  <c r="L5" i="36" s="1"/>
  <c r="L139" i="35"/>
  <c r="I138" i="35"/>
  <c r="L138" i="35" s="1"/>
  <c r="I137" i="35"/>
  <c r="L137" i="35" s="1"/>
  <c r="I136" i="35"/>
  <c r="L136" i="35" s="1"/>
  <c r="I135" i="35"/>
  <c r="L135" i="35" s="1"/>
  <c r="I134" i="35"/>
  <c r="L134" i="35" s="1"/>
  <c r="I133" i="35"/>
  <c r="L133" i="35" s="1"/>
  <c r="L132" i="35"/>
  <c r="I123" i="35"/>
  <c r="L123" i="35" s="1"/>
  <c r="I122" i="35"/>
  <c r="L122" i="35" s="1"/>
  <c r="I121" i="35"/>
  <c r="L121" i="35" s="1"/>
  <c r="I120" i="35"/>
  <c r="L120" i="35" s="1"/>
  <c r="I119" i="35"/>
  <c r="I118" i="35"/>
  <c r="L118" i="35" s="1"/>
  <c r="I117" i="35"/>
  <c r="L117" i="35" s="1"/>
  <c r="I116" i="35"/>
  <c r="L116" i="35" s="1"/>
  <c r="I115" i="35"/>
  <c r="L115" i="35" s="1"/>
  <c r="I114" i="35"/>
  <c r="L114" i="35" s="1"/>
  <c r="L113" i="35"/>
  <c r="I112" i="35"/>
  <c r="I111" i="35"/>
  <c r="L111" i="35" s="1"/>
  <c r="I110" i="35"/>
  <c r="L110" i="35" s="1"/>
  <c r="I109" i="35"/>
  <c r="L109" i="35" s="1"/>
  <c r="I108" i="35"/>
  <c r="L108" i="35" s="1"/>
  <c r="I107" i="35"/>
  <c r="L107" i="35" s="1"/>
  <c r="I106" i="35"/>
  <c r="L106" i="35" s="1"/>
  <c r="I105" i="35"/>
  <c r="L105" i="35" s="1"/>
  <c r="I104" i="35"/>
  <c r="L104" i="35" s="1"/>
  <c r="I103" i="35"/>
  <c r="L103" i="35" s="1"/>
  <c r="I102" i="35"/>
  <c r="L102" i="35" s="1"/>
  <c r="I101" i="35"/>
  <c r="L101" i="35" s="1"/>
  <c r="I100" i="35"/>
  <c r="L100" i="35" s="1"/>
  <c r="I95" i="35"/>
  <c r="L95" i="35" s="1"/>
  <c r="I94" i="35"/>
  <c r="L94" i="35" s="1"/>
  <c r="I93" i="35"/>
  <c r="L93" i="35" s="1"/>
  <c r="I92" i="35"/>
  <c r="L92" i="35" s="1"/>
  <c r="I91" i="35"/>
  <c r="L91" i="35" s="1"/>
  <c r="I90" i="35"/>
  <c r="L90" i="35" s="1"/>
  <c r="I89" i="35"/>
  <c r="L89" i="35" s="1"/>
  <c r="I88" i="35"/>
  <c r="L88" i="35" s="1"/>
  <c r="I87" i="35"/>
  <c r="L87" i="35" s="1"/>
  <c r="I86" i="35"/>
  <c r="L86" i="35" s="1"/>
  <c r="I85" i="35"/>
  <c r="L85" i="35" s="1"/>
  <c r="L84" i="35"/>
  <c r="L83" i="35"/>
  <c r="L82" i="35"/>
  <c r="I81" i="35"/>
  <c r="L81" i="35" s="1"/>
  <c r="I80" i="35"/>
  <c r="L80" i="35" s="1"/>
  <c r="I79" i="35"/>
  <c r="L79" i="35" s="1"/>
  <c r="I78" i="35"/>
  <c r="L78" i="35" s="1"/>
  <c r="I77" i="35"/>
  <c r="L77" i="35" s="1"/>
  <c r="I76" i="35"/>
  <c r="L76" i="35" s="1"/>
  <c r="I75" i="35"/>
  <c r="L75" i="35" s="1"/>
  <c r="I74" i="35"/>
  <c r="L74" i="35" s="1"/>
  <c r="I73" i="35"/>
  <c r="L73" i="35" s="1"/>
  <c r="I72" i="35"/>
  <c r="L72" i="35" s="1"/>
  <c r="I71" i="35"/>
  <c r="L71" i="35" s="1"/>
  <c r="I70" i="35"/>
  <c r="L70" i="35" s="1"/>
  <c r="I69" i="35"/>
  <c r="L69" i="35" s="1"/>
  <c r="I68" i="35"/>
  <c r="L68" i="35" s="1"/>
  <c r="I67" i="35"/>
  <c r="L67" i="35" s="1"/>
  <c r="I62" i="35"/>
  <c r="L62" i="35" s="1"/>
  <c r="I61" i="35"/>
  <c r="L61" i="35" s="1"/>
  <c r="G60" i="35"/>
  <c r="I60" i="35" s="1"/>
  <c r="L60" i="35" s="1"/>
  <c r="G59" i="35"/>
  <c r="I59" i="35" s="1"/>
  <c r="L59" i="35" s="1"/>
  <c r="I58" i="35"/>
  <c r="L58" i="35" s="1"/>
  <c r="L57" i="35"/>
  <c r="L56" i="35"/>
  <c r="I55" i="35"/>
  <c r="I54" i="35"/>
  <c r="L54" i="35" s="1"/>
  <c r="I53" i="35"/>
  <c r="L53" i="35" s="1"/>
  <c r="I52" i="35"/>
  <c r="L52" i="35" s="1"/>
  <c r="I51" i="35"/>
  <c r="L51" i="35" s="1"/>
  <c r="I50" i="35"/>
  <c r="L50" i="35" s="1"/>
  <c r="L49" i="35"/>
  <c r="L48" i="35"/>
  <c r="I47" i="35"/>
  <c r="I46" i="35"/>
  <c r="L46" i="35" s="1"/>
  <c r="I45" i="35"/>
  <c r="L45" i="35" s="1"/>
  <c r="I44" i="35"/>
  <c r="L44" i="35" s="1"/>
  <c r="I43" i="35"/>
  <c r="L43" i="35" s="1"/>
  <c r="I42" i="35"/>
  <c r="L42" i="35" s="1"/>
  <c r="I37" i="35"/>
  <c r="L37" i="35" s="1"/>
  <c r="I36" i="35"/>
  <c r="L36" i="35" s="1"/>
  <c r="L35" i="35"/>
  <c r="L34" i="35"/>
  <c r="I33" i="35"/>
  <c r="L33" i="35" s="1"/>
  <c r="I32" i="35"/>
  <c r="L32" i="35" s="1"/>
  <c r="I31" i="35"/>
  <c r="L31" i="35" s="1"/>
  <c r="I30" i="35"/>
  <c r="L30" i="35" s="1"/>
  <c r="I29" i="35"/>
  <c r="L29" i="35" s="1"/>
  <c r="I28" i="35"/>
  <c r="L28" i="35" s="1"/>
  <c r="I27" i="35"/>
  <c r="L27" i="35" s="1"/>
  <c r="I26" i="35"/>
  <c r="L26" i="35" s="1"/>
  <c r="I25" i="35"/>
  <c r="L25" i="35" s="1"/>
  <c r="I24" i="35"/>
  <c r="L24" i="35" s="1"/>
  <c r="I23" i="35"/>
  <c r="L23" i="35" s="1"/>
  <c r="I22" i="35"/>
  <c r="L22" i="35" s="1"/>
  <c r="I21" i="35"/>
  <c r="L21" i="35" s="1"/>
  <c r="I20" i="35"/>
  <c r="L20" i="35" s="1"/>
  <c r="I19" i="35"/>
  <c r="L19" i="35" s="1"/>
  <c r="I18" i="35"/>
  <c r="L18" i="35" s="1"/>
  <c r="I17" i="35"/>
  <c r="L17" i="35" s="1"/>
  <c r="I16" i="35"/>
  <c r="L16" i="35" s="1"/>
  <c r="I15" i="35"/>
  <c r="L15" i="35" s="1"/>
  <c r="I13" i="35"/>
  <c r="L13" i="35" s="1"/>
  <c r="I12" i="35"/>
  <c r="L12" i="35" s="1"/>
  <c r="I11" i="35"/>
  <c r="L11" i="35" s="1"/>
  <c r="I10" i="35"/>
  <c r="L10" i="35" s="1"/>
  <c r="I9" i="35"/>
  <c r="L9" i="35" s="1"/>
  <c r="I8" i="35"/>
  <c r="L8" i="35" s="1"/>
  <c r="I7" i="35"/>
  <c r="L7" i="35" s="1"/>
  <c r="I6" i="35"/>
  <c r="L6" i="35" s="1"/>
  <c r="I5" i="35"/>
  <c r="L5" i="35" s="1"/>
  <c r="J682" i="27" l="1"/>
  <c r="J683" i="27"/>
  <c r="J669" i="27"/>
  <c r="J668" i="27"/>
  <c r="J670" i="27"/>
  <c r="K670" i="27" s="1"/>
  <c r="J665" i="27"/>
  <c r="J684" i="27"/>
  <c r="J695" i="27"/>
  <c r="J685" i="27"/>
  <c r="J700" i="27"/>
  <c r="J686" i="27"/>
  <c r="J652" i="27"/>
  <c r="J653" i="27"/>
  <c r="J687" i="27"/>
  <c r="J689" i="27"/>
  <c r="J632" i="27"/>
  <c r="J674" i="27"/>
  <c r="J688" i="27"/>
  <c r="J663" i="27"/>
  <c r="J634" i="27"/>
  <c r="J657" i="27"/>
  <c r="J676" i="27"/>
  <c r="J628" i="27"/>
  <c r="J677" i="27"/>
  <c r="J630" i="27"/>
  <c r="J678" i="27"/>
  <c r="J661" i="27"/>
  <c r="J679" i="27"/>
  <c r="J662" i="27"/>
  <c r="J681" i="27"/>
  <c r="J651" i="27"/>
  <c r="J640" i="27"/>
  <c r="J153" i="27"/>
  <c r="J154" i="27"/>
  <c r="J155" i="27"/>
  <c r="J146" i="27"/>
  <c r="J147" i="27"/>
  <c r="J148" i="27"/>
  <c r="J151" i="27"/>
  <c r="J149" i="27"/>
  <c r="J150" i="27"/>
  <c r="J152" i="27"/>
  <c r="G626" i="27"/>
  <c r="J693" i="27"/>
  <c r="J694" i="27"/>
  <c r="L6" i="37"/>
  <c r="H6" i="37" s="1"/>
  <c r="L5" i="37"/>
  <c r="L8" i="37"/>
  <c r="H8" i="37" s="1"/>
  <c r="L11" i="37"/>
  <c r="H11" i="37" s="1"/>
  <c r="L134" i="37"/>
  <c r="L101" i="36"/>
  <c r="L105" i="36"/>
  <c r="G627" i="27"/>
  <c r="L46" i="36"/>
  <c r="G625" i="27"/>
  <c r="G624" i="27"/>
  <c r="L47" i="36"/>
  <c r="J176" i="27"/>
  <c r="J190" i="27"/>
  <c r="J189" i="27"/>
  <c r="J177" i="27"/>
  <c r="J191" i="27"/>
  <c r="J178" i="27"/>
  <c r="J192" i="27"/>
  <c r="J183" i="27"/>
  <c r="J198" i="27"/>
  <c r="J185" i="27"/>
  <c r="J186" i="27"/>
  <c r="J187" i="27"/>
  <c r="J188" i="27"/>
  <c r="J175" i="27"/>
  <c r="J179" i="27"/>
  <c r="J193" i="27"/>
  <c r="J182" i="27"/>
  <c r="J197" i="27"/>
  <c r="J199" i="27"/>
  <c r="J173" i="27"/>
  <c r="J174" i="27"/>
  <c r="J180" i="27"/>
  <c r="J194" i="27"/>
  <c r="J181" i="27"/>
  <c r="J195" i="27"/>
  <c r="J196" i="27"/>
  <c r="J184" i="27"/>
  <c r="J204" i="27"/>
  <c r="J218" i="27"/>
  <c r="J205" i="27"/>
  <c r="J219" i="27"/>
  <c r="J206" i="27"/>
  <c r="J220" i="27"/>
  <c r="J210" i="27"/>
  <c r="J225" i="27"/>
  <c r="J213" i="27"/>
  <c r="J214" i="27"/>
  <c r="J215" i="27"/>
  <c r="J216" i="27"/>
  <c r="J217" i="27"/>
  <c r="J207" i="27"/>
  <c r="J221" i="27"/>
  <c r="J212" i="27"/>
  <c r="J200" i="27"/>
  <c r="J201" i="27"/>
  <c r="J202" i="27"/>
  <c r="J203" i="27"/>
  <c r="J208" i="27"/>
  <c r="J222" i="27"/>
  <c r="J209" i="27"/>
  <c r="J223" i="27"/>
  <c r="J224" i="27"/>
  <c r="J211" i="27"/>
  <c r="J226" i="27"/>
  <c r="J288" i="27"/>
  <c r="J302" i="27"/>
  <c r="J287" i="27"/>
  <c r="J303" i="27"/>
  <c r="J290" i="27"/>
  <c r="J304" i="27"/>
  <c r="J294" i="27"/>
  <c r="J282" i="27"/>
  <c r="J297" i="27"/>
  <c r="J298" i="27"/>
  <c r="J285" i="27"/>
  <c r="J299" i="27"/>
  <c r="J300" i="27"/>
  <c r="J301" i="27"/>
  <c r="J291" i="27"/>
  <c r="J305" i="27"/>
  <c r="J293" i="27"/>
  <c r="J281" i="27"/>
  <c r="J296" i="27"/>
  <c r="J283" i="27"/>
  <c r="J284" i="27"/>
  <c r="J286" i="27"/>
  <c r="J292" i="27"/>
  <c r="J306" i="27"/>
  <c r="J307" i="27"/>
  <c r="J295" i="27"/>
  <c r="J344" i="27"/>
  <c r="J358" i="27"/>
  <c r="J345" i="27"/>
  <c r="J359" i="27"/>
  <c r="J346" i="27"/>
  <c r="J360" i="27"/>
  <c r="J336" i="27"/>
  <c r="J351" i="27"/>
  <c r="J352" i="27"/>
  <c r="J353" i="27"/>
  <c r="J354" i="27"/>
  <c r="J355" i="27"/>
  <c r="J356" i="27"/>
  <c r="J343" i="27"/>
  <c r="J347" i="27"/>
  <c r="J361" i="27"/>
  <c r="J349" i="27"/>
  <c r="J350" i="27"/>
  <c r="J338" i="27"/>
  <c r="J339" i="27"/>
  <c r="J340" i="27"/>
  <c r="J341" i="27"/>
  <c r="J342" i="27"/>
  <c r="J357" i="27"/>
  <c r="J348" i="27"/>
  <c r="J335" i="27"/>
  <c r="J337" i="27"/>
  <c r="J316" i="27"/>
  <c r="J330" i="27"/>
  <c r="J329" i="27"/>
  <c r="J317" i="27"/>
  <c r="J331" i="27"/>
  <c r="J318" i="27"/>
  <c r="J332" i="27"/>
  <c r="J309" i="27"/>
  <c r="J310" i="27"/>
  <c r="J325" i="27"/>
  <c r="J326" i="27"/>
  <c r="J327" i="27"/>
  <c r="J328" i="27"/>
  <c r="J319" i="27"/>
  <c r="J333" i="27"/>
  <c r="J321" i="27"/>
  <c r="J308" i="27"/>
  <c r="J323" i="27"/>
  <c r="J324" i="27"/>
  <c r="J311" i="27"/>
  <c r="J312" i="27"/>
  <c r="J313" i="27"/>
  <c r="J314" i="27"/>
  <c r="J315" i="27"/>
  <c r="J320" i="27"/>
  <c r="J334" i="27"/>
  <c r="J322" i="27"/>
  <c r="J160" i="27"/>
  <c r="J162" i="27"/>
  <c r="J163" i="27"/>
  <c r="J164" i="27"/>
  <c r="J159" i="27"/>
  <c r="J165" i="27"/>
  <c r="J170" i="27"/>
  <c r="J171" i="27"/>
  <c r="J172" i="27"/>
  <c r="J161" i="27"/>
  <c r="J166" i="27"/>
  <c r="J167" i="27"/>
  <c r="J168" i="27"/>
  <c r="J169" i="27"/>
  <c r="J156" i="27"/>
  <c r="J157" i="27"/>
  <c r="J158" i="27"/>
  <c r="L55" i="35"/>
  <c r="L47" i="35"/>
  <c r="L119" i="35"/>
  <c r="L112" i="35"/>
  <c r="L14" i="37"/>
  <c r="H14" i="37" s="1"/>
  <c r="L145" i="37"/>
  <c r="L109" i="37"/>
  <c r="H109" i="37" s="1"/>
  <c r="L7" i="37"/>
  <c r="L40" i="37"/>
  <c r="H40" i="37" s="1"/>
  <c r="L13" i="37"/>
  <c r="L29" i="37"/>
  <c r="H29" i="37" s="1"/>
  <c r="L126" i="37"/>
  <c r="L123" i="37"/>
  <c r="L116" i="37"/>
  <c r="L107" i="37"/>
  <c r="L99" i="37"/>
  <c r="H99" i="37" s="1"/>
  <c r="L75" i="37"/>
  <c r="H75" i="37" s="1"/>
  <c r="L72" i="37"/>
  <c r="H72" i="37" s="1"/>
  <c r="L46" i="37"/>
  <c r="H46" i="37" s="1"/>
  <c r="L39" i="37"/>
  <c r="L19" i="37"/>
  <c r="H19" i="37" s="1"/>
  <c r="J641" i="27"/>
  <c r="J642" i="27"/>
  <c r="J673" i="27"/>
  <c r="J672" i="27"/>
  <c r="J639" i="27"/>
  <c r="L134" i="36"/>
  <c r="L92" i="36"/>
  <c r="L84" i="36"/>
  <c r="L96" i="36"/>
  <c r="L302" i="36"/>
  <c r="K76" i="27"/>
  <c r="J82" i="26"/>
  <c r="J62" i="26"/>
  <c r="J81" i="26"/>
  <c r="J35" i="26"/>
  <c r="J85" i="26"/>
  <c r="J86" i="26"/>
  <c r="J43" i="26"/>
  <c r="J71" i="26"/>
  <c r="J44" i="26"/>
  <c r="J59" i="26"/>
  <c r="J73" i="26"/>
  <c r="J88" i="26"/>
  <c r="J95" i="26"/>
  <c r="J80" i="26"/>
  <c r="J38" i="26"/>
  <c r="L660" i="27"/>
  <c r="J93" i="26"/>
  <c r="J54" i="26"/>
  <c r="J42" i="26"/>
  <c r="J57" i="26"/>
  <c r="J45" i="26"/>
  <c r="J60" i="26"/>
  <c r="J74" i="26"/>
  <c r="J89" i="26"/>
  <c r="J97" i="26"/>
  <c r="J32" i="26"/>
  <c r="J50" i="26"/>
  <c r="J39" i="26"/>
  <c r="J66" i="26"/>
  <c r="J52" i="26"/>
  <c r="J84" i="26"/>
  <c r="J68" i="26"/>
  <c r="J58" i="26"/>
  <c r="J46" i="26"/>
  <c r="J76" i="26"/>
  <c r="J90" i="26"/>
  <c r="J101" i="26"/>
  <c r="J49" i="26"/>
  <c r="J51" i="26"/>
  <c r="J40" i="26"/>
  <c r="J56" i="26"/>
  <c r="J47" i="26"/>
  <c r="J77" i="26"/>
  <c r="J91" i="26"/>
  <c r="J94" i="26"/>
  <c r="J34" i="26"/>
  <c r="J33" i="26"/>
  <c r="J67" i="26"/>
  <c r="J55" i="26"/>
  <c r="J70" i="26"/>
  <c r="J87" i="26"/>
  <c r="J36" i="26"/>
  <c r="J48" i="26"/>
  <c r="J63" i="26"/>
  <c r="J79" i="26"/>
  <c r="J96" i="26"/>
  <c r="J98" i="26"/>
  <c r="J92" i="26"/>
  <c r="J37" i="26"/>
  <c r="J64" i="26"/>
  <c r="L36" i="37"/>
  <c r="H36" i="37" s="1"/>
  <c r="L66" i="37"/>
  <c r="H66" i="37" s="1"/>
  <c r="L56" i="37"/>
  <c r="L78" i="37"/>
  <c r="H78" i="37" s="1"/>
  <c r="L88" i="37"/>
  <c r="H88" i="37" s="1"/>
  <c r="L94" i="37"/>
  <c r="H94" i="37" s="1"/>
  <c r="L100" i="37"/>
  <c r="L110" i="37"/>
  <c r="L130" i="37"/>
  <c r="L143" i="37"/>
  <c r="L32" i="37"/>
  <c r="H32" i="37" s="1"/>
  <c r="L9" i="37"/>
  <c r="L44" i="36"/>
  <c r="L48" i="36"/>
  <c r="L107" i="36"/>
  <c r="L670" i="27" l="1"/>
  <c r="M670" i="27" s="1"/>
  <c r="L683" i="27"/>
  <c r="L682" i="27"/>
  <c r="L645" i="27"/>
  <c r="M645" i="27" s="1"/>
  <c r="K674" i="27"/>
  <c r="L700" i="27"/>
  <c r="L657" i="27"/>
  <c r="L662" i="27"/>
  <c r="L687" i="27"/>
  <c r="L679" i="27"/>
  <c r="L696" i="27"/>
  <c r="L684" i="27"/>
  <c r="L695" i="27"/>
  <c r="L686" i="27"/>
  <c r="L685" i="27"/>
  <c r="L653" i="27"/>
  <c r="L655" i="27"/>
  <c r="L688" i="27"/>
  <c r="L637" i="27"/>
  <c r="L651" i="27"/>
  <c r="L665" i="27"/>
  <c r="L650" i="27"/>
  <c r="L677" i="27"/>
  <c r="L689" i="27"/>
  <c r="L676" i="27"/>
  <c r="L674" i="27"/>
  <c r="L663" i="27"/>
  <c r="L652" i="27"/>
  <c r="L666" i="27"/>
  <c r="L658" i="27"/>
  <c r="L640" i="27"/>
  <c r="L681" i="27"/>
  <c r="L634" i="27"/>
  <c r="L628" i="27"/>
  <c r="L632" i="27"/>
  <c r="L661" i="27"/>
  <c r="L690" i="27"/>
  <c r="L647" i="27"/>
  <c r="L630" i="27"/>
  <c r="L678" i="27"/>
  <c r="J627" i="27"/>
  <c r="J624" i="27"/>
  <c r="J625" i="27"/>
  <c r="J626" i="27"/>
  <c r="K673" i="27"/>
  <c r="L693" i="27"/>
  <c r="L694" i="27"/>
  <c r="K694" i="27"/>
  <c r="L625" i="27"/>
  <c r="L624" i="27"/>
  <c r="L627" i="27"/>
  <c r="L626" i="27"/>
  <c r="L641" i="27"/>
  <c r="L642" i="27"/>
  <c r="L668" i="27"/>
  <c r="L669" i="27"/>
  <c r="L639" i="27"/>
  <c r="K669" i="27"/>
  <c r="L672" i="27"/>
  <c r="L673" i="27"/>
  <c r="K226" i="27"/>
  <c r="K307" i="27"/>
  <c r="K302" i="27"/>
  <c r="K620" i="27"/>
  <c r="K93" i="27"/>
  <c r="K71" i="27"/>
  <c r="K53" i="27"/>
  <c r="K216" i="27"/>
  <c r="K180" i="27"/>
  <c r="K166" i="27"/>
  <c r="K331" i="27"/>
  <c r="K41" i="27"/>
  <c r="K203" i="27"/>
  <c r="K186" i="27"/>
  <c r="K612" i="27"/>
  <c r="K84" i="27"/>
  <c r="K323" i="27"/>
  <c r="K358" i="27"/>
  <c r="K351" i="27"/>
  <c r="K223" i="27"/>
  <c r="K190" i="27"/>
  <c r="K199" i="27"/>
  <c r="K170" i="27"/>
  <c r="K152" i="27"/>
  <c r="K607" i="27"/>
  <c r="K112" i="27"/>
  <c r="K105" i="27"/>
  <c r="K99" i="27"/>
  <c r="K94" i="27"/>
  <c r="K322" i="27"/>
  <c r="K316" i="27"/>
  <c r="K311" i="27"/>
  <c r="K69" i="27"/>
  <c r="K52" i="27"/>
  <c r="K45" i="27"/>
  <c r="K355" i="27"/>
  <c r="K339" i="27"/>
  <c r="K347" i="27"/>
  <c r="K211" i="27"/>
  <c r="K306" i="27"/>
  <c r="K290" i="27"/>
  <c r="K604" i="27"/>
  <c r="K325" i="27"/>
  <c r="K360" i="27"/>
  <c r="K175" i="27"/>
  <c r="K101" i="27"/>
  <c r="K60" i="27"/>
  <c r="K336" i="27"/>
  <c r="K159" i="27"/>
  <c r="K598" i="27"/>
  <c r="K317" i="27"/>
  <c r="K65" i="27"/>
  <c r="K204" i="27"/>
  <c r="K179" i="27"/>
  <c r="K198" i="27"/>
  <c r="K158" i="27"/>
  <c r="K157" i="27"/>
  <c r="K618" i="27"/>
  <c r="K617" i="27"/>
  <c r="K100" i="27"/>
  <c r="K107" i="27"/>
  <c r="K87" i="27"/>
  <c r="K92" i="27"/>
  <c r="K310" i="27"/>
  <c r="K327" i="27"/>
  <c r="K57" i="27"/>
  <c r="K40" i="27"/>
  <c r="K33" i="27"/>
  <c r="K346" i="27"/>
  <c r="K354" i="27"/>
  <c r="K335" i="27"/>
  <c r="K215" i="27"/>
  <c r="K222" i="27"/>
  <c r="K305" i="27"/>
  <c r="K301" i="27"/>
  <c r="K171" i="27"/>
  <c r="K108" i="27"/>
  <c r="K77" i="27"/>
  <c r="K342" i="27"/>
  <c r="K608" i="27"/>
  <c r="K312" i="27"/>
  <c r="K205" i="27"/>
  <c r="K164" i="27"/>
  <c r="K88" i="27"/>
  <c r="K174" i="27"/>
  <c r="K146" i="27"/>
  <c r="K151" i="27"/>
  <c r="K606" i="27"/>
  <c r="K600" i="27"/>
  <c r="K111" i="27"/>
  <c r="K116" i="27"/>
  <c r="K98" i="27"/>
  <c r="K80" i="27"/>
  <c r="K321" i="27"/>
  <c r="K315" i="27"/>
  <c r="K64" i="27"/>
  <c r="K59" i="27"/>
  <c r="K51" i="27"/>
  <c r="K36" i="27"/>
  <c r="K345" i="27"/>
  <c r="K341" i="27"/>
  <c r="K220" i="27"/>
  <c r="K214" i="27"/>
  <c r="K210" i="27"/>
  <c r="K295" i="27"/>
  <c r="K300" i="27"/>
  <c r="K193" i="27"/>
  <c r="K621" i="27"/>
  <c r="K330" i="27"/>
  <c r="K46" i="27"/>
  <c r="K293" i="27"/>
  <c r="K609" i="27"/>
  <c r="K81" i="27"/>
  <c r="K35" i="27"/>
  <c r="K352" i="27"/>
  <c r="K181" i="27"/>
  <c r="K619" i="27"/>
  <c r="K117" i="27"/>
  <c r="K334" i="27"/>
  <c r="K70" i="27"/>
  <c r="K34" i="27"/>
  <c r="K359" i="27"/>
  <c r="K178" i="27"/>
  <c r="K196" i="27"/>
  <c r="K189" i="27"/>
  <c r="K197" i="27"/>
  <c r="K156" i="27"/>
  <c r="K162" i="27"/>
  <c r="K615" i="27"/>
  <c r="K623" i="27"/>
  <c r="K122" i="27"/>
  <c r="K104" i="27"/>
  <c r="K86" i="27"/>
  <c r="K97" i="27"/>
  <c r="K333" i="27"/>
  <c r="K328" i="27"/>
  <c r="K75" i="27"/>
  <c r="K58" i="27"/>
  <c r="K39" i="27"/>
  <c r="K44" i="27"/>
  <c r="K357" i="27"/>
  <c r="K350" i="27"/>
  <c r="K208" i="27"/>
  <c r="K225" i="27"/>
  <c r="K221" i="27"/>
  <c r="K281" i="27"/>
  <c r="K283" i="27"/>
  <c r="K296" i="27"/>
  <c r="K147" i="27"/>
  <c r="K106" i="27"/>
  <c r="K54" i="27"/>
  <c r="K292" i="27"/>
  <c r="K177" i="27"/>
  <c r="K155" i="27"/>
  <c r="K603" i="27"/>
  <c r="K115" i="27"/>
  <c r="K85" i="27"/>
  <c r="K79" i="27"/>
  <c r="K309" i="27"/>
  <c r="K326" i="27"/>
  <c r="K63" i="27"/>
  <c r="K68" i="27"/>
  <c r="K50" i="27"/>
  <c r="K32" i="27"/>
  <c r="K356" i="27"/>
  <c r="K338" i="27"/>
  <c r="K219" i="27"/>
  <c r="K213" i="27"/>
  <c r="K209" i="27"/>
  <c r="K304" i="27"/>
  <c r="K289" i="27"/>
  <c r="K153" i="27"/>
  <c r="K113" i="27"/>
  <c r="K55" i="27"/>
  <c r="K200" i="27"/>
  <c r="K602" i="27"/>
  <c r="K329" i="27"/>
  <c r="K284" i="27"/>
  <c r="K184" i="27"/>
  <c r="K185" i="27"/>
  <c r="K169" i="27"/>
  <c r="K605" i="27"/>
  <c r="K110" i="27"/>
  <c r="K195" i="27"/>
  <c r="K192" i="27"/>
  <c r="K173" i="27"/>
  <c r="K167" i="27"/>
  <c r="K163" i="27"/>
  <c r="K614" i="27"/>
  <c r="K611" i="27"/>
  <c r="K120" i="27"/>
  <c r="K103" i="27"/>
  <c r="K96" i="27"/>
  <c r="K91" i="27"/>
  <c r="K332" i="27"/>
  <c r="K314" i="27"/>
  <c r="K74" i="27"/>
  <c r="K56" i="27"/>
  <c r="K38" i="27"/>
  <c r="K49" i="27"/>
  <c r="K344" i="27"/>
  <c r="K349" i="27"/>
  <c r="K207" i="27"/>
  <c r="K201" i="27"/>
  <c r="K298" i="27"/>
  <c r="K282" i="27"/>
  <c r="K288" i="27"/>
  <c r="K191" i="27"/>
  <c r="K337" i="27"/>
  <c r="K218" i="27"/>
  <c r="K202" i="27"/>
  <c r="K286" i="27"/>
  <c r="K303" i="27"/>
  <c r="K299" i="27"/>
  <c r="K187" i="27"/>
  <c r="K183" i="27"/>
  <c r="K172" i="27"/>
  <c r="K154" i="27"/>
  <c r="K150" i="27"/>
  <c r="K613" i="27"/>
  <c r="K622" i="27"/>
  <c r="K121" i="27"/>
  <c r="K102" i="27"/>
  <c r="K95" i="27"/>
  <c r="K90" i="27"/>
  <c r="K320" i="27"/>
  <c r="K319" i="27"/>
  <c r="K62" i="27"/>
  <c r="K67" i="27"/>
  <c r="K48" i="27"/>
  <c r="K43" i="27"/>
  <c r="K343" i="27"/>
  <c r="K194" i="27"/>
  <c r="K188" i="27"/>
  <c r="K160" i="27"/>
  <c r="K168" i="27"/>
  <c r="K161" i="27"/>
  <c r="K601" i="27"/>
  <c r="K610" i="27"/>
  <c r="K119" i="27"/>
  <c r="K109" i="27"/>
  <c r="K82" i="27"/>
  <c r="K78" i="27"/>
  <c r="K308" i="27"/>
  <c r="K313" i="27"/>
  <c r="K73" i="27"/>
  <c r="K66" i="27"/>
  <c r="K37" i="27"/>
  <c r="K42" i="27"/>
  <c r="K353" i="27"/>
  <c r="K348" i="27"/>
  <c r="K206" i="27"/>
  <c r="K224" i="27"/>
  <c r="K297" i="27"/>
  <c r="K291" i="27"/>
  <c r="K287" i="27"/>
  <c r="K182" i="27"/>
  <c r="K176" i="27"/>
  <c r="K148" i="27"/>
  <c r="K165" i="27"/>
  <c r="K149" i="27"/>
  <c r="K616" i="27"/>
  <c r="K599" i="27"/>
  <c r="K118" i="27"/>
  <c r="K114" i="27"/>
  <c r="K83" i="27"/>
  <c r="K89" i="27"/>
  <c r="K318" i="27"/>
  <c r="K324" i="27"/>
  <c r="K72" i="27"/>
  <c r="K61" i="27"/>
  <c r="K47" i="27"/>
  <c r="K31" i="27"/>
  <c r="K340" i="27"/>
  <c r="K361" i="27"/>
  <c r="K217" i="27"/>
  <c r="K212" i="27"/>
  <c r="K285" i="27"/>
  <c r="K294" i="27"/>
  <c r="M674" i="27" l="1"/>
  <c r="M696" i="27"/>
  <c r="M673" i="27"/>
  <c r="M694" i="27"/>
  <c r="M669" i="27"/>
  <c r="M555" i="27"/>
  <c r="M562" i="27"/>
  <c r="M560" i="27"/>
  <c r="M551" i="27"/>
  <c r="M556" i="27"/>
  <c r="M561" i="27"/>
  <c r="M548" i="27"/>
  <c r="M563" i="27"/>
  <c r="M568" i="27"/>
  <c r="M557" i="27"/>
  <c r="M550" i="27"/>
  <c r="M566" i="27"/>
  <c r="M549" i="27"/>
  <c r="M567" i="27"/>
  <c r="M570" i="27"/>
  <c r="M554" i="27"/>
  <c r="M564" i="27"/>
  <c r="M565" i="27"/>
  <c r="M552" i="27"/>
  <c r="M559" i="27"/>
  <c r="M547" i="27"/>
  <c r="M571" i="27"/>
  <c r="M558" i="27"/>
  <c r="M553" i="27"/>
  <c r="M569" i="27"/>
  <c r="M598" i="27"/>
  <c r="M614" i="27"/>
  <c r="M608" i="27"/>
  <c r="M602" i="27"/>
  <c r="M618" i="27"/>
  <c r="M601" i="27"/>
  <c r="M617" i="27"/>
  <c r="M620" i="27"/>
  <c r="M609" i="27"/>
  <c r="M603" i="27"/>
  <c r="M623" i="27"/>
  <c r="M607" i="27"/>
  <c r="M613" i="27"/>
  <c r="M611" i="27"/>
  <c r="M616" i="27"/>
  <c r="M612" i="27"/>
  <c r="M600" i="27"/>
  <c r="M604" i="27"/>
  <c r="M610" i="27"/>
  <c r="M619" i="27"/>
  <c r="M599" i="27"/>
  <c r="M606" i="27"/>
  <c r="M622" i="27"/>
  <c r="M605" i="27"/>
  <c r="M621" i="27"/>
  <c r="M615" i="27"/>
  <c r="K700" i="27" l="1"/>
  <c r="M700" i="27" l="1"/>
  <c r="J692" i="27" l="1"/>
  <c r="L692" i="27"/>
  <c r="J659" i="27"/>
  <c r="L659" i="27"/>
  <c r="J691" i="27"/>
  <c r="L691" i="27"/>
  <c r="K655" i="27"/>
  <c r="K693" i="27"/>
  <c r="K687" i="27"/>
  <c r="K679" i="27"/>
  <c r="K686" i="27"/>
  <c r="K663" i="27"/>
  <c r="K668" i="27"/>
  <c r="K662" i="27"/>
  <c r="K661" i="27"/>
  <c r="K672" i="27"/>
  <c r="K657" i="27"/>
  <c r="M672" i="27" l="1"/>
  <c r="K659" i="27"/>
  <c r="K688" i="27"/>
  <c r="K689" i="27"/>
  <c r="K639" i="27"/>
  <c r="K658" i="27"/>
  <c r="K690" i="27"/>
  <c r="K695" i="27"/>
  <c r="K691" i="27"/>
  <c r="K660" i="27"/>
  <c r="K692" i="27"/>
  <c r="M655" i="27"/>
  <c r="M693" i="27"/>
  <c r="M682" i="27"/>
  <c r="M690" i="27"/>
  <c r="M677" i="27"/>
  <c r="M659" i="27"/>
  <c r="M688" i="27"/>
  <c r="M639" i="27"/>
  <c r="M683" i="27"/>
  <c r="M678" i="27"/>
  <c r="M689" i="27"/>
  <c r="M660" i="27"/>
  <c r="M666" i="27"/>
  <c r="M695" i="27"/>
  <c r="M658" i="27"/>
  <c r="M676" i="27"/>
  <c r="M691" i="27"/>
  <c r="M687" i="27"/>
  <c r="M681" i="27"/>
  <c r="M692" i="27"/>
  <c r="K666" i="27"/>
  <c r="K677" i="27"/>
  <c r="K681" i="27"/>
  <c r="K683" i="27"/>
  <c r="K682" i="27"/>
  <c r="K678" i="27"/>
  <c r="M663" i="27" l="1"/>
  <c r="K676" i="27"/>
  <c r="M668" i="27"/>
  <c r="M686" i="27"/>
  <c r="M662" i="27"/>
  <c r="M679" i="27"/>
  <c r="M661" i="27"/>
  <c r="M657" i="27"/>
  <c r="J635" i="27" l="1"/>
  <c r="L635" i="27"/>
  <c r="J636" i="27"/>
  <c r="L636" i="27"/>
  <c r="J638" i="27"/>
  <c r="L638" i="27"/>
  <c r="J643" i="27"/>
  <c r="L643" i="27"/>
  <c r="J629" i="27"/>
  <c r="L629" i="27"/>
  <c r="J631" i="27"/>
  <c r="L631" i="27"/>
  <c r="J649" i="27"/>
  <c r="L649" i="27"/>
  <c r="J644" i="27"/>
  <c r="L644" i="27"/>
  <c r="J646" i="27"/>
  <c r="L646" i="27"/>
  <c r="J654" i="27"/>
  <c r="L654" i="27"/>
  <c r="K628" i="27"/>
  <c r="K625" i="27"/>
  <c r="K641" i="27"/>
  <c r="K630" i="27"/>
  <c r="K631" i="27" l="1"/>
  <c r="K646" i="27"/>
  <c r="K644" i="27"/>
  <c r="K649" i="27"/>
  <c r="K685" i="27"/>
  <c r="M685" i="27"/>
  <c r="K642" i="27"/>
  <c r="K629" i="27"/>
  <c r="K637" i="27"/>
  <c r="K651" i="27"/>
  <c r="K634" i="27"/>
  <c r="K653" i="27"/>
  <c r="K654" i="27"/>
  <c r="K635" i="27"/>
  <c r="K640" i="27"/>
  <c r="K643" i="27"/>
  <c r="K636" i="27"/>
  <c r="K624" i="27"/>
  <c r="K650" i="27"/>
  <c r="K638" i="27"/>
  <c r="K652" i="27"/>
  <c r="K647" i="27"/>
  <c r="M654" i="27"/>
  <c r="M635" i="27"/>
  <c r="M631" i="27"/>
  <c r="M651" i="27"/>
  <c r="M625" i="27"/>
  <c r="M629" i="27"/>
  <c r="M641" i="27"/>
  <c r="M637" i="27"/>
  <c r="M649" i="27"/>
  <c r="M653" i="27"/>
  <c r="M634" i="27"/>
  <c r="M636" i="27"/>
  <c r="M642" i="27"/>
  <c r="M640" i="27"/>
  <c r="M646" i="27"/>
  <c r="M643" i="27"/>
  <c r="M624" i="27"/>
  <c r="M630" i="27"/>
  <c r="M650" i="27"/>
  <c r="M628" i="27"/>
  <c r="M638" i="27"/>
  <c r="M644" i="27"/>
  <c r="M652" i="27"/>
  <c r="M647" i="27"/>
  <c r="K627" i="27"/>
  <c r="K665" i="27" l="1"/>
  <c r="M665" i="27"/>
  <c r="M627" i="27"/>
  <c r="M626" i="27" l="1"/>
  <c r="K632" i="27"/>
  <c r="M632" i="27"/>
  <c r="K626" i="27"/>
  <c r="M684" i="27" l="1"/>
  <c r="K684" i="27"/>
  <c r="L708" i="27" l="1"/>
  <c r="J708" i="27"/>
  <c r="L701" i="27"/>
  <c r="J701" i="27"/>
  <c r="J703" i="27"/>
  <c r="L703" i="27"/>
  <c r="L710" i="27"/>
  <c r="J710" i="27"/>
  <c r="K701" i="27" l="1"/>
  <c r="M703" i="27"/>
  <c r="M701" i="27"/>
  <c r="K703" i="27"/>
  <c r="K710" i="27"/>
  <c r="M710" i="27"/>
  <c r="K708" i="27"/>
  <c r="M708" i="27"/>
  <c r="G61" i="26" l="1"/>
  <c r="I88" i="36"/>
  <c r="G41" i="26"/>
  <c r="I89" i="36"/>
  <c r="I90" i="36"/>
  <c r="L90" i="36" l="1"/>
  <c r="L89" i="36"/>
  <c r="J633" i="27"/>
  <c r="J41" i="26"/>
  <c r="L88" i="36"/>
  <c r="J61" i="26"/>
  <c r="J656" i="27"/>
  <c r="L656" i="27" l="1"/>
  <c r="L633" i="27"/>
  <c r="G100" i="26"/>
  <c r="K656" i="27"/>
  <c r="K633" i="27"/>
  <c r="M656" i="27" l="1"/>
  <c r="M633" i="27"/>
  <c r="J699" i="27"/>
  <c r="J100" i="26"/>
  <c r="K699" i="27" l="1"/>
  <c r="L699" i="27"/>
  <c r="M699" i="27" l="1"/>
</calcChain>
</file>

<file path=xl/sharedStrings.xml><?xml version="1.0" encoding="utf-8"?>
<sst xmlns="http://schemas.openxmlformats.org/spreadsheetml/2006/main" count="9044" uniqueCount="1923">
  <si>
    <t>Pollutant</t>
  </si>
  <si>
    <t>Fluorides</t>
  </si>
  <si>
    <t>PTE / Capacity Rates</t>
  </si>
  <si>
    <t>Actual Rates (For CY 2024)</t>
  </si>
  <si>
    <t>Emissions Unit Information</t>
  </si>
  <si>
    <t>Activity Information (YEARLY)</t>
  </si>
  <si>
    <t>Activity Information (DAILY)</t>
  </si>
  <si>
    <t xml:space="preserve">Comments </t>
  </si>
  <si>
    <t>Emissions Unit ID</t>
  </si>
  <si>
    <t>Unit Description</t>
  </si>
  <si>
    <t>Control Device[s]</t>
  </si>
  <si>
    <t>Unit of Measure</t>
  </si>
  <si>
    <t>Description/Type</t>
  </si>
  <si>
    <t>Activity [units/yr]</t>
  </si>
  <si>
    <t>Activity [units/day]</t>
  </si>
  <si>
    <t>EU-1</t>
  </si>
  <si>
    <t>Widget Maker 1 (EXAMPLE)</t>
  </si>
  <si>
    <t>Widget Waste RCO</t>
  </si>
  <si>
    <t>tons</t>
  </si>
  <si>
    <t>Input Material X</t>
  </si>
  <si>
    <t>Blr1-NG</t>
  </si>
  <si>
    <t>Boiler 1 750 HP, 26 MMBtu/hr (EXAMPLE)</t>
  </si>
  <si>
    <t>none</t>
  </si>
  <si>
    <t>MMscf</t>
  </si>
  <si>
    <t>Natural Gas</t>
  </si>
  <si>
    <t>EU_ID</t>
  </si>
  <si>
    <t>Control Device</t>
  </si>
  <si>
    <t>UnitOfMeasure</t>
  </si>
  <si>
    <t>Description</t>
  </si>
  <si>
    <t>Activity</t>
  </si>
  <si>
    <t>Emergency Generator 1</t>
  </si>
  <si>
    <t>Bldg 1, 1,456 hp, 1988 install</t>
  </si>
  <si>
    <t>None</t>
  </si>
  <si>
    <t>Mgal</t>
  </si>
  <si>
    <t>Diesel</t>
  </si>
  <si>
    <t xml:space="preserve">Assumed 59.28 gal/hr is 100% fuel consumption rate for UB1 # A. Assumed 30 hours per year of operation. </t>
  </si>
  <si>
    <t>Assumed 13 run days a year</t>
  </si>
  <si>
    <t>Emergency Generator 2</t>
  </si>
  <si>
    <t xml:space="preserve">Assumed 59.28 gal/hr is 100% fuel consumption rate for UB1 # B. Assumed 30 hours per year of operation. </t>
  </si>
  <si>
    <t>Emergency Generator 3</t>
  </si>
  <si>
    <t>Bldg 2, 1,582 hp, 1996 install</t>
  </si>
  <si>
    <t xml:space="preserve">Assumed 74.42 gal/hr is 100% fuel consumption rate for Fab 4-2 #1. Assumed 30 hours per year of operation. </t>
  </si>
  <si>
    <t>Emergency Generator 4</t>
  </si>
  <si>
    <t xml:space="preserve">Assumed 74.42 gal/hr is 100% fuel consumption rate for Fab 4-2 #2. Assumed 30 hours per year of operation. </t>
  </si>
  <si>
    <t>Emergency Generator 5</t>
  </si>
  <si>
    <t xml:space="preserve">Assumed 74.42 gal/hr is 100% fuel consumption rate for Fab 4-2 #3. Assumed 30 hours per year of operation. </t>
  </si>
  <si>
    <t>Fire Pump</t>
  </si>
  <si>
    <t>Fire pump</t>
  </si>
  <si>
    <t xml:space="preserve">Assumed 6.5 gal/hr is 100% fuel consumption rate for fire pump. Assumed 30 hours per year of operation. </t>
  </si>
  <si>
    <t>Boiler 1 Fab 4-1 NG</t>
  </si>
  <si>
    <t>Natural gas (primary fuel type)</t>
  </si>
  <si>
    <t>Assumed natural gas heat content of 1,020 Btu/scf per AP-42 Section 1.4</t>
  </si>
  <si>
    <t xml:space="preserve">Assumed daily maximum, is annual total divided by 365 days. </t>
  </si>
  <si>
    <t>Boiler 2 Fab 4-1 NG</t>
  </si>
  <si>
    <t>Boiler 3 Fab 4-1 NG</t>
  </si>
  <si>
    <t>Boiler 4 Fab 4-1 NG</t>
  </si>
  <si>
    <t>Boiler 5 Fab 4-1 NG</t>
  </si>
  <si>
    <t>Boiler 1 Fab 4-2 NG</t>
  </si>
  <si>
    <t>Boiler 2 Fab 4-2 NG</t>
  </si>
  <si>
    <t>Boiler 3 Fab 4-2 NG</t>
  </si>
  <si>
    <t>Boiler 1 Fab 4-1 Diesel</t>
  </si>
  <si>
    <t>Diesel dual fire mode</t>
  </si>
  <si>
    <t>Assumed maximum unit fuel input of 91.75 gal/hr. Assumed PTE of 24 hours per year and 8 hours per day maximum.</t>
  </si>
  <si>
    <t>Boiler 2 Fab 4-1 Diesel</t>
  </si>
  <si>
    <t>Boiler 3 Fab 4-1 Diesel</t>
  </si>
  <si>
    <t>Boiler 1 Fab 4-2 Diesel</t>
  </si>
  <si>
    <t>Assumed maximum unit fuel input of 213.77 gal/hr. Assumed PTE of 24 hours per year and 8 hours per day maximum.</t>
  </si>
  <si>
    <t>Boiler 2 Fab 4-2 Diesel</t>
  </si>
  <si>
    <t>Boiler 3 Fab 4-2 Diesel</t>
  </si>
  <si>
    <t>Boiler 4 Fab 4-1 Diesel</t>
  </si>
  <si>
    <t>Assumed maximum unit fuel input of 63.55 gal/hr. Assumed PTE of 24 hours per year and 8 hours per day maximum.</t>
  </si>
  <si>
    <t>Boiler 5 Fab 4-1 Diesel</t>
  </si>
  <si>
    <t>RCTO 1 Natural Gas</t>
  </si>
  <si>
    <t>Natural gas</t>
  </si>
  <si>
    <t xml:space="preserve">Based on burner capacity and assumed continuous operation. </t>
  </si>
  <si>
    <t xml:space="preserve">RCTOs were commissioned in the calendar year. Assumed all natural gas through old and new RCTOs is represented as single RCTO. Assumed daily maximum is annual total divided by 365. </t>
  </si>
  <si>
    <t>RCTO 2 Natural Gas</t>
  </si>
  <si>
    <t>RCTO 3 Natural Gas</t>
  </si>
  <si>
    <t>50:1 BOE Use (NH3 Emissions)</t>
  </si>
  <si>
    <t>Buffered Oxide Etchant (50:1)</t>
  </si>
  <si>
    <t>Wet Scrubber</t>
  </si>
  <si>
    <t>lbs</t>
  </si>
  <si>
    <t>Material Used</t>
  </si>
  <si>
    <t>7:1 BOE Use (NH3 Emissions)</t>
  </si>
  <si>
    <t>Buffered Oxide Etchant (7:1)</t>
  </si>
  <si>
    <t>50:1 BOE Use (HF Emissions)</t>
  </si>
  <si>
    <t>7:1 BOE Use (HF Emissions)</t>
  </si>
  <si>
    <t>Ammonia Use</t>
  </si>
  <si>
    <t>CVD / Diffusion</t>
  </si>
  <si>
    <t>Isopropanol - Bottles</t>
  </si>
  <si>
    <t>Cleaning</t>
  </si>
  <si>
    <t>Isopropanol - Process</t>
  </si>
  <si>
    <t>Process Use</t>
  </si>
  <si>
    <t>RCTO</t>
  </si>
  <si>
    <t>Isopropanol - Wipe Cleaning</t>
  </si>
  <si>
    <t>Wipe cleaning only</t>
  </si>
  <si>
    <t>Nitric Acid Use (Process 1)</t>
  </si>
  <si>
    <t>Heated wet etch</t>
  </si>
  <si>
    <t>Nitric Acid Use (Process 2)</t>
  </si>
  <si>
    <t>Un-heated wet etch</t>
  </si>
  <si>
    <t>Phosphoric Acid Use</t>
  </si>
  <si>
    <t>Wet etch baths</t>
  </si>
  <si>
    <t>Silver Nitrate Use</t>
  </si>
  <si>
    <t>Lab reagent</t>
  </si>
  <si>
    <t>Sodium Hydroxide Wk Sol'n Use</t>
  </si>
  <si>
    <t>Sulfuric Acid Use</t>
  </si>
  <si>
    <t>Misc processes/facilities</t>
  </si>
  <si>
    <t>Boron Trichloride Use</t>
  </si>
  <si>
    <t>Etch</t>
  </si>
  <si>
    <t>Silane Use</t>
  </si>
  <si>
    <t>CVD</t>
  </si>
  <si>
    <t>Dichlorosilane</t>
  </si>
  <si>
    <t>Phosphine Use (Process 1)</t>
  </si>
  <si>
    <t>Ion Implant</t>
  </si>
  <si>
    <t>Phosphine Use (Process 2)</t>
  </si>
  <si>
    <t>Atmospheric CVD</t>
  </si>
  <si>
    <t>Phosphine Use (Process 3)</t>
  </si>
  <si>
    <t>Non-atmospheric CVD</t>
  </si>
  <si>
    <t>HMDS Oxidation in RCTO</t>
  </si>
  <si>
    <t>Photolithography</t>
  </si>
  <si>
    <t>DEATS Oxidation in RCTO</t>
  </si>
  <si>
    <t>HCl Storage Tank</t>
  </si>
  <si>
    <t>Facilities</t>
  </si>
  <si>
    <t>gallons</t>
  </si>
  <si>
    <t>Cresols Use</t>
  </si>
  <si>
    <t>Organic Liquid for Photo or Cleaning</t>
  </si>
  <si>
    <t>M-Cresol Use</t>
  </si>
  <si>
    <t>1,4-Dioxane Use</t>
  </si>
  <si>
    <t>n-Butyl Alcohol Use</t>
  </si>
  <si>
    <t>Ethylene Glycol Use</t>
  </si>
  <si>
    <t>Hydrochloric Acid Use</t>
  </si>
  <si>
    <t>Hydrofluoric Acid Wk Soln Use</t>
  </si>
  <si>
    <t>Hydrofluoric Acid 49% Soln Use</t>
  </si>
  <si>
    <t>Methanol Use</t>
  </si>
  <si>
    <t>Arsine Use</t>
  </si>
  <si>
    <t>Chlorine Use</t>
  </si>
  <si>
    <t>Etch gas</t>
  </si>
  <si>
    <t>Boron Trifluoride Use</t>
  </si>
  <si>
    <t>Difluoromethane Use</t>
  </si>
  <si>
    <t>Fluorine Use</t>
  </si>
  <si>
    <t>Germanium Tetrafluoride Use</t>
  </si>
  <si>
    <t>Hexafluoroethane Use</t>
  </si>
  <si>
    <t>CVD/Etch gas</t>
  </si>
  <si>
    <t>Hexafluoroethane Use - HF Byproduct from C2F6 combustion in POU abatement devices</t>
  </si>
  <si>
    <t>Hexafluoroethane Use - HF Byproduct from CF4 combustion in POU abatement devices</t>
  </si>
  <si>
    <t>Nitrogen Trifluoride Use (Process 1)</t>
  </si>
  <si>
    <t>CVD In-situ Plasma Clean</t>
  </si>
  <si>
    <t>Nitrogen Trifluoride Use (Process 1) - HF Byproduct from NF3 combustion in POU abatement devices in process 1</t>
  </si>
  <si>
    <t>Nitrogen Trifluoride Use (Process 1) - HF Byproduct from CF4 combustion in POU abatement devices in process 1</t>
  </si>
  <si>
    <t>Nitrogen Trifluoride Use (Process 2)</t>
  </si>
  <si>
    <t>CVD Remote Plasma Clean</t>
  </si>
  <si>
    <t>Nitrogen Trifluoride Use (Process 2) - HF Byproduct from NF3 combustion in POU abatement devices in process 2</t>
  </si>
  <si>
    <t>Nitrogen Trifluoride Use (Process 2) - HF Byproduct from CF4 combustion in POU abatement devices in process 2</t>
  </si>
  <si>
    <t>Octafluorocyclobutane Use</t>
  </si>
  <si>
    <t>Octafluorocyclopentene Use</t>
  </si>
  <si>
    <t>Octafluoropropane Use</t>
  </si>
  <si>
    <t>Octafluoropropane Use - HF Byproduct from C3F8 combustion in POU abatement devices</t>
  </si>
  <si>
    <t>Octafluoropropane Use - HF Byproduct from CF4 combustion in POU abatement devices</t>
  </si>
  <si>
    <t>Sulfur Hexafluoride Use</t>
  </si>
  <si>
    <t>Tetrafluoromethane (CF4) (Process 1)</t>
  </si>
  <si>
    <t>Tetrafluoromethane (CF4) (Process 1) - HF Byproduct from CF4 combustion in POU abatement devices</t>
  </si>
  <si>
    <t>Tetrafluoromethane (CF4) (Process 2)</t>
  </si>
  <si>
    <t>Etch/Wafer Clean</t>
  </si>
  <si>
    <t>Trifluoromethane</t>
  </si>
  <si>
    <t>Tungsten Hexafluoride</t>
  </si>
  <si>
    <t>Hydrogen Chloride Gas Use</t>
  </si>
  <si>
    <t>Diffusion</t>
  </si>
  <si>
    <t>Hydrogen Bromide Use</t>
  </si>
  <si>
    <t>1-Methoxy-2-propanol (PGME) Use</t>
  </si>
  <si>
    <t>2-(1-Methoxy)propyl acetate (PGMEA) Use</t>
  </si>
  <si>
    <t>3-Amino-1,2,4 Triazole Use</t>
  </si>
  <si>
    <t>CMP</t>
  </si>
  <si>
    <t>Acetone Use</t>
  </si>
  <si>
    <t>Phosphorus Oxychloride Use</t>
  </si>
  <si>
    <t>Pyrocatechol Use</t>
  </si>
  <si>
    <t>Silicon Dioxide Use</t>
  </si>
  <si>
    <t>Acid/Base Chemical Use</t>
  </si>
  <si>
    <t>Silicon Tetrafluoride Use</t>
  </si>
  <si>
    <t>HF Emissions</t>
  </si>
  <si>
    <t>HF lbs Emitted</t>
  </si>
  <si>
    <t>Ammonium Hydroxide Use</t>
  </si>
  <si>
    <t>Aluminum Use Target/Anode Usage</t>
  </si>
  <si>
    <t>Target/Anode Usage</t>
  </si>
  <si>
    <t>Cadmium Use Target/Anode Usage</t>
  </si>
  <si>
    <t>Chlorine Use Target/Anode Usage</t>
  </si>
  <si>
    <t>Copper Use Target/Anode Usage</t>
  </si>
  <si>
    <t>Manganese Use Target/Anode Usage</t>
  </si>
  <si>
    <t>Nickel Use Target/Anode Usage</t>
  </si>
  <si>
    <t>Lead Use Target/Anode Usage</t>
  </si>
  <si>
    <t>Vanadium Use Target/Anode Usage</t>
  </si>
  <si>
    <t>Antimony Use Target/Anode Usage</t>
  </si>
  <si>
    <t>Cobalt Use Target/Anode Usage</t>
  </si>
  <si>
    <t>Arsenic Use Target/Anode Usage</t>
  </si>
  <si>
    <t>Uranium Use Target/Anode Usage</t>
  </si>
  <si>
    <t>TMPI Use</t>
  </si>
  <si>
    <t>pH 7 Buffer solution-Yellow 4L</t>
  </si>
  <si>
    <t>Buffer Solution</t>
  </si>
  <si>
    <t xml:space="preserve">pH 10 Buffer solution-Blue 4L </t>
  </si>
  <si>
    <t>Emissions
Unit ID</t>
  </si>
  <si>
    <t>Pollutant Information</t>
  </si>
  <si>
    <t>Emission Factor Information</t>
  </si>
  <si>
    <t>Calculated Annual Emissions [lb/yr]</t>
  </si>
  <si>
    <t>Long Term Emission Rate (g/s)</t>
  </si>
  <si>
    <t>Calculated Daily Emissions [lb/day]</t>
  </si>
  <si>
    <t>Short Term Emission Rate (g/s)</t>
  </si>
  <si>
    <t>CAS or DEQ ID</t>
  </si>
  <si>
    <t>Pollutant Name</t>
  </si>
  <si>
    <t>Controlled EF?</t>
  </si>
  <si>
    <t>Control 
Efficiency</t>
  </si>
  <si>
    <t>EF Values</t>
  </si>
  <si>
    <t>Units</t>
  </si>
  <si>
    <t>EF Reference/Notes</t>
  </si>
  <si>
    <t>61-82-5</t>
  </si>
  <si>
    <t>Amitrole</t>
  </si>
  <si>
    <t>N</t>
  </si>
  <si>
    <t>lb/ton</t>
  </si>
  <si>
    <t>Manufacturer estimate</t>
  </si>
  <si>
    <t>a</t>
  </si>
  <si>
    <t>7440-38-2</t>
  </si>
  <si>
    <t>Arsenic and compounds</t>
  </si>
  <si>
    <t>The control efficiency does not apply to this pollutant</t>
  </si>
  <si>
    <t>71-43-2</t>
  </si>
  <si>
    <t>Benzene</t>
  </si>
  <si>
    <t>lb/MMSCF</t>
  </si>
  <si>
    <t>CAO NG Ext.Comb. (b)</t>
  </si>
  <si>
    <t>CAS</t>
  </si>
  <si>
    <t>PollutantName</t>
  </si>
  <si>
    <t>ControlledEF</t>
  </si>
  <si>
    <t>ControlEfficiency</t>
  </si>
  <si>
    <t>EFValue</t>
  </si>
  <si>
    <t>Notes</t>
  </si>
  <si>
    <t>lb/M gal</t>
  </si>
  <si>
    <t>CAO Diesel RICE (a) adjusted for 13 cold starts annually and 1 cold start per day</t>
  </si>
  <si>
    <t>106-99-0</t>
  </si>
  <si>
    <t>1,3-Butadiene</t>
  </si>
  <si>
    <t>7440-43-9</t>
  </si>
  <si>
    <t>Cadmium and compounds</t>
  </si>
  <si>
    <t>50-00-0</t>
  </si>
  <si>
    <t>Formaldehyde</t>
  </si>
  <si>
    <t>18540-29-9</t>
  </si>
  <si>
    <t>Chromium VI, chromate and dichromate particulate</t>
  </si>
  <si>
    <t>7439-92-1</t>
  </si>
  <si>
    <t>Lead and compounds</t>
  </si>
  <si>
    <t>Nickel compounds, insoluble</t>
  </si>
  <si>
    <t>91-20-3</t>
  </si>
  <si>
    <t>Naphthalene</t>
  </si>
  <si>
    <t>Polycyclic aromatic hydrocarbons (PAHs)</t>
  </si>
  <si>
    <t>75-07-0</t>
  </si>
  <si>
    <t>Acetaldehyde</t>
  </si>
  <si>
    <t>107-02-8</t>
  </si>
  <si>
    <t>Acrolein</t>
  </si>
  <si>
    <t>7664-41-7</t>
  </si>
  <si>
    <t>Ammonia</t>
  </si>
  <si>
    <t>7440-50-8</t>
  </si>
  <si>
    <t>Copper and compounds</t>
  </si>
  <si>
    <t>100-41-4</t>
  </si>
  <si>
    <t>Ethyl benzene</t>
  </si>
  <si>
    <t>110-54-3</t>
  </si>
  <si>
    <t>Hexane</t>
  </si>
  <si>
    <t>7647-01-0</t>
  </si>
  <si>
    <t>Hydrochloric acid</t>
  </si>
  <si>
    <t>7439-96-5</t>
  </si>
  <si>
    <t>Manganese and compounds</t>
  </si>
  <si>
    <t>7439-97-6</t>
  </si>
  <si>
    <t>Mercury and compounds</t>
  </si>
  <si>
    <t>7782-49-2</t>
  </si>
  <si>
    <t>Selenium and compounds</t>
  </si>
  <si>
    <t>108-88-3</t>
  </si>
  <si>
    <t>Toluene</t>
  </si>
  <si>
    <t>1330-20-7</t>
  </si>
  <si>
    <t>Xylene (mixture), including m-xylene, o-xylene, p-xylene</t>
  </si>
  <si>
    <t>Diesel particulate matter</t>
  </si>
  <si>
    <t>CAO NG Ext. Comb. (b)</t>
  </si>
  <si>
    <t>50-32-8</t>
  </si>
  <si>
    <t>Benzo[a]pyrene</t>
  </si>
  <si>
    <t>7440-39-3</t>
  </si>
  <si>
    <t>Barium and compounds</t>
  </si>
  <si>
    <t>7440-41-7</t>
  </si>
  <si>
    <t>Beryllium and compounds</t>
  </si>
  <si>
    <t>7440-48-4</t>
  </si>
  <si>
    <t>Cobalt and compounds</t>
  </si>
  <si>
    <t>1313-27-5</t>
  </si>
  <si>
    <t>Molybdenum trioxide</t>
  </si>
  <si>
    <t>7440-62-2</t>
  </si>
  <si>
    <t>Vanadium (fume or dust)</t>
  </si>
  <si>
    <t>7440-66-6</t>
  </si>
  <si>
    <t>Zinc and compounds</t>
  </si>
  <si>
    <t>SCAQMD AB2588 B-2 External</t>
  </si>
  <si>
    <t>CAO NG Ext. Comb. (a)</t>
  </si>
  <si>
    <t>lb/lb used</t>
  </si>
  <si>
    <t>Proprietary emission factor</t>
  </si>
  <si>
    <t>Acid</t>
  </si>
  <si>
    <t>7664-39-3</t>
  </si>
  <si>
    <t>Hydrofluoric acid</t>
  </si>
  <si>
    <t>67-63-0</t>
  </si>
  <si>
    <t>Isopropyl alcohol</t>
  </si>
  <si>
    <t>Assumes all evaporates</t>
  </si>
  <si>
    <t>7697-37-2</t>
  </si>
  <si>
    <t>Nitric Acid</t>
  </si>
  <si>
    <t>7664-38-2</t>
  </si>
  <si>
    <t>Phosphoric acid</t>
  </si>
  <si>
    <t>7440-22-4</t>
  </si>
  <si>
    <t>Silver nitrate</t>
  </si>
  <si>
    <t>1310-73-2</t>
  </si>
  <si>
    <t>Sodium hydroxide</t>
  </si>
  <si>
    <t>7664-93-9</t>
  </si>
  <si>
    <t>Sulfuric acid</t>
  </si>
  <si>
    <t>7429-90-5</t>
  </si>
  <si>
    <t>Aluminum and compounds</t>
  </si>
  <si>
    <t>7631-86-9</t>
  </si>
  <si>
    <t>Silicon dioxide</t>
  </si>
  <si>
    <t>7803-51-2</t>
  </si>
  <si>
    <t>Phosphine</t>
  </si>
  <si>
    <t>1314-56-3</t>
  </si>
  <si>
    <t>Phosphorus Pentoxide</t>
  </si>
  <si>
    <t>lb/gal used</t>
  </si>
  <si>
    <t>1319-77-3</t>
  </si>
  <si>
    <t>Cresol</t>
  </si>
  <si>
    <t>108-39-4</t>
  </si>
  <si>
    <t>M-cresol</t>
  </si>
  <si>
    <t>123-91-1</t>
  </si>
  <si>
    <t>1,4-Dioxane</t>
  </si>
  <si>
    <t>71-36-3</t>
  </si>
  <si>
    <t>n-Butyl alcohol</t>
  </si>
  <si>
    <t>107-21-1</t>
  </si>
  <si>
    <t>Ethylene glycol</t>
  </si>
  <si>
    <t>67-56-1</t>
  </si>
  <si>
    <t>Methanol</t>
  </si>
  <si>
    <t>7784-42-1</t>
  </si>
  <si>
    <t>Arsine</t>
  </si>
  <si>
    <t>7782-50-5</t>
  </si>
  <si>
    <t>Chlorine</t>
  </si>
  <si>
    <t>7782-41-4</t>
  </si>
  <si>
    <t>Fluorine</t>
  </si>
  <si>
    <t>10035-10-6</t>
  </si>
  <si>
    <t>Hydrogen bromide</t>
  </si>
  <si>
    <t>107-98-2</t>
  </si>
  <si>
    <t>1-Methoxy-2-propanol (PGME)</t>
  </si>
  <si>
    <t>108-65-6</t>
  </si>
  <si>
    <t>2-(1-Methoxy)propyl acetate (PGMEA)</t>
  </si>
  <si>
    <t>3-Amino-1,2,4 Triazole</t>
  </si>
  <si>
    <t>67-64-1</t>
  </si>
  <si>
    <t>Acetone</t>
  </si>
  <si>
    <t>120-80-9</t>
  </si>
  <si>
    <t>Pyrocatechol</t>
  </si>
  <si>
    <t>lb/lb HF emitted</t>
  </si>
  <si>
    <t>Source Test</t>
  </si>
  <si>
    <t>Aluminum</t>
  </si>
  <si>
    <t>Cadmium</t>
  </si>
  <si>
    <t>Copper</t>
  </si>
  <si>
    <t>Manganese</t>
  </si>
  <si>
    <t>Nickel</t>
  </si>
  <si>
    <t>Lead</t>
  </si>
  <si>
    <t>Vanadium</t>
  </si>
  <si>
    <t>7440-36-0</t>
  </si>
  <si>
    <t>Antimony</t>
  </si>
  <si>
    <t>Cobalt</t>
  </si>
  <si>
    <t>Arsenic</t>
  </si>
  <si>
    <t>7440-61-1</t>
  </si>
  <si>
    <t>Uranium</t>
  </si>
  <si>
    <t>Sodium Hydroxide</t>
  </si>
  <si>
    <t>Acrylic acid</t>
  </si>
  <si>
    <t>79-10-7</t>
  </si>
  <si>
    <t>Phosphorus pentoxide</t>
  </si>
  <si>
    <t/>
  </si>
  <si>
    <t>60-35-5</t>
  </si>
  <si>
    <t>Acetamide</t>
  </si>
  <si>
    <t>75-05-8</t>
  </si>
  <si>
    <t>Acetonitrile</t>
  </si>
  <si>
    <t>79-06-1</t>
  </si>
  <si>
    <t>Acrylamide</t>
  </si>
  <si>
    <t>107-13-1</t>
  </si>
  <si>
    <t>Acrylonitrile</t>
  </si>
  <si>
    <t>309-00-2</t>
  </si>
  <si>
    <t>Aldrin</t>
  </si>
  <si>
    <t>107-05-1</t>
  </si>
  <si>
    <t>Allyl chloride</t>
  </si>
  <si>
    <t>62-53-3</t>
  </si>
  <si>
    <t>Aniline</t>
  </si>
  <si>
    <t>Antimony and compounds</t>
  </si>
  <si>
    <t>140-57-8</t>
  </si>
  <si>
    <t>Aramite</t>
  </si>
  <si>
    <t>1332-21-4</t>
  </si>
  <si>
    <t>Asbestos</t>
  </si>
  <si>
    <t>103-33-3</t>
  </si>
  <si>
    <t>Azobenzene</t>
  </si>
  <si>
    <t>92-87-5</t>
  </si>
  <si>
    <t>Benzidine (and its salts)</t>
  </si>
  <si>
    <t>100-44-7</t>
  </si>
  <si>
    <t>Benzyl chloride</t>
  </si>
  <si>
    <t>111-44-4</t>
  </si>
  <si>
    <t>542-88-1</t>
  </si>
  <si>
    <t>117-81-7</t>
  </si>
  <si>
    <t>75-25-2</t>
  </si>
  <si>
    <t>Bromoform</t>
  </si>
  <si>
    <t>74-83-9</t>
  </si>
  <si>
    <t>106-94-5</t>
  </si>
  <si>
    <t>78-93-3</t>
  </si>
  <si>
    <t>78-92-2</t>
  </si>
  <si>
    <t>105-60-2</t>
  </si>
  <si>
    <t>Caprolactam</t>
  </si>
  <si>
    <t>75-15-0</t>
  </si>
  <si>
    <t>Carbon disulfide</t>
  </si>
  <si>
    <t>56-23-5</t>
  </si>
  <si>
    <t>Carbon tetrachloride</t>
  </si>
  <si>
    <t>463-58-1</t>
  </si>
  <si>
    <t>Carbonyl sulfide</t>
  </si>
  <si>
    <t>57-74-9</t>
  </si>
  <si>
    <t>Chlordane</t>
  </si>
  <si>
    <t>108171-26-2</t>
  </si>
  <si>
    <t>Chlorinated paraffins</t>
  </si>
  <si>
    <t>10049-04-4</t>
  </si>
  <si>
    <t>Chlorine dioxide</t>
  </si>
  <si>
    <t>532-27-4</t>
  </si>
  <si>
    <t>2-Chloroacetophenone</t>
  </si>
  <si>
    <t>108-90-7</t>
  </si>
  <si>
    <t>Chlorobenzene</t>
  </si>
  <si>
    <t>75-68-3</t>
  </si>
  <si>
    <t>1-Chloro-1,1-difluoroethane</t>
  </si>
  <si>
    <t>75-45-6</t>
  </si>
  <si>
    <t>Chlorodifluoromethane (Freon 22)</t>
  </si>
  <si>
    <t>75-00-3</t>
  </si>
  <si>
    <t>67-66-3</t>
  </si>
  <si>
    <t>Chloroform</t>
  </si>
  <si>
    <t>74-87-3</t>
  </si>
  <si>
    <t>95-83-0</t>
  </si>
  <si>
    <t>76-06-2</t>
  </si>
  <si>
    <t>Chloropicrin</t>
  </si>
  <si>
    <t>126-99-8</t>
  </si>
  <si>
    <t>Chloroprene</t>
  </si>
  <si>
    <t>95-69-2</t>
  </si>
  <si>
    <t>7738-94-5</t>
  </si>
  <si>
    <t>120-71-8</t>
  </si>
  <si>
    <t>m-Cresol</t>
  </si>
  <si>
    <t>135-20-6</t>
  </si>
  <si>
    <t>Cupferron</t>
  </si>
  <si>
    <t>74-90-8</t>
  </si>
  <si>
    <t>110-82-7</t>
  </si>
  <si>
    <t>Cyclohexane</t>
  </si>
  <si>
    <t>50-29-3</t>
  </si>
  <si>
    <t>DDT</t>
  </si>
  <si>
    <t>615-05-4</t>
  </si>
  <si>
    <t>2,4-Diaminoanisole</t>
  </si>
  <si>
    <t>95-80-7</t>
  </si>
  <si>
    <t>333-41-5</t>
  </si>
  <si>
    <t>Diazinon</t>
  </si>
  <si>
    <t>96-12-8</t>
  </si>
  <si>
    <t>106-46-7</t>
  </si>
  <si>
    <t>91-94-1</t>
  </si>
  <si>
    <t>3,3'-Dichlorobenzidine</t>
  </si>
  <si>
    <t>75-34-3</t>
  </si>
  <si>
    <t>156-60-5</t>
  </si>
  <si>
    <t>75-09-2</t>
  </si>
  <si>
    <t>78-87-5</t>
  </si>
  <si>
    <t>542-75-6</t>
  </si>
  <si>
    <t>1,3-Dichloropropene</t>
  </si>
  <si>
    <t>62-73-7</t>
  </si>
  <si>
    <t>60-57-1</t>
  </si>
  <si>
    <t>Dieldrin</t>
  </si>
  <si>
    <t>111-42-2</t>
  </si>
  <si>
    <t>Diethanolamine</t>
  </si>
  <si>
    <t>112-34-5</t>
  </si>
  <si>
    <t>Diethylene glycol monobutyl ether</t>
  </si>
  <si>
    <t>111-90-0</t>
  </si>
  <si>
    <t>Diethylene glycol monoethyl ether</t>
  </si>
  <si>
    <t>75-37-6</t>
  </si>
  <si>
    <t>1,1-Difluoroethane</t>
  </si>
  <si>
    <t>60-11-7</t>
  </si>
  <si>
    <t>4-Dimethylaminoazobenzene</t>
  </si>
  <si>
    <t>68-12-2</t>
  </si>
  <si>
    <t>Dimethyl formamide</t>
  </si>
  <si>
    <t>57-14-7</t>
  </si>
  <si>
    <t>1,1-Dimethylhydrazine</t>
  </si>
  <si>
    <t>121-14-2</t>
  </si>
  <si>
    <t>2,4-Dinitrotoluene</t>
  </si>
  <si>
    <t>122-66-7</t>
  </si>
  <si>
    <t>1937-37-7</t>
  </si>
  <si>
    <t>Direct Black 38</t>
  </si>
  <si>
    <t>2602-46-2</t>
  </si>
  <si>
    <t>Direct Blue 6</t>
  </si>
  <si>
    <t>16071-86-6</t>
  </si>
  <si>
    <t>Direct Brown 95 (technical grade)</t>
  </si>
  <si>
    <t>298-04-4</t>
  </si>
  <si>
    <t>Disulfoton</t>
  </si>
  <si>
    <t>106-89-8</t>
  </si>
  <si>
    <t>Epichlorohydrin</t>
  </si>
  <si>
    <t>106-88-7</t>
  </si>
  <si>
    <t>1,2-Epoxybutane</t>
  </si>
  <si>
    <t>140-88-5</t>
  </si>
  <si>
    <t>Ethyl acrylate</t>
  </si>
  <si>
    <t>106-93-4</t>
  </si>
  <si>
    <t>107-06-2</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</si>
  <si>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</si>
  <si>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</si>
  <si>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</si>
  <si>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</si>
  <si>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</si>
  <si>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</si>
  <si>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</si>
  <si>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</si>
  <si>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</si>
  <si>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</si>
  <si>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75-21-8</t>
  </si>
  <si>
    <t>Ethylene oxide</t>
  </si>
  <si>
    <t>96-45-7</t>
  </si>
  <si>
    <t>Ethylene thiourea</t>
  </si>
  <si>
    <t>Fluorine gas</t>
  </si>
  <si>
    <t>111-30-8</t>
  </si>
  <si>
    <t>Glutaraldehyde</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</si>
  <si>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</si>
  <si>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</si>
  <si>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</si>
  <si>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</si>
  <si>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</si>
  <si>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</si>
  <si>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</si>
  <si>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</si>
  <si>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</si>
  <si>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</si>
  <si>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</si>
  <si>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</si>
  <si>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</si>
  <si>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</si>
  <si>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</si>
  <si>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</si>
  <si>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</si>
  <si>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822-06-0</t>
  </si>
  <si>
    <t>302-01-2</t>
  </si>
  <si>
    <t>Hydrazine</t>
  </si>
  <si>
    <t>Hydrogen fluoride</t>
  </si>
  <si>
    <t>7783-06-4</t>
  </si>
  <si>
    <t>Hydrogen sulfide</t>
  </si>
  <si>
    <t>78-59-1</t>
  </si>
  <si>
    <t>Isophorone</t>
  </si>
  <si>
    <t>98-82-8</t>
  </si>
  <si>
    <t>108-31-6</t>
  </si>
  <si>
    <t>Maleic anhydride</t>
  </si>
  <si>
    <t>101-14-4</t>
  </si>
  <si>
    <t>101-77-9</t>
  </si>
  <si>
    <t>4,4'-Methylenedianiline (and its dichloride)</t>
  </si>
  <si>
    <t>101-68-8</t>
  </si>
  <si>
    <t>Methylene diphenyl diisocyanate (MDI)</t>
  </si>
  <si>
    <t>108-10-1</t>
  </si>
  <si>
    <t>624-83-9</t>
  </si>
  <si>
    <t>Methyl isocyanate</t>
  </si>
  <si>
    <t>80-62-6</t>
  </si>
  <si>
    <t>Methyl methacrylate</t>
  </si>
  <si>
    <t>1634-04-4</t>
  </si>
  <si>
    <t>90-94-8</t>
  </si>
  <si>
    <t>Michler's ketone</t>
  </si>
  <si>
    <t>7440-02-0</t>
  </si>
  <si>
    <t>Nickel compounds, soluble</t>
  </si>
  <si>
    <t>Nitric acid</t>
  </si>
  <si>
    <t>98-95-3</t>
  </si>
  <si>
    <t>Nitrobenzene</t>
  </si>
  <si>
    <t>79-46-9</t>
  </si>
  <si>
    <t>2-Nitropropane</t>
  </si>
  <si>
    <t>924-16-3</t>
  </si>
  <si>
    <t>55-18-5</t>
  </si>
  <si>
    <t>62-75-9</t>
  </si>
  <si>
    <t>86-30-6</t>
  </si>
  <si>
    <t>156-10-5</t>
  </si>
  <si>
    <t>621-64-7</t>
  </si>
  <si>
    <t>10595-95-6</t>
  </si>
  <si>
    <t>59-89-2</t>
  </si>
  <si>
    <t>100-75-4</t>
  </si>
  <si>
    <t>930-55-2</t>
  </si>
  <si>
    <t>8014-95-7</t>
  </si>
  <si>
    <t>Oleum (fuming sulfuric acid)</t>
  </si>
  <si>
    <t>56-38-2</t>
  </si>
  <si>
    <t>Parathion</t>
  </si>
  <si>
    <t>87-86-5</t>
  </si>
  <si>
    <t>Pentachlorophenol</t>
  </si>
  <si>
    <t>108-95-2</t>
  </si>
  <si>
    <t>Phenol</t>
  </si>
  <si>
    <t>75-44-5</t>
  </si>
  <si>
    <t>Phosgene</t>
  </si>
  <si>
    <t>12185-10-3</t>
  </si>
  <si>
    <t>Phosphorus, white</t>
  </si>
  <si>
    <t>85-44-9</t>
  </si>
  <si>
    <t>Phthalic anhydride</t>
  </si>
  <si>
    <t>Polybrominated diphenyl ethers (PBDEs)</t>
  </si>
  <si>
    <t>1336-36-3</t>
  </si>
  <si>
    <t>Polychlorinated biphenyls (PCBs)</t>
  </si>
  <si>
    <t>Polychlorinated biphenyls (PCBs) TEQ</t>
  </si>
  <si>
    <t>32598-13-3</t>
  </si>
  <si>
    <t>70362-50-4</t>
  </si>
  <si>
    <t>32598-14-4</t>
  </si>
  <si>
    <t>74472-37-0</t>
  </si>
  <si>
    <t>31508-00-6</t>
  </si>
  <si>
    <t>65510-44-3</t>
  </si>
  <si>
    <t>57465-28-8</t>
  </si>
  <si>
    <t>38380-08-4</t>
  </si>
  <si>
    <t>69782-90-7</t>
  </si>
  <si>
    <t>52663-72-6</t>
  </si>
  <si>
    <t>32774-16-6</t>
  </si>
  <si>
    <t>39635-31-9</t>
  </si>
  <si>
    <t>1746-01-6</t>
  </si>
  <si>
    <t>40321-76-4</t>
  </si>
  <si>
    <t>39227-28-6</t>
  </si>
  <si>
    <t>57653-85-7</t>
  </si>
  <si>
    <t>19408-74-3</t>
  </si>
  <si>
    <t>35822-46-9</t>
  </si>
  <si>
    <t>3268-87-9</t>
  </si>
  <si>
    <t>51207-31-9</t>
  </si>
  <si>
    <t>57117-41-6</t>
  </si>
  <si>
    <t>57117-31-4</t>
  </si>
  <si>
    <t>70648-26-9</t>
  </si>
  <si>
    <t>57117-44-9</t>
  </si>
  <si>
    <t>72918-21-9</t>
  </si>
  <si>
    <t>60851-34-5</t>
  </si>
  <si>
    <t>67562-39-4</t>
  </si>
  <si>
    <t>55673-89-7</t>
  </si>
  <si>
    <t>39001-02-0</t>
  </si>
  <si>
    <t>Octachlorodibenzofuran (OCDF)</t>
  </si>
  <si>
    <t>191-26-4</t>
  </si>
  <si>
    <t>Anthanthrene</t>
  </si>
  <si>
    <t>56-55-3</t>
  </si>
  <si>
    <t>Benz[a]anthracene</t>
  </si>
  <si>
    <t>205-99-2</t>
  </si>
  <si>
    <t>Benzo[b]fluoranthene</t>
  </si>
  <si>
    <t>205-12-9</t>
  </si>
  <si>
    <t>Benzo[c]fluorene</t>
  </si>
  <si>
    <t>191-24-2</t>
  </si>
  <si>
    <t>Benzo[g,h,i]perylene</t>
  </si>
  <si>
    <t>205-82-3</t>
  </si>
  <si>
    <t>Benzo[j]fluoranthene</t>
  </si>
  <si>
    <t>207-08-9</t>
  </si>
  <si>
    <t>Benzo[k]fluoranthene</t>
  </si>
  <si>
    <t>218-01-9</t>
  </si>
  <si>
    <t>Chrysene</t>
  </si>
  <si>
    <t>27208-37-3</t>
  </si>
  <si>
    <t>Cyclopenta[c,d]pyrene</t>
  </si>
  <si>
    <t>53-70-3</t>
  </si>
  <si>
    <t>Dibenz[a,h]anthracene</t>
  </si>
  <si>
    <t>192-65-4</t>
  </si>
  <si>
    <t>Dibenzo[a,e]pyrene</t>
  </si>
  <si>
    <t>189-64-0</t>
  </si>
  <si>
    <t>Dibenzo[a,h]pyrene</t>
  </si>
  <si>
    <t>189-55-9</t>
  </si>
  <si>
    <t>Dibenzo[a,i]pyrene</t>
  </si>
  <si>
    <t>191-30-0</t>
  </si>
  <si>
    <t>Dibenzo[a,l]pyrene</t>
  </si>
  <si>
    <t>206-44-0</t>
  </si>
  <si>
    <t>Fluoranthene</t>
  </si>
  <si>
    <t>193-39-5</t>
  </si>
  <si>
    <t>Indeno[1,2,3-cd]pyrene</t>
  </si>
  <si>
    <t>3697-24-3</t>
  </si>
  <si>
    <t>5-Methylchrysene</t>
  </si>
  <si>
    <t>7496-02-8</t>
  </si>
  <si>
    <t>6-Nitrochrysene</t>
  </si>
  <si>
    <t>7758-01-2</t>
  </si>
  <si>
    <t>Potassium bromate</t>
  </si>
  <si>
    <t>1120-71-4</t>
  </si>
  <si>
    <t>1,3-Propane sultone</t>
  </si>
  <si>
    <t>123-38-6</t>
  </si>
  <si>
    <t>Propionaldehyde</t>
  </si>
  <si>
    <t>115-07-1</t>
  </si>
  <si>
    <t>Propylene</t>
  </si>
  <si>
    <t>6423-43-4</t>
  </si>
  <si>
    <t>Propylene glycol dinitrate</t>
  </si>
  <si>
    <t>Propylene glycol monomethyl ether</t>
  </si>
  <si>
    <t>75-56-9</t>
  </si>
  <si>
    <t>Propylene oxide</t>
  </si>
  <si>
    <t>7783-07-5</t>
  </si>
  <si>
    <t>Selenide, hydrogen</t>
  </si>
  <si>
    <t>Silica, crystalline (respirable)</t>
  </si>
  <si>
    <t>100-42-5</t>
  </si>
  <si>
    <t>Styrene</t>
  </si>
  <si>
    <t>505-60-2</t>
  </si>
  <si>
    <t>Sulfur trioxide</t>
  </si>
  <si>
    <t>630-20-6</t>
  </si>
  <si>
    <t>1,1,1,2-Tetrachloroethane</t>
  </si>
  <si>
    <t>79-34-5</t>
  </si>
  <si>
    <t>1,1,2,2-Tetrachloroethane</t>
  </si>
  <si>
    <t>127-18-4</t>
  </si>
  <si>
    <t>811-97-2</t>
  </si>
  <si>
    <t>1,1,1,2-Tetrafluoroethane</t>
  </si>
  <si>
    <t>62-55-5</t>
  </si>
  <si>
    <t>Thioacetamide</t>
  </si>
  <si>
    <t>7550-45-0</t>
  </si>
  <si>
    <t>Titanium tetrachloride</t>
  </si>
  <si>
    <t>26471-62-5</t>
  </si>
  <si>
    <t>8001-35-2</t>
  </si>
  <si>
    <t>71-55-6</t>
  </si>
  <si>
    <t>79-00-5</t>
  </si>
  <si>
    <t>79-01-6</t>
  </si>
  <si>
    <t>88-06-2</t>
  </si>
  <si>
    <t>2,4,6-Trichlorophenol</t>
  </si>
  <si>
    <t>96-18-4</t>
  </si>
  <si>
    <t>1,2,3-Trichloropropane</t>
  </si>
  <si>
    <t>121-44-8</t>
  </si>
  <si>
    <t>Triethylamine</t>
  </si>
  <si>
    <t>1,2,3-Trimethylbenzene</t>
  </si>
  <si>
    <t>1,2,4-Trimethylbenzene</t>
  </si>
  <si>
    <t>1,3,5-Trimethylbenzene</t>
  </si>
  <si>
    <t>51-79-6</t>
  </si>
  <si>
    <t>Vanadium pentoxide</t>
  </si>
  <si>
    <t>108-05-4</t>
  </si>
  <si>
    <t>Vinyl acetate</t>
  </si>
  <si>
    <t>593-60-2</t>
  </si>
  <si>
    <t>Vinyl bromide</t>
  </si>
  <si>
    <t>75-01-4</t>
  </si>
  <si>
    <t>Vinyl chloride</t>
  </si>
  <si>
    <t>75-35-4</t>
  </si>
  <si>
    <t>Vinylidene chloride</t>
  </si>
  <si>
    <t>Chemical Name</t>
  </si>
  <si>
    <t>01000-063547</t>
  </si>
  <si>
    <t>01000-060017</t>
  </si>
  <si>
    <t>01000-062732</t>
  </si>
  <si>
    <t>01000-060010</t>
  </si>
  <si>
    <t>01000-065355</t>
  </si>
  <si>
    <t>01000-060016</t>
  </si>
  <si>
    <t>01000-060834</t>
  </si>
  <si>
    <t>01000-003989</t>
  </si>
  <si>
    <t>01000-060020</t>
  </si>
  <si>
    <t>01000-004028</t>
  </si>
  <si>
    <t>01000-067957</t>
  </si>
  <si>
    <t>01000-068814</t>
  </si>
  <si>
    <t>01000-060005</t>
  </si>
  <si>
    <t>01000-065552</t>
  </si>
  <si>
    <t>01000-003991</t>
  </si>
  <si>
    <t>01000-062723</t>
  </si>
  <si>
    <t>01000-060644</t>
  </si>
  <si>
    <t>01000-060014</t>
  </si>
  <si>
    <t>01000-067796</t>
  </si>
  <si>
    <t>01000-004349</t>
  </si>
  <si>
    <t>01000-062738</t>
  </si>
  <si>
    <t>01000-060008</t>
  </si>
  <si>
    <t>01000-003480</t>
  </si>
  <si>
    <t>01000-062739</t>
  </si>
  <si>
    <t>01000-065079</t>
  </si>
  <si>
    <t>01000-060018</t>
  </si>
  <si>
    <t>01000-060045</t>
  </si>
  <si>
    <t>01000-004366</t>
  </si>
  <si>
    <t>01000-060006</t>
  </si>
  <si>
    <t>01000-060026</t>
  </si>
  <si>
    <t>01000-001011</t>
  </si>
  <si>
    <t>01000-004441</t>
  </si>
  <si>
    <t>01000-062953</t>
  </si>
  <si>
    <t>01000-066737</t>
  </si>
  <si>
    <t>01000-004584</t>
  </si>
  <si>
    <t>01000-066125</t>
  </si>
  <si>
    <t>01000-068234</t>
  </si>
  <si>
    <t>01000-067138</t>
  </si>
  <si>
    <t>01000-062288</t>
  </si>
  <si>
    <t>01000-064696</t>
  </si>
  <si>
    <t>01000-067403</t>
  </si>
  <si>
    <t>01000-063956</t>
  </si>
  <si>
    <t>01000-065945</t>
  </si>
  <si>
    <t>01000-060037</t>
  </si>
  <si>
    <t>01000-060252</t>
  </si>
  <si>
    <t>01000-060182</t>
  </si>
  <si>
    <t>01000-066368</t>
  </si>
  <si>
    <t>01000-060034</t>
  </si>
  <si>
    <t>01000-062292</t>
  </si>
  <si>
    <t>01000-004635</t>
  </si>
  <si>
    <t>01000-060050</t>
  </si>
  <si>
    <t>01000-065432</t>
  </si>
  <si>
    <t>01000-003597</t>
  </si>
  <si>
    <t>01000-060035</t>
  </si>
  <si>
    <t>01000-062289</t>
  </si>
  <si>
    <t>01000-066555</t>
  </si>
  <si>
    <t>01000-067607</t>
  </si>
  <si>
    <t>01000-067921</t>
  </si>
  <si>
    <t>01000-067635</t>
  </si>
  <si>
    <t>01000-067888</t>
  </si>
  <si>
    <t>01000-068071</t>
  </si>
  <si>
    <t>01000-068229</t>
  </si>
  <si>
    <t>01000-068627</t>
  </si>
  <si>
    <t>01000-065626</t>
  </si>
  <si>
    <t>01000-060040</t>
  </si>
  <si>
    <t>01000-060053</t>
  </si>
  <si>
    <t>01000-066691</t>
  </si>
  <si>
    <t>01000-060039</t>
  </si>
  <si>
    <t>01000-065321</t>
  </si>
  <si>
    <t>70618-064653</t>
  </si>
  <si>
    <t>01000-061476</t>
  </si>
  <si>
    <t>01000-061477</t>
  </si>
  <si>
    <t>01000-062775</t>
  </si>
  <si>
    <t>01000-062678</t>
  </si>
  <si>
    <t>01000-061857</t>
  </si>
  <si>
    <t>01000-061576</t>
  </si>
  <si>
    <t>30311-063801</t>
  </si>
  <si>
    <t>01000-003709</t>
  </si>
  <si>
    <t>Sulfuric Acid 93% - Facilities</t>
  </si>
  <si>
    <t>01000-060055</t>
  </si>
  <si>
    <t>01000-060054</t>
  </si>
  <si>
    <t>01000-068541</t>
  </si>
  <si>
    <t>01000-060224</t>
  </si>
  <si>
    <t>01000-068693</t>
  </si>
  <si>
    <t>01000-060038</t>
  </si>
  <si>
    <t>01000-060042</t>
  </si>
  <si>
    <t>01000-066026</t>
  </si>
  <si>
    <t>01000-063176</t>
  </si>
  <si>
    <t>01000-062676</t>
  </si>
  <si>
    <t>01000-062677</t>
  </si>
  <si>
    <t>01000-061056</t>
  </si>
  <si>
    <t>01000-063666</t>
  </si>
  <si>
    <t>01000-061624</t>
  </si>
  <si>
    <t>01000-063682</t>
  </si>
  <si>
    <t>01000-061479</t>
  </si>
  <si>
    <t>01000-064317</t>
  </si>
  <si>
    <r>
      <t xml:space="preserve">Part Number of Chemical or Precursor </t>
    </r>
    <r>
      <rPr>
        <b/>
        <vertAlign val="superscript"/>
        <sz val="10"/>
        <rFont val="Tahoma"/>
        <family val="2"/>
      </rPr>
      <t>1</t>
    </r>
  </si>
  <si>
    <r>
      <t xml:space="preserve">Usage </t>
    </r>
    <r>
      <rPr>
        <b/>
        <vertAlign val="superscript"/>
        <sz val="10"/>
        <rFont val="Tahoma"/>
        <family val="2"/>
      </rPr>
      <t xml:space="preserve">2
</t>
    </r>
    <r>
      <rPr>
        <b/>
        <sz val="10"/>
        <rFont val="Tahoma"/>
        <family val="2"/>
      </rPr>
      <t>(lb/yr)</t>
    </r>
  </si>
  <si>
    <r>
      <t xml:space="preserve">Chemical or Byproduct Emitted </t>
    </r>
    <r>
      <rPr>
        <b/>
        <vertAlign val="superscript"/>
        <sz val="10"/>
        <rFont val="Tahoma"/>
        <family val="2"/>
      </rPr>
      <t>3</t>
    </r>
  </si>
  <si>
    <r>
      <t xml:space="preserve">Pre-POU Emission Factor </t>
    </r>
    <r>
      <rPr>
        <b/>
        <vertAlign val="superscript"/>
        <sz val="10"/>
        <rFont val="Tahoma"/>
        <family val="2"/>
      </rPr>
      <t xml:space="preserve">4
</t>
    </r>
    <r>
      <rPr>
        <b/>
        <sz val="10"/>
        <rFont val="Tahoma"/>
        <family val="2"/>
      </rPr>
      <t>(lb/lb)</t>
    </r>
  </si>
  <si>
    <r>
      <t xml:space="preserve">POU Removal </t>
    </r>
    <r>
      <rPr>
        <b/>
        <vertAlign val="superscript"/>
        <sz val="10"/>
        <rFont val="Tahoma"/>
        <family val="2"/>
      </rPr>
      <t>4</t>
    </r>
  </si>
  <si>
    <r>
      <t xml:space="preserve">Tool Exhaust Before Control </t>
    </r>
    <r>
      <rPr>
        <b/>
        <vertAlign val="superscript"/>
        <sz val="10"/>
        <rFont val="Tahoma"/>
        <family val="2"/>
      </rPr>
      <t xml:space="preserve">5 
</t>
    </r>
    <r>
      <rPr>
        <b/>
        <sz val="10"/>
        <rFont val="Tahoma"/>
        <family val="2"/>
      </rPr>
      <t>(lbs/year)</t>
    </r>
  </si>
  <si>
    <r>
      <t xml:space="preserve">Centralized Control Type </t>
    </r>
    <r>
      <rPr>
        <b/>
        <vertAlign val="superscript"/>
        <sz val="10"/>
        <rFont val="Tahoma"/>
        <family val="2"/>
      </rPr>
      <t>6</t>
    </r>
  </si>
  <si>
    <r>
      <t xml:space="preserve">Centralized Control Eff. </t>
    </r>
    <r>
      <rPr>
        <b/>
        <vertAlign val="superscript"/>
        <sz val="10"/>
        <rFont val="Tahoma"/>
        <family val="2"/>
      </rPr>
      <t>7</t>
    </r>
  </si>
  <si>
    <r>
      <t xml:space="preserve">Air Emissions </t>
    </r>
    <r>
      <rPr>
        <b/>
        <vertAlign val="superscript"/>
        <sz val="10"/>
        <rFont val="Tahoma"/>
        <family val="2"/>
      </rPr>
      <t xml:space="preserve">8 </t>
    </r>
    <r>
      <rPr>
        <b/>
        <sz val="10"/>
        <rFont val="Tahoma"/>
        <family val="2"/>
      </rPr>
      <t>(lbs/year)</t>
    </r>
  </si>
  <si>
    <t>01000-060643, 01000-068366</t>
  </si>
  <si>
    <r>
      <t>NH</t>
    </r>
    <r>
      <rPr>
        <vertAlign val="subscript"/>
        <sz val="10"/>
        <rFont val="Tahoma"/>
        <family val="2"/>
      </rPr>
      <t>3</t>
    </r>
  </si>
  <si>
    <t>NOx</t>
  </si>
  <si>
    <r>
      <t>AsH</t>
    </r>
    <r>
      <rPr>
        <vertAlign val="subscript"/>
        <sz val="10"/>
        <rFont val="Tahoma"/>
        <family val="2"/>
      </rPr>
      <t>3</t>
    </r>
  </si>
  <si>
    <t>HCl</t>
  </si>
  <si>
    <r>
      <t>B</t>
    </r>
    <r>
      <rPr>
        <vertAlign val="subscript"/>
        <sz val="10"/>
        <rFont val="Tahoma"/>
        <family val="2"/>
      </rPr>
      <t>2</t>
    </r>
    <r>
      <rPr>
        <sz val="10"/>
        <rFont val="Tahoma"/>
        <family val="2"/>
      </rPr>
      <t>O</t>
    </r>
    <r>
      <rPr>
        <vertAlign val="subscript"/>
        <sz val="10"/>
        <rFont val="Tahoma"/>
        <family val="2"/>
      </rPr>
      <t>3</t>
    </r>
  </si>
  <si>
    <r>
      <t>Al</t>
    </r>
    <r>
      <rPr>
        <vertAlign val="subscript"/>
        <sz val="10"/>
        <rFont val="Tahoma"/>
        <family val="2"/>
      </rPr>
      <t>2</t>
    </r>
    <r>
      <rPr>
        <sz val="10"/>
        <rFont val="Tahoma"/>
        <family val="2"/>
      </rPr>
      <t>O</t>
    </r>
    <r>
      <rPr>
        <vertAlign val="subscript"/>
        <sz val="10"/>
        <rFont val="Tahoma"/>
        <family val="2"/>
      </rPr>
      <t>3</t>
    </r>
  </si>
  <si>
    <t>HF</t>
  </si>
  <si>
    <r>
      <t>CO</t>
    </r>
    <r>
      <rPr>
        <vertAlign val="subscript"/>
        <sz val="10"/>
        <rFont val="Tahoma"/>
        <family val="2"/>
      </rPr>
      <t>2</t>
    </r>
  </si>
  <si>
    <t>CO</t>
  </si>
  <si>
    <t>Carbon monoxide (CO)</t>
  </si>
  <si>
    <r>
      <t>Cl</t>
    </r>
    <r>
      <rPr>
        <vertAlign val="subscript"/>
        <sz val="10"/>
        <rFont val="Tahoma"/>
        <family val="2"/>
      </rPr>
      <t>2</t>
    </r>
  </si>
  <si>
    <r>
      <t>B</t>
    </r>
    <r>
      <rPr>
        <vertAlign val="subscript"/>
        <sz val="10"/>
        <rFont val="Tahoma"/>
        <family val="2"/>
      </rPr>
      <t>2</t>
    </r>
    <r>
      <rPr>
        <sz val="10"/>
        <rFont val="Tahoma"/>
        <family val="2"/>
      </rPr>
      <t>H</t>
    </r>
    <r>
      <rPr>
        <vertAlign val="subscript"/>
        <sz val="10"/>
        <rFont val="Tahoma"/>
        <family val="2"/>
      </rPr>
      <t>6</t>
    </r>
  </si>
  <si>
    <r>
      <t>SiO</t>
    </r>
    <r>
      <rPr>
        <vertAlign val="subscript"/>
        <sz val="10"/>
        <rFont val="Tahoma"/>
        <family val="2"/>
      </rPr>
      <t>2</t>
    </r>
  </si>
  <si>
    <r>
      <t>CH</t>
    </r>
    <r>
      <rPr>
        <vertAlign val="subscript"/>
        <sz val="10"/>
        <rFont val="Tahoma"/>
        <family val="2"/>
      </rPr>
      <t>2</t>
    </r>
    <r>
      <rPr>
        <sz val="10"/>
        <rFont val="Tahoma"/>
        <family val="2"/>
      </rPr>
      <t>F</t>
    </r>
    <r>
      <rPr>
        <vertAlign val="subscript"/>
        <sz val="10"/>
        <rFont val="Tahoma"/>
        <family val="2"/>
      </rPr>
      <t>2</t>
    </r>
  </si>
  <si>
    <r>
      <t>CF</t>
    </r>
    <r>
      <rPr>
        <vertAlign val="subscript"/>
        <sz val="10"/>
        <rFont val="Tahoma"/>
        <family val="2"/>
      </rPr>
      <t>4</t>
    </r>
  </si>
  <si>
    <r>
      <t>C</t>
    </r>
    <r>
      <rPr>
        <vertAlign val="subscript"/>
        <sz val="10"/>
        <rFont val="Tahoma"/>
        <family val="2"/>
      </rPr>
      <t>2</t>
    </r>
    <r>
      <rPr>
        <sz val="10"/>
        <rFont val="Tahoma"/>
        <family val="2"/>
      </rPr>
      <t>F</t>
    </r>
    <r>
      <rPr>
        <vertAlign val="subscript"/>
        <sz val="10"/>
        <rFont val="Tahoma"/>
        <family val="2"/>
      </rPr>
      <t>6</t>
    </r>
  </si>
  <si>
    <r>
      <t>CHF</t>
    </r>
    <r>
      <rPr>
        <vertAlign val="subscript"/>
        <sz val="10"/>
        <rFont val="Tahoma"/>
        <family val="2"/>
      </rPr>
      <t>3</t>
    </r>
  </si>
  <si>
    <t>Added &gt;&gt;&gt;</t>
  </si>
  <si>
    <t>GeO2</t>
  </si>
  <si>
    <r>
      <t>HF (from C</t>
    </r>
    <r>
      <rPr>
        <vertAlign val="subscript"/>
        <sz val="10"/>
        <rFont val="Tahoma"/>
        <family val="2"/>
      </rPr>
      <t>2</t>
    </r>
    <r>
      <rPr>
        <sz val="10"/>
        <rFont val="Tahoma"/>
        <family val="2"/>
      </rPr>
      <t>F</t>
    </r>
    <r>
      <rPr>
        <vertAlign val="subscript"/>
        <sz val="10"/>
        <rFont val="Tahoma"/>
        <family val="2"/>
      </rPr>
      <t>6</t>
    </r>
    <r>
      <rPr>
        <sz val="10"/>
        <rFont val="Tahoma"/>
        <family val="2"/>
      </rPr>
      <t xml:space="preserve"> abatement)</t>
    </r>
  </si>
  <si>
    <r>
      <t>HF (from CF</t>
    </r>
    <r>
      <rPr>
        <vertAlign val="subscript"/>
        <sz val="10"/>
        <rFont val="Tahoma"/>
        <family val="2"/>
      </rPr>
      <t>4</t>
    </r>
    <r>
      <rPr>
        <sz val="10"/>
        <rFont val="Tahoma"/>
        <family val="2"/>
      </rPr>
      <t xml:space="preserve"> abatement)</t>
    </r>
  </si>
  <si>
    <t>HBr</t>
  </si>
  <si>
    <t>NO</t>
  </si>
  <si>
    <r>
      <t>NF</t>
    </r>
    <r>
      <rPr>
        <vertAlign val="subscript"/>
        <sz val="10"/>
        <rFont val="Tahoma"/>
        <family val="2"/>
      </rPr>
      <t>3</t>
    </r>
  </si>
  <si>
    <r>
      <t>HF (from NF</t>
    </r>
    <r>
      <rPr>
        <vertAlign val="subscript"/>
        <sz val="10"/>
        <rFont val="Tahoma"/>
        <family val="2"/>
      </rPr>
      <t>3</t>
    </r>
    <r>
      <rPr>
        <sz val="10"/>
        <rFont val="Tahoma"/>
        <family val="2"/>
      </rPr>
      <t xml:space="preserve"> abatement)</t>
    </r>
  </si>
  <si>
    <t>01000-060019, 01000-064403</t>
  </si>
  <si>
    <r>
      <t>N</t>
    </r>
    <r>
      <rPr>
        <vertAlign val="subscript"/>
        <sz val="10"/>
        <rFont val="Tahoma"/>
        <family val="2"/>
      </rPr>
      <t>2</t>
    </r>
    <r>
      <rPr>
        <sz val="10"/>
        <rFont val="Tahoma"/>
        <family val="2"/>
      </rPr>
      <t>O</t>
    </r>
  </si>
  <si>
    <r>
      <t>C</t>
    </r>
    <r>
      <rPr>
        <vertAlign val="subscript"/>
        <sz val="10"/>
        <rFont val="Tahoma"/>
        <family val="2"/>
      </rPr>
      <t>4</t>
    </r>
    <r>
      <rPr>
        <sz val="10"/>
        <rFont val="Tahoma"/>
        <family val="2"/>
      </rPr>
      <t>F</t>
    </r>
    <r>
      <rPr>
        <vertAlign val="subscript"/>
        <sz val="10"/>
        <rFont val="Tahoma"/>
        <family val="2"/>
      </rPr>
      <t>8</t>
    </r>
  </si>
  <si>
    <r>
      <t>C</t>
    </r>
    <r>
      <rPr>
        <vertAlign val="subscript"/>
        <sz val="10"/>
        <rFont val="Tahoma"/>
        <family val="2"/>
      </rPr>
      <t>5</t>
    </r>
    <r>
      <rPr>
        <sz val="10"/>
        <rFont val="Tahoma"/>
        <family val="2"/>
      </rPr>
      <t>F</t>
    </r>
    <r>
      <rPr>
        <vertAlign val="subscript"/>
        <sz val="10"/>
        <rFont val="Tahoma"/>
        <family val="2"/>
      </rPr>
      <t>8</t>
    </r>
  </si>
  <si>
    <r>
      <t>C</t>
    </r>
    <r>
      <rPr>
        <vertAlign val="subscript"/>
        <sz val="10"/>
        <rFont val="Tahoma"/>
        <family val="2"/>
      </rPr>
      <t>3</t>
    </r>
    <r>
      <rPr>
        <sz val="10"/>
        <rFont val="Tahoma"/>
        <family val="2"/>
      </rPr>
      <t>F</t>
    </r>
    <r>
      <rPr>
        <vertAlign val="subscript"/>
        <sz val="10"/>
        <rFont val="Tahoma"/>
        <family val="2"/>
      </rPr>
      <t>8</t>
    </r>
  </si>
  <si>
    <r>
      <t>HF (from C</t>
    </r>
    <r>
      <rPr>
        <vertAlign val="subscript"/>
        <sz val="10"/>
        <rFont val="Tahoma"/>
        <family val="2"/>
      </rPr>
      <t>3</t>
    </r>
    <r>
      <rPr>
        <sz val="10"/>
        <rFont val="Tahoma"/>
        <family val="2"/>
      </rPr>
      <t>F</t>
    </r>
    <r>
      <rPr>
        <vertAlign val="subscript"/>
        <sz val="10"/>
        <rFont val="Tahoma"/>
        <family val="2"/>
      </rPr>
      <t>8</t>
    </r>
    <r>
      <rPr>
        <sz val="10"/>
        <rFont val="Tahoma"/>
        <family val="2"/>
      </rPr>
      <t xml:space="preserve"> abatement)</t>
    </r>
  </si>
  <si>
    <r>
      <t>PH</t>
    </r>
    <r>
      <rPr>
        <vertAlign val="subscript"/>
        <sz val="10"/>
        <rFont val="Tahoma"/>
        <family val="2"/>
      </rPr>
      <t>3</t>
    </r>
  </si>
  <si>
    <r>
      <t>P</t>
    </r>
    <r>
      <rPr>
        <vertAlign val="subscript"/>
        <sz val="10"/>
        <rFont val="Tahoma"/>
        <family val="2"/>
      </rPr>
      <t>2</t>
    </r>
    <r>
      <rPr>
        <sz val="10"/>
        <rFont val="Tahoma"/>
        <family val="2"/>
      </rPr>
      <t>O</t>
    </r>
    <r>
      <rPr>
        <vertAlign val="subscript"/>
        <sz val="10"/>
        <rFont val="Tahoma"/>
        <family val="2"/>
      </rPr>
      <t>5</t>
    </r>
  </si>
  <si>
    <r>
      <t>SF</t>
    </r>
    <r>
      <rPr>
        <vertAlign val="subscript"/>
        <sz val="10"/>
        <rFont val="Tahoma"/>
        <family val="2"/>
      </rPr>
      <t>6</t>
    </r>
  </si>
  <si>
    <r>
      <t>SO</t>
    </r>
    <r>
      <rPr>
        <vertAlign val="subscript"/>
        <sz val="10"/>
        <rFont val="Tahoma"/>
        <family val="2"/>
      </rPr>
      <t>2</t>
    </r>
  </si>
  <si>
    <t>Ethanol</t>
  </si>
  <si>
    <t>01000-060007, 01000-064404</t>
  </si>
  <si>
    <t>Dimethylamine</t>
  </si>
  <si>
    <r>
      <t>TiO</t>
    </r>
    <r>
      <rPr>
        <vertAlign val="subscript"/>
        <sz val="10"/>
        <rFont val="Tahoma"/>
        <family val="2"/>
      </rPr>
      <t>2</t>
    </r>
  </si>
  <si>
    <t>40229-068723</t>
  </si>
  <si>
    <r>
      <t>CH</t>
    </r>
    <r>
      <rPr>
        <vertAlign val="subscript"/>
        <sz val="10"/>
        <rFont val="Tahoma"/>
        <family val="2"/>
      </rPr>
      <t>3</t>
    </r>
    <r>
      <rPr>
        <sz val="10"/>
        <rFont val="Tahoma"/>
        <family val="2"/>
      </rPr>
      <t>O</t>
    </r>
  </si>
  <si>
    <r>
      <t>P</t>
    </r>
    <r>
      <rPr>
        <vertAlign val="subscript"/>
        <sz val="9"/>
        <rFont val="Tahoma"/>
        <family val="2"/>
      </rPr>
      <t>2</t>
    </r>
    <r>
      <rPr>
        <sz val="9"/>
        <rFont val="Tahoma"/>
        <family val="2"/>
      </rPr>
      <t>O</t>
    </r>
    <r>
      <rPr>
        <vertAlign val="subscript"/>
        <sz val="9"/>
        <rFont val="Tahoma"/>
        <family val="2"/>
      </rPr>
      <t>5</t>
    </r>
  </si>
  <si>
    <r>
      <t>WO</t>
    </r>
    <r>
      <rPr>
        <vertAlign val="subscript"/>
        <sz val="10"/>
        <rFont val="Tahoma"/>
        <family val="2"/>
      </rPr>
      <t>3</t>
    </r>
  </si>
  <si>
    <t>Notes:</t>
  </si>
  <si>
    <t>Part number is used to identify chemicals and precursors.  Where more than one part number is listed, either part number could contain the same precursor compounds.</t>
  </si>
  <si>
    <t>Chemicals emitted or byproducts of chemicals are the species which contribute to air pollution.  Where specific compound formula is not known, the general type of pollution is used:  PM, VOC…</t>
  </si>
  <si>
    <t>Emission factor is based on the total ability of the tool to emit the pollutant, taking into account the exhaust conditioning effect of Point-Of-Use abatement devices.</t>
  </si>
  <si>
    <t>Tool exhaust before control is the quantity of emissions (lb) sent to centralized air emission control in Building 1 or 2.</t>
  </si>
  <si>
    <t>Centralized control type, if applicable, is listed.  "Acid" refers to acid removal wet scrubbers.  RCTO is the rotor-concentrator thermal oxidizer.</t>
  </si>
  <si>
    <t>The control efficiency of the centralized control scrubber or RCTO for the given compound is listed.</t>
  </si>
  <si>
    <t>Air emissions are equal to the tool exhaust multiplied by 100% - centralized control % efficiency.</t>
  </si>
  <si>
    <r>
      <t>Carbon dioxide (CO</t>
    </r>
    <r>
      <rPr>
        <vertAlign val="subscript"/>
        <sz val="10"/>
        <rFont val="Tahoma"/>
        <family val="2"/>
      </rPr>
      <t>2</t>
    </r>
    <r>
      <rPr>
        <sz val="10"/>
        <rFont val="Tahoma"/>
        <family val="2"/>
      </rPr>
      <t>)</t>
    </r>
  </si>
  <si>
    <r>
      <t>Nitrous oxide (N</t>
    </r>
    <r>
      <rPr>
        <vertAlign val="subscript"/>
        <sz val="10"/>
        <rFont val="Tahoma"/>
        <family val="2"/>
      </rPr>
      <t>2</t>
    </r>
    <r>
      <rPr>
        <sz val="10"/>
        <rFont val="Tahoma"/>
        <family val="2"/>
      </rPr>
      <t>O)</t>
    </r>
  </si>
  <si>
    <r>
      <t>Sulfur dioxide (SO</t>
    </r>
    <r>
      <rPr>
        <vertAlign val="subscript"/>
        <sz val="10"/>
        <rFont val="Tahoma"/>
        <family val="2"/>
      </rPr>
      <t>2</t>
    </r>
    <r>
      <rPr>
        <sz val="10"/>
        <rFont val="Tahoma"/>
        <family val="2"/>
      </rPr>
      <t>)</t>
    </r>
  </si>
  <si>
    <r>
      <t xml:space="preserve">Amount Used </t>
    </r>
    <r>
      <rPr>
        <b/>
        <vertAlign val="superscript"/>
        <sz val="10"/>
        <rFont val="Tahoma"/>
        <family val="2"/>
      </rPr>
      <t xml:space="preserve">2 </t>
    </r>
    <r>
      <rPr>
        <b/>
        <sz val="10"/>
        <rFont val="Tahoma"/>
        <family val="2"/>
      </rPr>
      <t>(lbs/year)</t>
    </r>
  </si>
  <si>
    <r>
      <t xml:space="preserve">Chemical Emitted </t>
    </r>
    <r>
      <rPr>
        <b/>
        <vertAlign val="superscript"/>
        <sz val="10"/>
        <rFont val="Tahoma"/>
        <family val="2"/>
      </rPr>
      <t>3</t>
    </r>
  </si>
  <si>
    <r>
      <t xml:space="preserve">Chemical Percentage </t>
    </r>
    <r>
      <rPr>
        <b/>
        <vertAlign val="superscript"/>
        <sz val="10"/>
        <rFont val="Tahoma"/>
        <family val="2"/>
      </rPr>
      <t>4</t>
    </r>
  </si>
  <si>
    <r>
      <t xml:space="preserve">Pre-POU Emission Factor </t>
    </r>
    <r>
      <rPr>
        <b/>
        <vertAlign val="superscript"/>
        <sz val="10"/>
        <rFont val="Tahoma"/>
        <family val="2"/>
      </rPr>
      <t xml:space="preserve">5
</t>
    </r>
    <r>
      <rPr>
        <b/>
        <sz val="10"/>
        <rFont val="Tahoma"/>
        <family val="2"/>
      </rPr>
      <t>(lb/lb)</t>
    </r>
  </si>
  <si>
    <r>
      <t xml:space="preserve">POU Removal </t>
    </r>
    <r>
      <rPr>
        <b/>
        <vertAlign val="superscript"/>
        <sz val="10"/>
        <rFont val="Tahoma"/>
        <family val="2"/>
      </rPr>
      <t>5</t>
    </r>
  </si>
  <si>
    <r>
      <t xml:space="preserve">Tool Exhaust Before Control </t>
    </r>
    <r>
      <rPr>
        <b/>
        <vertAlign val="superscript"/>
        <sz val="10"/>
        <rFont val="Tahoma"/>
        <family val="2"/>
      </rPr>
      <t xml:space="preserve">6
</t>
    </r>
    <r>
      <rPr>
        <b/>
        <sz val="10"/>
        <rFont val="Tahoma"/>
        <family val="2"/>
      </rPr>
      <t>(lbs/year)</t>
    </r>
  </si>
  <si>
    <r>
      <t xml:space="preserve">Centralized Control Type </t>
    </r>
    <r>
      <rPr>
        <b/>
        <vertAlign val="superscript"/>
        <sz val="10"/>
        <rFont val="Tahoma"/>
        <family val="2"/>
      </rPr>
      <t>7</t>
    </r>
  </si>
  <si>
    <r>
      <t xml:space="preserve">Centralized Control Eff. </t>
    </r>
    <r>
      <rPr>
        <b/>
        <vertAlign val="superscript"/>
        <sz val="10"/>
        <rFont val="Tahoma"/>
        <family val="2"/>
      </rPr>
      <t>8</t>
    </r>
  </si>
  <si>
    <r>
      <t xml:space="preserve">Air Emissions </t>
    </r>
    <r>
      <rPr>
        <b/>
        <vertAlign val="superscript"/>
        <sz val="10"/>
        <rFont val="Tahoma"/>
        <family val="2"/>
      </rPr>
      <t xml:space="preserve">9 </t>
    </r>
    <r>
      <rPr>
        <b/>
        <sz val="10"/>
        <rFont val="Tahoma"/>
        <family val="2"/>
      </rPr>
      <t>(lbs/year)</t>
    </r>
  </si>
  <si>
    <t>Actual Chemical Usage in 2024</t>
  </si>
  <si>
    <t>Aluminum (Al)</t>
  </si>
  <si>
    <t>Cadmium (Cd)</t>
  </si>
  <si>
    <t>Chlorine (Cl)</t>
  </si>
  <si>
    <t>Copper (Cu)</t>
  </si>
  <si>
    <t>Manganese (Mn)</t>
  </si>
  <si>
    <t>Nickel (Ni)</t>
  </si>
  <si>
    <t>Lead (Pb)</t>
  </si>
  <si>
    <t>Vanadium (V)</t>
  </si>
  <si>
    <t>Arsenic (As)</t>
  </si>
  <si>
    <t>Antimony (Sb)</t>
  </si>
  <si>
    <t>Uranium (U)</t>
  </si>
  <si>
    <t>Cobalt (Co)</t>
  </si>
  <si>
    <t>Silicon dioxide (colloidial silica)</t>
  </si>
  <si>
    <t>Triazole compound (listed in VOC in Summary)</t>
  </si>
  <si>
    <t>01000-067980</t>
  </si>
  <si>
    <t>Silver (Ag)</t>
  </si>
  <si>
    <t>Gold (Au)</t>
  </si>
  <si>
    <t>Boron (B)</t>
  </si>
  <si>
    <t>Bismuth (Bi)</t>
  </si>
  <si>
    <t>Calcium (Ca)</t>
  </si>
  <si>
    <t>Chromium (Cr)</t>
  </si>
  <si>
    <t>Iron (Fe)</t>
  </si>
  <si>
    <t>Gallium (Ga)</t>
  </si>
  <si>
    <t>Germanium (Ge)</t>
  </si>
  <si>
    <t>Magnesium (Mg)</t>
  </si>
  <si>
    <t>Phosphorus (P)</t>
  </si>
  <si>
    <t>Silicon (Si)</t>
  </si>
  <si>
    <t>Tin (Sn)</t>
  </si>
  <si>
    <t>Thorium (Th)</t>
  </si>
  <si>
    <t>Tungsten (W)</t>
  </si>
  <si>
    <t>Zinc (Zn)</t>
  </si>
  <si>
    <t>Zirconium (Zr)</t>
  </si>
  <si>
    <t>Potassium (K)</t>
  </si>
  <si>
    <t>Lithium (Li)</t>
  </si>
  <si>
    <t>Sodium (Na)</t>
  </si>
  <si>
    <t>Carbon (C)</t>
  </si>
  <si>
    <t>Hydrogen (H)</t>
  </si>
  <si>
    <t>Nitrogen (N)</t>
  </si>
  <si>
    <t>Oxygen (O)</t>
  </si>
  <si>
    <t>Sulfur (S)</t>
  </si>
  <si>
    <t>01000-212221</t>
  </si>
  <si>
    <r>
      <t>HF (from NH</t>
    </r>
    <r>
      <rPr>
        <vertAlign val="subscript"/>
        <sz val="10"/>
        <rFont val="Tahoma"/>
        <family val="2"/>
      </rPr>
      <t>4</t>
    </r>
    <r>
      <rPr>
        <sz val="10"/>
        <rFont val="Tahoma"/>
        <family val="2"/>
      </rPr>
      <t>F)</t>
    </r>
  </si>
  <si>
    <r>
      <t>NH</t>
    </r>
    <r>
      <rPr>
        <vertAlign val="subscript"/>
        <sz val="10"/>
        <rFont val="Tahoma"/>
        <family val="2"/>
      </rPr>
      <t>3</t>
    </r>
    <r>
      <rPr>
        <sz val="10"/>
        <rFont val="Tahoma"/>
        <family val="2"/>
      </rPr>
      <t xml:space="preserve"> (from NH</t>
    </r>
    <r>
      <rPr>
        <vertAlign val="subscript"/>
        <sz val="10"/>
        <rFont val="Tahoma"/>
        <family val="2"/>
      </rPr>
      <t>4</t>
    </r>
    <r>
      <rPr>
        <sz val="10"/>
        <rFont val="Tahoma"/>
        <family val="2"/>
      </rPr>
      <t>F)</t>
    </r>
  </si>
  <si>
    <t>3-amino-1,2,4--triazole (included in VOC in Summary)</t>
  </si>
  <si>
    <t>70619-063406</t>
  </si>
  <si>
    <t>01000-066174</t>
  </si>
  <si>
    <t>01000-067790</t>
  </si>
  <si>
    <t>Organic salt (included in VOC in Summary)</t>
  </si>
  <si>
    <t>Copper sulfate</t>
  </si>
  <si>
    <t>Citric acid (included in VOC in Summary)</t>
  </si>
  <si>
    <t>01000-064292, 01000-068780</t>
  </si>
  <si>
    <t>Acetic acid</t>
  </si>
  <si>
    <t>EDTA (Ethylenediamine tetraacetic acid) disodium salt, dihydrate (included in PM10 in Summary)</t>
  </si>
  <si>
    <t>1-Propene, 1,2,2,3,3,3-hexafluoro-,oxidized,polymd.</t>
  </si>
  <si>
    <t>Site Services</t>
  </si>
  <si>
    <t>01000-061141</t>
  </si>
  <si>
    <t>01000-001016, 01000-060181</t>
  </si>
  <si>
    <r>
      <t>H</t>
    </r>
    <r>
      <rPr>
        <vertAlign val="subscript"/>
        <sz val="10"/>
        <rFont val="Tahoma"/>
        <family val="2"/>
      </rPr>
      <t>2</t>
    </r>
    <r>
      <rPr>
        <sz val="10"/>
        <rFont val="Tahoma"/>
        <family val="2"/>
      </rPr>
      <t>O</t>
    </r>
    <r>
      <rPr>
        <vertAlign val="subscript"/>
        <sz val="10"/>
        <rFont val="Tahoma"/>
        <family val="2"/>
      </rPr>
      <t>2</t>
    </r>
  </si>
  <si>
    <r>
      <t>HNO</t>
    </r>
    <r>
      <rPr>
        <vertAlign val="subscript"/>
        <sz val="10"/>
        <rFont val="Tahoma"/>
        <family val="2"/>
      </rPr>
      <t>3</t>
    </r>
  </si>
  <si>
    <t>Silicon Dioxide (Fumed Slica)</t>
  </si>
  <si>
    <r>
      <t>H</t>
    </r>
    <r>
      <rPr>
        <vertAlign val="subscript"/>
        <sz val="10"/>
        <rFont val="Tahoma"/>
        <family val="2"/>
      </rPr>
      <t>3</t>
    </r>
    <r>
      <rPr>
        <sz val="10"/>
        <rFont val="Tahoma"/>
        <family val="2"/>
      </rPr>
      <t>PO</t>
    </r>
    <r>
      <rPr>
        <vertAlign val="subscript"/>
        <sz val="10"/>
        <rFont val="Tahoma"/>
        <family val="2"/>
      </rPr>
      <t>4</t>
    </r>
  </si>
  <si>
    <t>KOH</t>
  </si>
  <si>
    <t>01000-060057</t>
  </si>
  <si>
    <t>01000-060058</t>
  </si>
  <si>
    <t>Potassium hydroxide</t>
  </si>
  <si>
    <t>Cerium Oxide (included in PM10 in Summary)</t>
  </si>
  <si>
    <t>01000-004938</t>
  </si>
  <si>
    <t>Titanium (Ti)</t>
  </si>
  <si>
    <t>Silver Nitrate (included in PM10 in Summary)</t>
  </si>
  <si>
    <r>
      <t>H</t>
    </r>
    <r>
      <rPr>
        <vertAlign val="subscript"/>
        <sz val="10"/>
        <rFont val="Tahoma"/>
        <family val="2"/>
      </rPr>
      <t>2</t>
    </r>
    <r>
      <rPr>
        <sz val="10"/>
        <rFont val="Tahoma"/>
        <family val="2"/>
      </rPr>
      <t>SO</t>
    </r>
    <r>
      <rPr>
        <vertAlign val="subscript"/>
        <sz val="10"/>
        <rFont val="Tahoma"/>
        <family val="2"/>
      </rPr>
      <t>4</t>
    </r>
  </si>
  <si>
    <t>01000-060051, 01000-063920</t>
  </si>
  <si>
    <t>70168-067524</t>
  </si>
  <si>
    <t>Tantalum</t>
  </si>
  <si>
    <t>Molybdenum (Mo)</t>
  </si>
  <si>
    <t>Niobium (Nb)</t>
  </si>
  <si>
    <t>01000-060068</t>
  </si>
  <si>
    <t>01000-067670</t>
  </si>
  <si>
    <t>01000-004765</t>
  </si>
  <si>
    <t>01000-067859</t>
  </si>
  <si>
    <t>TMAH</t>
  </si>
  <si>
    <t>01000-067783</t>
  </si>
  <si>
    <t>Totals (lbs)</t>
  </si>
  <si>
    <t>Part number is used to identify raw materials.  Where more than one part number is listed, either part number could contain the same precursor compounds.  Acid and base part numbers refer to solutions that may contain multiple types of pollutant precursors.</t>
  </si>
  <si>
    <t>Chemical percentage is the weight percent of a given pollutant or precursor within a material identified by its part number.</t>
  </si>
  <si>
    <t>Emission factor is based on the total ability of the tool to emit the pollutant, taking into account the quantity of the pollutant or precursor within the used material, and the exhaust conditioning effect of Point-Of-Use abatement devices.</t>
  </si>
  <si>
    <r>
      <t xml:space="preserve">Amount Used lbs/year </t>
    </r>
    <r>
      <rPr>
        <b/>
        <vertAlign val="superscript"/>
        <sz val="10"/>
        <rFont val="Tahoma"/>
        <family val="2"/>
      </rPr>
      <t>2</t>
    </r>
  </si>
  <si>
    <r>
      <t xml:space="preserve">Weight Percent </t>
    </r>
    <r>
      <rPr>
        <b/>
        <vertAlign val="superscript"/>
        <sz val="10"/>
        <rFont val="Tahoma"/>
        <family val="2"/>
      </rPr>
      <t>4</t>
    </r>
  </si>
  <si>
    <r>
      <t xml:space="preserve">Weight % Carbon </t>
    </r>
    <r>
      <rPr>
        <b/>
        <vertAlign val="superscript"/>
        <sz val="10"/>
        <rFont val="Tahoma"/>
        <family val="2"/>
      </rPr>
      <t>5</t>
    </r>
  </si>
  <si>
    <r>
      <t xml:space="preserve">Emission Factor </t>
    </r>
    <r>
      <rPr>
        <b/>
        <vertAlign val="superscript"/>
        <sz val="10"/>
        <rFont val="Tahoma"/>
        <family val="2"/>
      </rPr>
      <t>6</t>
    </r>
  </si>
  <si>
    <r>
      <t xml:space="preserve">Before Control </t>
    </r>
    <r>
      <rPr>
        <b/>
        <vertAlign val="superscript"/>
        <sz val="10"/>
        <rFont val="Tahoma"/>
        <family val="2"/>
      </rPr>
      <t xml:space="preserve">7 </t>
    </r>
    <r>
      <rPr>
        <b/>
        <sz val="10"/>
        <rFont val="Tahoma"/>
        <family val="2"/>
      </rPr>
      <t>(lbs/year)</t>
    </r>
  </si>
  <si>
    <r>
      <t xml:space="preserve">Centralized Control Type </t>
    </r>
    <r>
      <rPr>
        <b/>
        <vertAlign val="superscript"/>
        <sz val="10"/>
        <rFont val="Tahoma"/>
        <family val="2"/>
      </rPr>
      <t>8</t>
    </r>
  </si>
  <si>
    <r>
      <t xml:space="preserve">Centralized Control Eff. </t>
    </r>
    <r>
      <rPr>
        <b/>
        <vertAlign val="superscript"/>
        <sz val="10"/>
        <rFont val="Tahoma"/>
        <family val="2"/>
      </rPr>
      <t>9</t>
    </r>
  </si>
  <si>
    <r>
      <t xml:space="preserve">Air Emissions </t>
    </r>
    <r>
      <rPr>
        <b/>
        <vertAlign val="superscript"/>
        <sz val="10"/>
        <rFont val="Tahoma"/>
        <family val="2"/>
      </rPr>
      <t xml:space="preserve">10 
</t>
    </r>
    <r>
      <rPr>
        <b/>
        <sz val="10"/>
        <rFont val="Tahoma"/>
        <family val="2"/>
      </rPr>
      <t>(lbs/year)</t>
    </r>
  </si>
  <si>
    <t>N/A</t>
  </si>
  <si>
    <t>Acrylic acid (included in VOC in Summary)</t>
  </si>
  <si>
    <t>RCTO VOC</t>
  </si>
  <si>
    <t>Ethyl-(S)-lactate</t>
  </si>
  <si>
    <t>n-Butyl-acetate</t>
  </si>
  <si>
    <t>Ethyl lactate</t>
  </si>
  <si>
    <t>n-Butyl acetate</t>
  </si>
  <si>
    <t>n-amyl acetate</t>
  </si>
  <si>
    <t>Anisole</t>
  </si>
  <si>
    <t>2-methyl butyl acetate</t>
  </si>
  <si>
    <t>Propylene Glycol</t>
  </si>
  <si>
    <t>Butanol</t>
  </si>
  <si>
    <t>PGMEA**</t>
  </si>
  <si>
    <t>PGME*</t>
  </si>
  <si>
    <t>Cyclohexanone</t>
  </si>
  <si>
    <t>2-Methoxy-1-propanol acetate</t>
  </si>
  <si>
    <t>2-(2-aminoethoxy)ethanol</t>
  </si>
  <si>
    <t>Hydroxylamine</t>
  </si>
  <si>
    <t>1-Aminopropan-2-ol</t>
  </si>
  <si>
    <t>2-Aminoethanol</t>
  </si>
  <si>
    <t>DEATS</t>
  </si>
  <si>
    <t>HMDS</t>
  </si>
  <si>
    <t>SiO2 (DEATS)</t>
  </si>
  <si>
    <t>SiO2 (HMDS)</t>
  </si>
  <si>
    <t>NOx (DEATS)</t>
  </si>
  <si>
    <t>NOx (HMDS)</t>
  </si>
  <si>
    <t>CO2 (DEATS)</t>
  </si>
  <si>
    <t>CO2 (HMDS)</t>
  </si>
  <si>
    <r>
      <t>NO</t>
    </r>
    <r>
      <rPr>
        <vertAlign val="subscript"/>
        <sz val="10"/>
        <rFont val="Tahoma"/>
        <family val="2"/>
      </rPr>
      <t>X</t>
    </r>
  </si>
  <si>
    <t>Isopropanol</t>
  </si>
  <si>
    <t>2,4-Xylenol</t>
  </si>
  <si>
    <t>Ethyl 3-ethoxypropionate (EEP)</t>
  </si>
  <si>
    <t>Ethyl lactate (EL)</t>
  </si>
  <si>
    <t>2-(1-Methoxy)propyl acetate (Propylene glycol monomethyl ether acetate, PGMEA)</t>
  </si>
  <si>
    <t xml:space="preserve">Ethyl lactate </t>
  </si>
  <si>
    <t>2-Methyl Butyl Acetate</t>
  </si>
  <si>
    <t>n-butyl acetate</t>
  </si>
  <si>
    <t>1,4-dioxane</t>
  </si>
  <si>
    <t>Why 100% &gt;&gt;&gt;</t>
  </si>
  <si>
    <t>1-Methoxy-2-propanol (Propylene glycol monomethyl ether, PGME)</t>
  </si>
  <si>
    <t>Aromatic Sulfur Compound (included in VOC in Summary)</t>
  </si>
  <si>
    <t>Fluorinated Surfactant (included in VOC in Summary)</t>
  </si>
  <si>
    <t>Additives (included in VOC in Summary)</t>
  </si>
  <si>
    <t>Surfactants (included in VOC in Summary)</t>
  </si>
  <si>
    <t>Diazo Photoactive Compound (included in VOC in Summary)</t>
  </si>
  <si>
    <t>Organic Siloxane Surfactant (included in VOC in Summary)</t>
  </si>
  <si>
    <t>Part number is used to identify raw materials.  Where more than one part number is listed, either part number could contain the same precursor compounds.  Acid and base part numbers refer to materials that may contain multiple types of pollutant precursors.</t>
  </si>
  <si>
    <t>*PGME is propylene glycol monomethyl ether (1-methoxy-2-propanol)</t>
  </si>
  <si>
    <t>**PGMEA is propylene glycol monomethyl ether acetate (1-methoxy-2-propanol acetate).</t>
  </si>
  <si>
    <t>Weight percent is of a given pollutant or precursor within a material identified by its part number.</t>
  </si>
  <si>
    <r>
      <t>Weight percent carbon of a given pollutant is used to calculate the emissions of CO</t>
    </r>
    <r>
      <rPr>
        <vertAlign val="subscript"/>
        <sz val="9"/>
        <rFont val="Tahoma"/>
        <family val="2"/>
      </rPr>
      <t>2</t>
    </r>
    <r>
      <rPr>
        <sz val="9"/>
        <rFont val="Tahoma"/>
        <family val="2"/>
      </rPr>
      <t xml:space="preserve"> when the pollutant is routed to the RCTO and combusted.</t>
    </r>
  </si>
  <si>
    <t>Emission factor is based on the total ability of the tool to emit the pollutant, taking into account the quantity of the pollutant or precursor within the used material.</t>
  </si>
  <si>
    <r>
      <t>Note:  CO</t>
    </r>
    <r>
      <rPr>
        <vertAlign val="subscript"/>
        <sz val="9"/>
        <rFont val="Tahoma"/>
        <family val="2"/>
      </rPr>
      <t>2</t>
    </r>
    <r>
      <rPr>
        <sz val="9"/>
        <rFont val="Tahoma"/>
        <family val="2"/>
      </rPr>
      <t xml:space="preserve"> emission factors are back-calculated by dividing total CO</t>
    </r>
    <r>
      <rPr>
        <vertAlign val="subscript"/>
        <sz val="9"/>
        <rFont val="Tahoma"/>
        <family val="2"/>
      </rPr>
      <t>2</t>
    </r>
    <r>
      <rPr>
        <sz val="9"/>
        <rFont val="Tahoma"/>
        <family val="2"/>
      </rPr>
      <t xml:space="preserve"> formation from VOC combustion by amount of material used.  Ultimately, the value is based on the carbon balance of the raw material.</t>
    </r>
  </si>
  <si>
    <t>Catechol</t>
  </si>
  <si>
    <t>MMBTU/year (Three 12.565 MMBtu/hr Boilers)</t>
  </si>
  <si>
    <t>Contaminant</t>
  </si>
  <si>
    <r>
      <t xml:space="preserve">Emission Factor </t>
    </r>
    <r>
      <rPr>
        <b/>
        <vertAlign val="superscript"/>
        <sz val="10"/>
        <rFont val="Tahoma"/>
        <family val="2"/>
      </rPr>
      <t xml:space="preserve">3
</t>
    </r>
    <r>
      <rPr>
        <b/>
        <sz val="10"/>
        <rFont val="Tahoma"/>
        <family val="2"/>
      </rPr>
      <t>(lbs/MMBtu)</t>
    </r>
  </si>
  <si>
    <t>Emissions
(lb/yr)</t>
  </si>
  <si>
    <r>
      <t>Nitrogen oxides (NO</t>
    </r>
    <r>
      <rPr>
        <vertAlign val="subscript"/>
        <sz val="10"/>
        <rFont val="Tahoma"/>
        <family val="2"/>
      </rPr>
      <t>X</t>
    </r>
    <r>
      <rPr>
        <sz val="10"/>
        <rFont val="Tahoma"/>
        <family val="2"/>
      </rPr>
      <t>)</t>
    </r>
  </si>
  <si>
    <r>
      <t>PM</t>
    </r>
    <r>
      <rPr>
        <vertAlign val="subscript"/>
        <sz val="10"/>
        <rFont val="Tahoma"/>
        <family val="2"/>
      </rPr>
      <t>2.5</t>
    </r>
  </si>
  <si>
    <t>Volatile organic compounds (VOC)</t>
  </si>
  <si>
    <t>Combustion HAP</t>
  </si>
  <si>
    <r>
      <t>Methane (CH</t>
    </r>
    <r>
      <rPr>
        <vertAlign val="subscript"/>
        <sz val="10"/>
        <rFont val="Tahoma"/>
        <family val="2"/>
      </rPr>
      <t>4</t>
    </r>
    <r>
      <rPr>
        <sz val="10"/>
        <rFont val="Tahoma"/>
        <family val="2"/>
      </rPr>
      <t>)</t>
    </r>
  </si>
  <si>
    <t>Maximum annual MMCF usage is based on process demand determined from 2021 production data which is then scaled up for expected increase in production.</t>
  </si>
  <si>
    <t>POU abatement devices natural-gas burning emissions are included in boilers natural gas emissions.</t>
  </si>
  <si>
    <t>Boiler emission factors:</t>
  </si>
  <si>
    <t>Current ACDP Condition 7.1 and 17.0</t>
  </si>
  <si>
    <r>
      <t>Nitrogen oxides (NO</t>
    </r>
    <r>
      <rPr>
        <vertAlign val="subscript"/>
        <sz val="9"/>
        <rFont val="Tahoma"/>
        <family val="2"/>
      </rPr>
      <t>X</t>
    </r>
    <r>
      <rPr>
        <sz val="9"/>
        <rFont val="Tahoma"/>
        <family val="2"/>
      </rPr>
      <t>)</t>
    </r>
  </si>
  <si>
    <r>
      <t>PM</t>
    </r>
    <r>
      <rPr>
        <vertAlign val="subscript"/>
        <sz val="9"/>
        <rFont val="Tahoma"/>
        <family val="2"/>
      </rPr>
      <t>2.5</t>
    </r>
  </si>
  <si>
    <r>
      <t>Sulfur dioxide (SO</t>
    </r>
    <r>
      <rPr>
        <vertAlign val="subscript"/>
        <sz val="9"/>
        <rFont val="Tahoma"/>
        <family val="2"/>
      </rPr>
      <t>2</t>
    </r>
    <r>
      <rPr>
        <sz val="9"/>
        <rFont val="Tahoma"/>
        <family val="2"/>
      </rPr>
      <t>)</t>
    </r>
  </si>
  <si>
    <t>AP-42 Table 1.4-3, lb/MMscf at 1,020 Btu/scf</t>
  </si>
  <si>
    <r>
      <t>Carbon dioxide (CO</t>
    </r>
    <r>
      <rPr>
        <vertAlign val="subscript"/>
        <sz val="9"/>
        <rFont val="Tahoma"/>
        <family val="2"/>
      </rPr>
      <t>2</t>
    </r>
    <r>
      <rPr>
        <sz val="9"/>
        <rFont val="Tahoma"/>
        <family val="2"/>
      </rPr>
      <t>)</t>
    </r>
  </si>
  <si>
    <t>40 CFR 98 Subpart C Table C-1</t>
  </si>
  <si>
    <r>
      <t>Methane (CH</t>
    </r>
    <r>
      <rPr>
        <vertAlign val="subscript"/>
        <sz val="9"/>
        <rFont val="Tahoma"/>
        <family val="2"/>
      </rPr>
      <t>4</t>
    </r>
    <r>
      <rPr>
        <sz val="9"/>
        <rFont val="Tahoma"/>
        <family val="2"/>
      </rPr>
      <t>)</t>
    </r>
  </si>
  <si>
    <t>40 CFR 98 Subpart C Table C-2</t>
  </si>
  <si>
    <r>
      <t>Nitrous oxide (N</t>
    </r>
    <r>
      <rPr>
        <vertAlign val="subscript"/>
        <sz val="9"/>
        <rFont val="Tahoma"/>
        <family val="2"/>
      </rPr>
      <t>2</t>
    </r>
    <r>
      <rPr>
        <sz val="9"/>
        <rFont val="Tahoma"/>
        <family val="2"/>
      </rPr>
      <t>O)</t>
    </r>
  </si>
  <si>
    <t>MMBTU/year (Three 29.291 MMBtu/hr Boilers)</t>
  </si>
  <si>
    <r>
      <t xml:space="preserve">Maximum MMBtu Usage per year: </t>
    </r>
    <r>
      <rPr>
        <b/>
        <vertAlign val="superscript"/>
        <sz val="10"/>
        <rFont val="Tahoma"/>
        <family val="2"/>
      </rPr>
      <t>1,2</t>
    </r>
  </si>
  <si>
    <t>Based on expected natural gas combustion usage from NC approved in 2021</t>
  </si>
  <si>
    <t>NC Approved in 2021</t>
  </si>
  <si>
    <r>
      <t xml:space="preserve">Maximum diesel fuel gallons per year: </t>
    </r>
    <r>
      <rPr>
        <b/>
        <vertAlign val="superscript"/>
        <sz val="10"/>
        <rFont val="Tahoma"/>
        <family val="2"/>
      </rPr>
      <t>1</t>
    </r>
  </si>
  <si>
    <t>MMBTU/gallon</t>
  </si>
  <si>
    <r>
      <t xml:space="preserve">Emission Factor </t>
    </r>
    <r>
      <rPr>
        <b/>
        <vertAlign val="superscript"/>
        <sz val="10"/>
        <rFont val="Tahoma"/>
        <family val="2"/>
      </rPr>
      <t xml:space="preserve">2
</t>
    </r>
    <r>
      <rPr>
        <b/>
        <sz val="10"/>
        <rFont val="Tahoma"/>
        <family val="2"/>
      </rPr>
      <t>(lbs/1,000 gallons)</t>
    </r>
  </si>
  <si>
    <r>
      <t xml:space="preserve">Emission Factor </t>
    </r>
    <r>
      <rPr>
        <b/>
        <vertAlign val="superscript"/>
        <sz val="10"/>
        <rFont val="Tahoma"/>
        <family val="2"/>
      </rPr>
      <t xml:space="preserve">2
</t>
    </r>
    <r>
      <rPr>
        <b/>
        <sz val="10"/>
        <rFont val="Tahoma"/>
        <family val="2"/>
      </rPr>
      <t>(lbs/MMBtu)</t>
    </r>
  </si>
  <si>
    <t>Maximum annual diesel firing rate based on 48 hours per year at maximum gpm fuel flow rate.</t>
  </si>
  <si>
    <t>AP-42 Table 1.3-9</t>
  </si>
  <si>
    <t>Maximum RCTO MMBTU/year (Three 3.0 MMBtu/hour units operating 8,760 hours):</t>
  </si>
  <si>
    <t>Maximum annual firing rate based on maximum possible natural gas use for two identical units</t>
  </si>
  <si>
    <t>Criteria pollutant emission factors from current ACDP Condition 7.3 and 17.0.  GHG emission factors from 40 CFR 98 Subpart C, Tables C-1 and C-2.</t>
  </si>
  <si>
    <t>CAS/DEQ ID</t>
  </si>
  <si>
    <t>Cold Start</t>
  </si>
  <si>
    <r>
      <t>Emission Factor</t>
    </r>
    <r>
      <rPr>
        <b/>
        <vertAlign val="superscript"/>
        <sz val="10"/>
        <rFont val="Tahoma"/>
        <family val="2"/>
      </rPr>
      <t>1</t>
    </r>
    <r>
      <rPr>
        <b/>
        <sz val="10"/>
        <rFont val="Tahoma"/>
        <family val="2"/>
      </rPr>
      <t xml:space="preserve"> (lbs/1000 gal)</t>
    </r>
  </si>
  <si>
    <t>Maximum Annual Emissions (lb/yr)</t>
  </si>
  <si>
    <t>Maximum Daily Emissions (lb/day)</t>
  </si>
  <si>
    <t>Emission Factor (lbs/1000 gal) for CAO Portal [&lt;560 kW] - Long term</t>
  </si>
  <si>
    <t>Emission Factor (lbs/1000 gal) for CAO Portal [&lt;560 kW] - Short term</t>
  </si>
  <si>
    <t>Unit</t>
  </si>
  <si>
    <t>100% Fuel Consumption Rate (gal/hr)</t>
  </si>
  <si>
    <t>Max Annual Run Hours</t>
  </si>
  <si>
    <t>Max Daily Run Hours</t>
  </si>
  <si>
    <t>Annual Fuel Usage 
(M gal/yr)</t>
  </si>
  <si>
    <t>Max Daily Fuel Usage 
(M gal/hr)</t>
  </si>
  <si>
    <t>Tier 2 Units ≥560kW and post 2006</t>
  </si>
  <si>
    <t>All Other Units &lt;560 kW</t>
  </si>
  <si>
    <t>Total Engine hp</t>
  </si>
  <si>
    <t>Yes</t>
  </si>
  <si>
    <t>Hours per Engine</t>
  </si>
  <si>
    <t>Acenaphthene - PAH</t>
  </si>
  <si>
    <t>83-32-9</t>
  </si>
  <si>
    <t>lbs CO2/hp-hr (AP-42)</t>
  </si>
  <si>
    <t>Acenaphthylene - PAH</t>
  </si>
  <si>
    <t>208-96-8</t>
  </si>
  <si>
    <t>lbs CO2/MMBTU (AP-42)</t>
  </si>
  <si>
    <r>
      <t xml:space="preserve">Emission Factor </t>
    </r>
    <r>
      <rPr>
        <b/>
        <vertAlign val="superscript"/>
        <sz val="10"/>
        <rFont val="Tahoma"/>
        <family val="2"/>
      </rPr>
      <t xml:space="preserve">1
</t>
    </r>
    <r>
      <rPr>
        <b/>
        <sz val="10"/>
        <rFont val="Tahoma"/>
        <family val="2"/>
      </rPr>
      <t>(lb/hp-hr)</t>
    </r>
  </si>
  <si>
    <t>Ammonia²</t>
  </si>
  <si>
    <t>No</t>
  </si>
  <si>
    <t>Anthracene - PAH</t>
  </si>
  <si>
    <t>120-12-7</t>
  </si>
  <si>
    <r>
      <t>Particulate &lt; 10 microns (PM</t>
    </r>
    <r>
      <rPr>
        <vertAlign val="subscript"/>
        <sz val="10"/>
        <rFont val="Tahoma"/>
        <family val="2"/>
      </rPr>
      <t>10</t>
    </r>
    <r>
      <rPr>
        <sz val="10"/>
        <rFont val="Tahoma"/>
        <family val="2"/>
      </rPr>
      <t>)</t>
    </r>
  </si>
  <si>
    <r>
      <t>Sulfur oxides (SO</t>
    </r>
    <r>
      <rPr>
        <vertAlign val="subscript"/>
        <sz val="10"/>
        <rFont val="Tahoma"/>
        <family val="2"/>
      </rPr>
      <t>X</t>
    </r>
    <r>
      <rPr>
        <sz val="10"/>
        <rFont val="Tahoma"/>
        <family val="2"/>
      </rPr>
      <t>)</t>
    </r>
  </si>
  <si>
    <t xml:space="preserve">Barium and compounds </t>
  </si>
  <si>
    <t>Benz[a]anthracene - PAH</t>
  </si>
  <si>
    <r>
      <t xml:space="preserve">Emission Factor </t>
    </r>
    <r>
      <rPr>
        <b/>
        <vertAlign val="superscript"/>
        <sz val="10"/>
        <rFont val="Tahoma"/>
        <family val="2"/>
      </rPr>
      <t xml:space="preserve">1
</t>
    </r>
    <r>
      <rPr>
        <b/>
        <sz val="10"/>
        <rFont val="Tahoma"/>
        <family val="2"/>
      </rPr>
      <t>(lb/MMBtu)</t>
    </r>
  </si>
  <si>
    <t>Benzo[a]pyrene - PAH</t>
  </si>
  <si>
    <t>Benzo[b]fluoranthene - PAH</t>
  </si>
  <si>
    <t>Benzo[e]pyrene - PAH</t>
  </si>
  <si>
    <t>192-97-2</t>
  </si>
  <si>
    <t>Benzo[g,h,i]perylene - PAH</t>
  </si>
  <si>
    <t>Benzo[k]fluoranthene - PAH</t>
  </si>
  <si>
    <t>Beryllium</t>
  </si>
  <si>
    <t>Emission factors based on reference materials:</t>
  </si>
  <si>
    <t>AP-42 Table 3.3-1</t>
  </si>
  <si>
    <t>Chrysene - PAH</t>
  </si>
  <si>
    <t>AP-42 Table 3.3-2</t>
  </si>
  <si>
    <t>Dibenz[a,h]anthracene - PAH</t>
  </si>
  <si>
    <t>Ethyl Benzene</t>
  </si>
  <si>
    <t>Fluoranthene - PAH</t>
  </si>
  <si>
    <t>Fluorene - PAH</t>
  </si>
  <si>
    <t>86-73-7</t>
  </si>
  <si>
    <t>Hexavalent Chromium</t>
  </si>
  <si>
    <t>Total Generator hp</t>
  </si>
  <si>
    <t>Hydrogen Chloride</t>
  </si>
  <si>
    <t>Hours per Generator</t>
  </si>
  <si>
    <t>Indeno[1,2,3-cd]pyrene - PAH</t>
  </si>
  <si>
    <t>Mercury</t>
  </si>
  <si>
    <r>
      <t xml:space="preserve">Emission Factor </t>
    </r>
    <r>
      <rPr>
        <b/>
        <vertAlign val="superscript"/>
        <sz val="10"/>
        <rFont val="Tahoma"/>
        <family val="2"/>
      </rPr>
      <t xml:space="preserve">1
</t>
    </r>
    <r>
      <rPr>
        <b/>
        <sz val="10"/>
        <rFont val="Tahoma"/>
        <family val="2"/>
      </rPr>
      <t>(lb/hr)</t>
    </r>
  </si>
  <si>
    <t>2-Methyl naphthalene - PAH</t>
  </si>
  <si>
    <t>91-57-6</t>
  </si>
  <si>
    <t>Naphthalene - PAH</t>
  </si>
  <si>
    <t>Nickel and compounds</t>
  </si>
  <si>
    <t>Perylene - PAH</t>
  </si>
  <si>
    <t>198-55-0</t>
  </si>
  <si>
    <t>Phenanthrene - PAH</t>
  </si>
  <si>
    <t>85-01-8</t>
  </si>
  <si>
    <t>Phosphorus</t>
  </si>
  <si>
    <t>Pyrene</t>
  </si>
  <si>
    <t>129-00-0</t>
  </si>
  <si>
    <t>PAHs (excl. Naphthalene)</t>
  </si>
  <si>
    <t>Selenium</t>
  </si>
  <si>
    <t>Silver</t>
  </si>
  <si>
    <t>Thallium</t>
  </si>
  <si>
    <t>7440-28-0</t>
  </si>
  <si>
    <t>Emission factors based on vendor emission analysis of the diesel generators.</t>
  </si>
  <si>
    <t>Current ACDP Condition 7.4</t>
  </si>
  <si>
    <t>Xylenes</t>
  </si>
  <si>
    <t>From DEQ Combustion Tool for diesel internal combustion engines</t>
  </si>
  <si>
    <t xml:space="preserve">Ammonia emission factor assumed no control from SCR. </t>
  </si>
  <si>
    <r>
      <t>Spike Duration (seconds)</t>
    </r>
    <r>
      <rPr>
        <b/>
        <vertAlign val="superscript"/>
        <sz val="10"/>
        <rFont val="Tahoma"/>
        <family val="2"/>
      </rPr>
      <t>1</t>
    </r>
  </si>
  <si>
    <t>Cold-Start Emission Spike (ppm) 1</t>
  </si>
  <si>
    <r>
      <t>Steady-State (Warm) Emissions (ppm)</t>
    </r>
    <r>
      <rPr>
        <b/>
        <vertAlign val="superscript"/>
        <sz val="10"/>
        <rFont val="Tahoma"/>
        <family val="2"/>
      </rPr>
      <t xml:space="preserve"> 1</t>
    </r>
  </si>
  <si>
    <t>Cold-Start Scaling Factor</t>
  </si>
  <si>
    <t>Cold Start Emission Ratio on Hourly Basis</t>
  </si>
  <si>
    <t>PM and Organics</t>
  </si>
  <si>
    <t>CO and Formaldehyde</t>
  </si>
  <si>
    <r>
      <rPr>
        <vertAlign val="superscript"/>
        <sz val="10"/>
        <rFont val="Tahoma"/>
        <family val="2"/>
      </rPr>
      <t>1</t>
    </r>
    <r>
      <rPr>
        <sz val="10"/>
        <rFont val="Tahoma"/>
        <family val="2"/>
      </rPr>
      <t xml:space="preserve"> Spike duration, cold-start emission spike, and steady-state (warm) emissions based on data from California Energy Commission (CEC) "Air Quality Implications of Backup Generators in California." The cold-start scaling factor is derived as the ratio of the spike concentration and duration to the steady-state emissions for the initial 60 seconds. Since a cold-start curve was not developed by CEC, it is assumed that the PM will experience the same trend as HC, and formaldehyde will experience the same trend as CO. A cold start event assumes 1 minute of cold start operation with spike in emissions and the remaining 59 minutes in the hour operating steady state. The cold start emission ratio shown below on hourly basis will be applied as: the hourly emission rate with cold start event = normal hourly emission rate x (1+ratio shown below on hourly basis). Consistent with DEQ's guidance on risk assessment for emergency engines, the cold start emissions are accounted for toxics that are organics and DPM. Metal toxics do not have higher emissions during cold start events.</t>
    </r>
  </si>
  <si>
    <r>
      <t>Cold Start Events per Generator</t>
    </r>
    <r>
      <rPr>
        <b/>
        <vertAlign val="superscript"/>
        <sz val="10"/>
        <rFont val="Tahoma"/>
        <family val="2"/>
      </rPr>
      <t>1</t>
    </r>
  </si>
  <si>
    <t>Cold start events/yr</t>
  </si>
  <si>
    <t>Cold start events per day</t>
  </si>
  <si>
    <r>
      <rPr>
        <vertAlign val="superscript"/>
        <sz val="10"/>
        <rFont val="Tahoma"/>
        <family val="2"/>
      </rPr>
      <t>1</t>
    </r>
    <r>
      <rPr>
        <sz val="10"/>
        <rFont val="Tahoma"/>
        <family val="2"/>
      </rPr>
      <t xml:space="preserve"> The number of cold start events per generator, per year is based on expected testing and maintenance operations.</t>
    </r>
  </si>
  <si>
    <r>
      <t xml:space="preserve">Hydrochloric Acid Gallons Used </t>
    </r>
    <r>
      <rPr>
        <b/>
        <vertAlign val="superscript"/>
        <sz val="10"/>
        <rFont val="Tahoma"/>
        <family val="2"/>
      </rPr>
      <t>1</t>
    </r>
  </si>
  <si>
    <r>
      <t xml:space="preserve">Emission Factor </t>
    </r>
    <r>
      <rPr>
        <b/>
        <vertAlign val="superscript"/>
        <sz val="10"/>
        <rFont val="Tahoma"/>
        <family val="2"/>
      </rPr>
      <t xml:space="preserve">2
</t>
    </r>
    <r>
      <rPr>
        <b/>
        <sz val="10"/>
        <rFont val="Tahoma"/>
        <family val="2"/>
      </rPr>
      <t>(lb HCl/gal)</t>
    </r>
  </si>
  <si>
    <r>
      <t xml:space="preserve">HCl Removal Efficiency </t>
    </r>
    <r>
      <rPr>
        <b/>
        <vertAlign val="superscript"/>
        <sz val="10"/>
        <rFont val="Tahoma"/>
        <family val="2"/>
      </rPr>
      <t>3</t>
    </r>
  </si>
  <si>
    <r>
      <t xml:space="preserve">HCl Emissions </t>
    </r>
    <r>
      <rPr>
        <b/>
        <vertAlign val="superscript"/>
        <sz val="10"/>
        <rFont val="Tahoma"/>
        <family val="2"/>
      </rPr>
      <t xml:space="preserve">4
</t>
    </r>
    <r>
      <rPr>
        <b/>
        <sz val="10"/>
        <rFont val="Tahoma"/>
        <family val="2"/>
      </rPr>
      <t>(lbs)</t>
    </r>
  </si>
  <si>
    <t>HCl gallons used based on 2021 material consumption.</t>
  </si>
  <si>
    <t>Emission factor for HCl assumes a high ambient temperature of 35 °C during filling.  HCl vapor pressure for 32% hydrochloric acid at 95°F is 11.7 mm Hg, per Perry’s Chemical Engineer’s Handbook.  Therefore, the following Ideal Gas Law equation can be used to determine the emission factor:</t>
  </si>
  <si>
    <t>Tank filling vapors are routed to an HCl removal scrubber, for which efficiency is estimated at 60%.</t>
  </si>
  <si>
    <t>HCl emissions are the product of solution volumetric use (gal) and emission factor (lb/gal)..</t>
  </si>
  <si>
    <t>117-79-3</t>
  </si>
  <si>
    <t>2-Aminoanthraquinone</t>
  </si>
  <si>
    <t>92-52-4</t>
  </si>
  <si>
    <t>Biphenyl</t>
  </si>
  <si>
    <t>75-27-4</t>
  </si>
  <si>
    <t>Bromodichloromethane</t>
  </si>
  <si>
    <t>540-88-5</t>
  </si>
  <si>
    <t>75-65-0</t>
  </si>
  <si>
    <t>143-50-0</t>
  </si>
  <si>
    <t>Chlordecone</t>
  </si>
  <si>
    <t>Chromic(VI) acid, including chromic acid aerosol mist and chromium trioxide</t>
  </si>
  <si>
    <t>4170-30-3</t>
  </si>
  <si>
    <t>Crotonaldehyde</t>
  </si>
  <si>
    <t>72-54-8</t>
  </si>
  <si>
    <t>4,4'-DDD (4,4'-dichlorodiphenyldichloroethane)</t>
  </si>
  <si>
    <t>72-55-9</t>
  </si>
  <si>
    <t>4,4'-DDE (4,4'-dichlorodiphenyldichloroethene)</t>
  </si>
  <si>
    <t>226-36-8</t>
  </si>
  <si>
    <t>Dibenz[a,h]acridine</t>
  </si>
  <si>
    <t>224-42-0</t>
  </si>
  <si>
    <t>Dibenz[a,j]acridine</t>
  </si>
  <si>
    <t>194-59-2</t>
  </si>
  <si>
    <t>7H-Dibenzo[c,g]carbazole</t>
  </si>
  <si>
    <t>1,2-Dibromo-3-chloropropane (DBCP)</t>
  </si>
  <si>
    <t>Dichlorvos (DDVP)</t>
  </si>
  <si>
    <t>57-97-6</t>
  </si>
  <si>
    <t>7,12-Dimethylbenz[a]anthracene</t>
  </si>
  <si>
    <t>42397-64-8</t>
  </si>
  <si>
    <t>1,6-Dinitropyrene</t>
  </si>
  <si>
    <t>42397-65-9</t>
  </si>
  <si>
    <t>1,8-Dinitropyrene</t>
  </si>
  <si>
    <t>74-85-1</t>
  </si>
  <si>
    <t>Ethylene</t>
  </si>
  <si>
    <t>76-13-1</t>
  </si>
  <si>
    <t>Chlorinated fluorocarbon (1,1,2-trichloro-1,2,2-trifluoroethane, CFC-113)</t>
  </si>
  <si>
    <t>75-71-8</t>
  </si>
  <si>
    <t>Dichlorodifluoromethane (Freon 12)</t>
  </si>
  <si>
    <t>Hexamethylene-1,6-diisocyanate</t>
  </si>
  <si>
    <t>78-79-5</t>
  </si>
  <si>
    <t>Isoprene, except from vegetative emission sources</t>
  </si>
  <si>
    <t>56-49-5</t>
  </si>
  <si>
    <t>3-Methylcholanthrene</t>
  </si>
  <si>
    <t>60-34-4</t>
  </si>
  <si>
    <t>Methyl hydrazine</t>
  </si>
  <si>
    <t>75-86-5</t>
  </si>
  <si>
    <t>2-Methyllactonitrile (acetone cyanohydrin)</t>
  </si>
  <si>
    <t>2385-85-5</t>
  </si>
  <si>
    <t>Mirex</t>
  </si>
  <si>
    <t>1313-99-1</t>
  </si>
  <si>
    <t>Nickel oxide</t>
  </si>
  <si>
    <t>602-87-9</t>
  </si>
  <si>
    <t>5-Nitroacenaphthene</t>
  </si>
  <si>
    <t>607-57-8</t>
  </si>
  <si>
    <t>2-Nitrofluorene</t>
  </si>
  <si>
    <t>5522-43-0</t>
  </si>
  <si>
    <t>1-Nitropyrene</t>
  </si>
  <si>
    <t>57835-92-4</t>
  </si>
  <si>
    <t>4-Nitropyrene</t>
  </si>
  <si>
    <t>N-Nitrosodi-n-butylamine</t>
  </si>
  <si>
    <t>N-Nitrosodiethylamine</t>
  </si>
  <si>
    <t>N-Nitrosodimethylamine</t>
  </si>
  <si>
    <t>N-Nitrosomethylethylamine</t>
  </si>
  <si>
    <t>N-Nitrosodiphenylamine</t>
  </si>
  <si>
    <t>N-Nitrosomorpholine</t>
  </si>
  <si>
    <t>N-Nitrosopiperidine</t>
  </si>
  <si>
    <t>N-Nitrosopyrrolidine</t>
  </si>
  <si>
    <t>Benzo[e]pyrene</t>
  </si>
  <si>
    <t>Perylene</t>
  </si>
  <si>
    <t>PCB 77 [3,3',4,4'-tetrachlorobiphenyl]</t>
  </si>
  <si>
    <t>PCB 81 [3,4,4',5-tetrachlorobiphenyl]</t>
  </si>
  <si>
    <t>PCB 105 [2,3,3',4,4'-pentachlorobiphenyl]</t>
  </si>
  <si>
    <t>PCB 114 [2,3,4,4',5-pentachlorobiphenyl]</t>
  </si>
  <si>
    <t>PCB 118 [2,3',4,4',5-pentachlorobiphenyl]</t>
  </si>
  <si>
    <t>PCB 123 [2,3',4,4',5'-pentachlorobiphenyl]</t>
  </si>
  <si>
    <t>PCB 126 [3,3',4,4',5-pentachlorobiphenyl]</t>
  </si>
  <si>
    <t>PCB 156 [2,3,3',4,4',5-hexachlorobiphenyl]</t>
  </si>
  <si>
    <t>PCB 157 [2,3,3',4,4',5'-hexachlorobiphenyl]</t>
  </si>
  <si>
    <t>PCB 167 [2,3',4,4',5,5'-hexachlorobiphenyl]</t>
  </si>
  <si>
    <t>PCB 169 [3,3',4,4',5,5'-hexachlorobiphenyl]</t>
  </si>
  <si>
    <t>PCB 189 [2,3,3',4,4',5,5'-heptachlorobiphenyl]</t>
  </si>
  <si>
    <t>2,3,7,8-Tetrachlorodibenzofuran (TcDF)</t>
  </si>
  <si>
    <t>1,2,3,7,8-Pentachlorodibenzofuran (PeCDF)</t>
  </si>
  <si>
    <t>2,3,4,7,8-Pentachlorodibenzofuran (PeCDF)</t>
  </si>
  <si>
    <t>1,2,3,4,7,8-Hexachlorodibenzofuran (HxCDF)</t>
  </si>
  <si>
    <t>1,2,3,6,7,8-Hexachlorodibenzofuran (HxCDF)</t>
  </si>
  <si>
    <t>1,2,3,7,8,9-Hexachlorodibenzofuran (HxCDF)</t>
  </si>
  <si>
    <t>1,2,3,4,6,7,8-Heptachlorodibenzofuran (HpCDF)</t>
  </si>
  <si>
    <t>1,2,3,4,7,8,9-Heptachlorodibenzofuran (HpCDF)</t>
  </si>
  <si>
    <t>1763-23-1</t>
  </si>
  <si>
    <t>Perfluorooctanesulfonic acid (PFOS)</t>
  </si>
  <si>
    <t>335-67-1</t>
  </si>
  <si>
    <t>Perfluorooctanoic acid (PFOA)</t>
  </si>
  <si>
    <t>Toluene diisocyanates (2,4- and 2,6-)</t>
  </si>
  <si>
    <t>120-82-1</t>
  </si>
  <si>
    <t>1,2,4-Trichlorobenzene</t>
  </si>
  <si>
    <t>100-40-3</t>
  </si>
  <si>
    <t>4-Vinylcyclohexene</t>
  </si>
  <si>
    <t>OAR 340-245-8020 Table 2</t>
  </si>
  <si>
    <t>Toxic Air Contaminant Reporting List</t>
  </si>
  <si>
    <t>DEQ ID</t>
  </si>
  <si>
    <t>CASRN</t>
  </si>
  <si>
    <t>98-86-2</t>
  </si>
  <si>
    <t>Acetophenone</t>
  </si>
  <si>
    <t>50-76-0</t>
  </si>
  <si>
    <t>Actinomycin D</t>
  </si>
  <si>
    <t>1596-84-5</t>
  </si>
  <si>
    <t>Alar</t>
  </si>
  <si>
    <t>1344-28-1</t>
  </si>
  <si>
    <t>Aluminum oxide (fibrous forms)</t>
  </si>
  <si>
    <t>97-56-3</t>
  </si>
  <si>
    <r>
      <rPr>
        <i/>
        <sz val="11"/>
        <rFont val="Arial"/>
        <family val="2"/>
      </rPr>
      <t>ortho</t>
    </r>
    <r>
      <rPr>
        <sz val="11"/>
        <rFont val="Arial"/>
        <family val="2"/>
      </rPr>
      <t>-Aminoazotoluene</t>
    </r>
  </si>
  <si>
    <t>6109-97-3</t>
  </si>
  <si>
    <t>3-Amino-9-ethylcarbazole hydrochloride</t>
  </si>
  <si>
    <t>68006-83-7</t>
  </si>
  <si>
    <t>2-Amino-3-methyl-9H pyrido[2,3-b]indole</t>
  </si>
  <si>
    <t>82-28-0</t>
  </si>
  <si>
    <t>1-Amino-2-methylanthraquinone</t>
  </si>
  <si>
    <t>76180-96-6</t>
  </si>
  <si>
    <t>2-Amino-3-methylimidazo-[4,5-f]quinoline</t>
  </si>
  <si>
    <t>712-68-5</t>
  </si>
  <si>
    <t>2-Amino-5-(5-nitro-2-furyl)-1,3,4-thiadiazole</t>
  </si>
  <si>
    <t>26148-68-5</t>
  </si>
  <si>
    <t>A-alpha-c(2-amino-9h-pyrido[2,3-b]indole)</t>
  </si>
  <si>
    <t>92-67-1</t>
  </si>
  <si>
    <t>4-Aminobiphenyl</t>
  </si>
  <si>
    <t>7803-63-6</t>
  </si>
  <si>
    <t>Ammonium bisulfate</t>
  </si>
  <si>
    <t>6484-52-2</t>
  </si>
  <si>
    <t>Ammonium nitrate</t>
  </si>
  <si>
    <t>7783-20-2</t>
  </si>
  <si>
    <t>Ammonium sulfate</t>
  </si>
  <si>
    <t>90-04-0</t>
  </si>
  <si>
    <r>
      <rPr>
        <i/>
        <sz val="11"/>
        <rFont val="Arial"/>
        <family val="2"/>
      </rPr>
      <t>o</t>
    </r>
    <r>
      <rPr>
        <sz val="11"/>
        <rFont val="Arial"/>
        <family val="2"/>
      </rPr>
      <t>-Anisidine</t>
    </r>
  </si>
  <si>
    <t>134-29-2</t>
  </si>
  <si>
    <r>
      <rPr>
        <i/>
        <sz val="11"/>
        <rFont val="Arial"/>
        <family val="2"/>
      </rPr>
      <t>o</t>
    </r>
    <r>
      <rPr>
        <sz val="11"/>
        <rFont val="Arial"/>
        <family val="2"/>
      </rPr>
      <t>-Anisidine hydrochloride</t>
    </r>
  </si>
  <si>
    <t>1309-64-4</t>
  </si>
  <si>
    <t>Antimony trioxide</t>
  </si>
  <si>
    <t>492-80-8</t>
  </si>
  <si>
    <t>Auramine</t>
  </si>
  <si>
    <t>115-02-6</t>
  </si>
  <si>
    <t>Azaserine</t>
  </si>
  <si>
    <t>446-86-6</t>
  </si>
  <si>
    <t>Azathioprine</t>
  </si>
  <si>
    <t>52-24-4</t>
  </si>
  <si>
    <r>
      <rPr>
        <i/>
        <sz val="11"/>
        <rFont val="Arial"/>
        <family val="2"/>
      </rPr>
      <t>tris</t>
    </r>
    <r>
      <rPr>
        <sz val="11"/>
        <rFont val="Arial"/>
        <family val="2"/>
      </rPr>
      <t>-(1-Aziridinyl)phosphine sulfide</t>
    </r>
  </si>
  <si>
    <t>271-89-6</t>
  </si>
  <si>
    <t>Benzofuran</t>
  </si>
  <si>
    <t>98-07-7</t>
  </si>
  <si>
    <t>Benzoic trichloride (benzotrichloride)</t>
  </si>
  <si>
    <t>98-88-4</t>
  </si>
  <si>
    <t>Benzoyl chloride</t>
  </si>
  <si>
    <t>94-36-0</t>
  </si>
  <si>
    <t>Benzoyl peroxide</t>
  </si>
  <si>
    <t>1694-09-3</t>
  </si>
  <si>
    <t>Benzyl Violet 4B</t>
  </si>
  <si>
    <t>1304-56-9</t>
  </si>
  <si>
    <t>Beryllium oxide</t>
  </si>
  <si>
    <t>13510-49-1</t>
  </si>
  <si>
    <t>Beryllium sulfate</t>
  </si>
  <si>
    <r>
      <rPr>
        <i/>
        <sz val="11"/>
        <rFont val="Arial"/>
        <family val="2"/>
      </rPr>
      <t>bis</t>
    </r>
    <r>
      <rPr>
        <sz val="11"/>
        <rFont val="Arial"/>
        <family val="2"/>
      </rPr>
      <t>(2-Chloroethyl) ether (BCEE)</t>
    </r>
  </si>
  <si>
    <r>
      <rPr>
        <i/>
        <sz val="11"/>
        <rFont val="Arial"/>
        <family val="2"/>
      </rPr>
      <t>bis</t>
    </r>
    <r>
      <rPr>
        <sz val="11"/>
        <rFont val="Arial"/>
        <family val="2"/>
      </rPr>
      <t>(Chloromethyl) ether</t>
    </r>
  </si>
  <si>
    <t>103-23-1</t>
  </si>
  <si>
    <r>
      <rPr>
        <i/>
        <sz val="11"/>
        <rFont val="Arial"/>
        <family val="2"/>
      </rPr>
      <t>bis</t>
    </r>
    <r>
      <rPr>
        <sz val="11"/>
        <rFont val="Arial"/>
        <family val="2"/>
      </rPr>
      <t>(2-Ethylhexyl) adipate</t>
    </r>
  </si>
  <si>
    <r>
      <rPr>
        <i/>
        <sz val="11"/>
        <rFont val="Arial"/>
        <family val="2"/>
      </rPr>
      <t>bis</t>
    </r>
    <r>
      <rPr>
        <sz val="11"/>
        <rFont val="Arial"/>
        <family val="2"/>
      </rPr>
      <t>(2-Ethylhexyl) phthalate (DEHP)</t>
    </r>
  </si>
  <si>
    <t>7726-95-6</t>
  </si>
  <si>
    <t>Bromine and compounds</t>
  </si>
  <si>
    <t>7789-30-2</t>
  </si>
  <si>
    <t>Bromine pentafluoride</t>
  </si>
  <si>
    <t>Bromomethane (methyl bromide)</t>
  </si>
  <si>
    <r>
      <t>1-Bromopropane (</t>
    </r>
    <r>
      <rPr>
        <i/>
        <sz val="11"/>
        <rFont val="Arial"/>
        <family val="2"/>
      </rPr>
      <t>n</t>
    </r>
    <r>
      <rPr>
        <sz val="11"/>
        <rFont val="Arial"/>
        <family val="2"/>
      </rPr>
      <t>-propyl bromide)</t>
    </r>
  </si>
  <si>
    <t>126-72-7</t>
  </si>
  <si>
    <r>
      <rPr>
        <i/>
        <sz val="11"/>
        <rFont val="Arial"/>
        <family val="2"/>
      </rPr>
      <t>tris</t>
    </r>
    <r>
      <rPr>
        <sz val="11"/>
        <rFont val="Arial"/>
        <family val="2"/>
      </rPr>
      <t>(2,3-Dibromopropyl)phosphate</t>
    </r>
  </si>
  <si>
    <t>2-Butanone (methyl ethyl ketone)</t>
  </si>
  <si>
    <r>
      <rPr>
        <i/>
        <sz val="11"/>
        <rFont val="Arial"/>
        <family val="2"/>
      </rPr>
      <t>t</t>
    </r>
    <r>
      <rPr>
        <sz val="11"/>
        <rFont val="Arial"/>
        <family val="2"/>
      </rPr>
      <t>-Butyl acetate</t>
    </r>
  </si>
  <si>
    <t>141-32-2</t>
  </si>
  <si>
    <t>Butyl acrylate</t>
  </si>
  <si>
    <r>
      <rPr>
        <i/>
        <sz val="11"/>
        <rFont val="Arial"/>
        <family val="2"/>
      </rPr>
      <t>n</t>
    </r>
    <r>
      <rPr>
        <sz val="11"/>
        <rFont val="Arial"/>
        <family val="2"/>
      </rPr>
      <t>-Butyl alcohol</t>
    </r>
  </si>
  <si>
    <r>
      <rPr>
        <i/>
        <sz val="11"/>
        <rFont val="Arial"/>
        <family val="2"/>
      </rPr>
      <t>sec</t>
    </r>
    <r>
      <rPr>
        <sz val="11"/>
        <rFont val="Arial"/>
        <family val="2"/>
      </rPr>
      <t>-Butyl alcohol</t>
    </r>
  </si>
  <si>
    <r>
      <rPr>
        <i/>
        <sz val="11"/>
        <rFont val="Arial"/>
        <family val="2"/>
      </rPr>
      <t>tert</t>
    </r>
    <r>
      <rPr>
        <sz val="11"/>
        <rFont val="Arial"/>
        <family val="2"/>
      </rPr>
      <t>-Butyl alcohol</t>
    </r>
  </si>
  <si>
    <t>85-68-7</t>
  </si>
  <si>
    <t>Butyl benzyl phthalate</t>
  </si>
  <si>
    <t>25013-16-5</t>
  </si>
  <si>
    <t>Butylated hydroxyanisole</t>
  </si>
  <si>
    <t>3068-88-0</t>
  </si>
  <si>
    <r>
      <rPr>
        <i/>
        <sz val="11"/>
        <rFont val="Arial"/>
        <family val="2"/>
      </rPr>
      <t>beta</t>
    </r>
    <r>
      <rPr>
        <sz val="11"/>
        <rFont val="Arial"/>
        <family val="2"/>
      </rPr>
      <t>-Butyrolactone</t>
    </r>
  </si>
  <si>
    <t>156-62-7</t>
  </si>
  <si>
    <t>Calcium cyanamide</t>
  </si>
  <si>
    <t>2425-06-1</t>
  </si>
  <si>
    <t>Captafol</t>
  </si>
  <si>
    <t>133-06-2</t>
  </si>
  <si>
    <t>Captan</t>
  </si>
  <si>
    <t>Carbon black extracts</t>
  </si>
  <si>
    <t>9000-07-1</t>
  </si>
  <si>
    <t>Carrageenan (degraded)</t>
  </si>
  <si>
    <t>Ceramic fibers</t>
  </si>
  <si>
    <t>133-90-4</t>
  </si>
  <si>
    <t>Chloramben</t>
  </si>
  <si>
    <t>305-03-3</t>
  </si>
  <si>
    <t>Chlorambucil</t>
  </si>
  <si>
    <t>115-28-6</t>
  </si>
  <si>
    <t>Chlorendic acid</t>
  </si>
  <si>
    <t>79-11-8</t>
  </si>
  <si>
    <t>Chloroacetic acid</t>
  </si>
  <si>
    <t>85535-84-8</t>
  </si>
  <si>
    <r>
      <t>Chloroalkanes C</t>
    </r>
    <r>
      <rPr>
        <vertAlign val="subscript"/>
        <sz val="11"/>
        <rFont val="Arial"/>
        <family val="2"/>
      </rPr>
      <t>10-13</t>
    </r>
    <r>
      <rPr>
        <sz val="11"/>
        <rFont val="Arial"/>
        <family val="2"/>
      </rPr>
      <t xml:space="preserve"> (chlorinated paraffins)</t>
    </r>
  </si>
  <si>
    <t>106-47-8</t>
  </si>
  <si>
    <r>
      <rPr>
        <i/>
        <sz val="11"/>
        <rFont val="Arial"/>
        <family val="2"/>
      </rPr>
      <t>p</t>
    </r>
    <r>
      <rPr>
        <sz val="11"/>
        <rFont val="Arial"/>
        <family val="2"/>
      </rPr>
      <t>-Chloroaniline</t>
    </r>
  </si>
  <si>
    <t>510-15-6</t>
  </si>
  <si>
    <t>Chlorobenzilate (ethyl-4,4'-dichlorobenzilate)</t>
  </si>
  <si>
    <t>Chloroethane (ethyl chloride)</t>
  </si>
  <si>
    <t>Chloromethane (methyl chloride)</t>
  </si>
  <si>
    <t>107-30-2</t>
  </si>
  <si>
    <t>Chloromethyl methyl ether (technical grade)</t>
  </si>
  <si>
    <t>563-47-3</t>
  </si>
  <si>
    <t>3-Chloro-2-methyl-1-propene</t>
  </si>
  <si>
    <t>95-57-8</t>
  </si>
  <si>
    <t>2-Chlorophenol</t>
  </si>
  <si>
    <r>
      <t>4-Chloro-</t>
    </r>
    <r>
      <rPr>
        <i/>
        <sz val="11"/>
        <rFont val="Arial"/>
        <family val="2"/>
      </rPr>
      <t>o</t>
    </r>
    <r>
      <rPr>
        <sz val="11"/>
        <rFont val="Arial"/>
        <family val="2"/>
      </rPr>
      <t>-phenylenediamine</t>
    </r>
  </si>
  <si>
    <t>1897-45-6</t>
  </si>
  <si>
    <t>Chlorothalonil</t>
  </si>
  <si>
    <r>
      <rPr>
        <i/>
        <sz val="11"/>
        <rFont val="Arial"/>
        <family val="2"/>
      </rPr>
      <t>p</t>
    </r>
    <r>
      <rPr>
        <sz val="11"/>
        <rFont val="Arial"/>
        <family val="2"/>
      </rPr>
      <t>-Chloro-</t>
    </r>
    <r>
      <rPr>
        <i/>
        <sz val="11"/>
        <rFont val="Arial"/>
        <family val="2"/>
      </rPr>
      <t>o</t>
    </r>
    <r>
      <rPr>
        <sz val="11"/>
        <rFont val="Arial"/>
        <family val="2"/>
      </rPr>
      <t>-toluidine</t>
    </r>
  </si>
  <si>
    <t>54749-90-5</t>
  </si>
  <si>
    <t>Chlorozotocin</t>
  </si>
  <si>
    <t>Chromic(VI) Acid</t>
  </si>
  <si>
    <t>569-61-9</t>
  </si>
  <si>
    <t>C.I. Basic Red 9 monohydrochloride</t>
  </si>
  <si>
    <t>87-29-6</t>
  </si>
  <si>
    <t>Cinnamyl anthranilate</t>
  </si>
  <si>
    <t>Coke oven emissions</t>
  </si>
  <si>
    <t>Creosotes</t>
  </si>
  <si>
    <r>
      <rPr>
        <i/>
        <sz val="11"/>
        <rFont val="Arial"/>
        <family val="2"/>
      </rPr>
      <t>p</t>
    </r>
    <r>
      <rPr>
        <sz val="11"/>
        <rFont val="Arial"/>
        <family val="2"/>
      </rPr>
      <t>-Cresidine</t>
    </r>
  </si>
  <si>
    <r>
      <t xml:space="preserve">Cresols (mixture), including </t>
    </r>
    <r>
      <rPr>
        <i/>
        <sz val="11"/>
        <rFont val="Arial"/>
        <family val="2"/>
      </rPr>
      <t>m</t>
    </r>
    <r>
      <rPr>
        <sz val="11"/>
        <rFont val="Arial"/>
        <family val="2"/>
      </rPr>
      <t xml:space="preserve">-cresol, </t>
    </r>
    <r>
      <rPr>
        <i/>
        <sz val="11"/>
        <rFont val="Arial"/>
        <family val="2"/>
      </rPr>
      <t>o</t>
    </r>
    <r>
      <rPr>
        <sz val="11"/>
        <rFont val="Arial"/>
        <family val="2"/>
      </rPr>
      <t xml:space="preserve">-cresol, </t>
    </r>
    <r>
      <rPr>
        <i/>
        <sz val="11"/>
        <rFont val="Arial"/>
        <family val="2"/>
      </rPr>
      <t>p</t>
    </r>
    <r>
      <rPr>
        <sz val="11"/>
        <rFont val="Arial"/>
        <family val="2"/>
      </rPr>
      <t>-cresol</t>
    </r>
  </si>
  <si>
    <r>
      <rPr>
        <i/>
        <sz val="11"/>
        <rFont val="Arial"/>
        <family val="2"/>
      </rPr>
      <t>m</t>
    </r>
    <r>
      <rPr>
        <sz val="11"/>
        <rFont val="Arial"/>
        <family val="2"/>
      </rPr>
      <t>-Cresol</t>
    </r>
  </si>
  <si>
    <t>95-48-7</t>
  </si>
  <si>
    <r>
      <rPr>
        <i/>
        <sz val="11"/>
        <rFont val="Arial"/>
        <family val="2"/>
      </rPr>
      <t>o</t>
    </r>
    <r>
      <rPr>
        <sz val="11"/>
        <rFont val="Arial"/>
        <family val="2"/>
      </rPr>
      <t>-Cresol</t>
    </r>
  </si>
  <si>
    <t>106-44-5</t>
  </si>
  <si>
    <r>
      <rPr>
        <i/>
        <sz val="11"/>
        <rFont val="Arial"/>
        <family val="2"/>
      </rPr>
      <t>p</t>
    </r>
    <r>
      <rPr>
        <sz val="11"/>
        <rFont val="Arial"/>
        <family val="2"/>
      </rPr>
      <t>-Cresol</t>
    </r>
  </si>
  <si>
    <t>80-15-9</t>
  </si>
  <si>
    <t>Cumene hydroperoxide</t>
  </si>
  <si>
    <t>Cyanide, hydrogen</t>
  </si>
  <si>
    <t>108-93-0</t>
  </si>
  <si>
    <t>Cyclohexanol</t>
  </si>
  <si>
    <t>66-81-9</t>
  </si>
  <si>
    <t>Cycloheximide</t>
  </si>
  <si>
    <t>50-18-0</t>
  </si>
  <si>
    <t>Cyclophosphamide (anhydrous)</t>
  </si>
  <si>
    <t>6055-19-2</t>
  </si>
  <si>
    <t>Cyclophosphamide (hydrated)</t>
  </si>
  <si>
    <t>5160-02-1</t>
  </si>
  <si>
    <t>D &amp; C Red No. 9</t>
  </si>
  <si>
    <t>4342-03-4</t>
  </si>
  <si>
    <t>Dacarbazine</t>
  </si>
  <si>
    <t>117-10-2</t>
  </si>
  <si>
    <t>Danthron (chrysazin)</t>
  </si>
  <si>
    <t>53-19-0</t>
  </si>
  <si>
    <t>2,4'-DDD (2,4'-dichlorodiphenyldichloroethane)</t>
  </si>
  <si>
    <t>3547-04-4</t>
  </si>
  <si>
    <t>DDE (1-chloro-4-[1-(4-chlorophenyl)ethyl]benzene)</t>
  </si>
  <si>
    <t>3424-82-6</t>
  </si>
  <si>
    <t>2,4'-DDE (2,4'-dichlorodiphenyldichloroethene)</t>
  </si>
  <si>
    <t>789-02-6</t>
  </si>
  <si>
    <t>2,4'-DDT (2,4'-dichlorodiphenyltrichloroethane)</t>
  </si>
  <si>
    <t>39156-41-7</t>
  </si>
  <si>
    <t>2,4-Diaminoanisole sulfate</t>
  </si>
  <si>
    <t>101-80-4</t>
  </si>
  <si>
    <t>4,4'-Diaminodiphenyl ether</t>
  </si>
  <si>
    <t>2,4-Diaminotoluene (2,4-toluene diamine)</t>
  </si>
  <si>
    <t>334-88-3</t>
  </si>
  <si>
    <t>Diazomethane</t>
  </si>
  <si>
    <t>132-64-9</t>
  </si>
  <si>
    <t>Dibenzofuran</t>
  </si>
  <si>
    <t>124-48-1</t>
  </si>
  <si>
    <t>Dibromochloromethane</t>
  </si>
  <si>
    <t>96-13-9</t>
  </si>
  <si>
    <t>2,3-Dibromo-1-propanol</t>
  </si>
  <si>
    <t>84-74-2</t>
  </si>
  <si>
    <t>Dibutyl phthalate</t>
  </si>
  <si>
    <t>95-50-1</t>
  </si>
  <si>
    <t>1,2-Dichlorobenzene</t>
  </si>
  <si>
    <t>541-73-1</t>
  </si>
  <si>
    <t>1,3-Dichlorobenzene</t>
  </si>
  <si>
    <r>
      <rPr>
        <i/>
        <sz val="11"/>
        <rFont val="Arial"/>
        <family val="2"/>
      </rPr>
      <t>p</t>
    </r>
    <r>
      <rPr>
        <sz val="11"/>
        <rFont val="Arial"/>
        <family val="2"/>
      </rPr>
      <t>-Dichlorobenzene (1,4-dichlorobenzene)</t>
    </r>
  </si>
  <si>
    <t>75-43-4</t>
  </si>
  <si>
    <t>Dichlorofluoromethane (Freon 21)</t>
  </si>
  <si>
    <t>1,1-Dichloroethane (ethylidene dichloride)</t>
  </si>
  <si>
    <r>
      <rPr>
        <i/>
        <sz val="11"/>
        <rFont val="Arial"/>
        <family val="2"/>
      </rPr>
      <t>trans</t>
    </r>
    <r>
      <rPr>
        <sz val="11"/>
        <rFont val="Arial"/>
        <family val="2"/>
      </rPr>
      <t>-1,2-Dichloroethene</t>
    </r>
  </si>
  <si>
    <t>Dichloromethane (methylene chloride)</t>
  </si>
  <si>
    <t>120-83-2</t>
  </si>
  <si>
    <t>2,4-Dichlorophenol</t>
  </si>
  <si>
    <t>94-75-7</t>
  </si>
  <si>
    <t>Dichlorophenoxyacetic acid, salts and esters (2,4-D)</t>
  </si>
  <si>
    <t>1,2-Dichloropropane (propylene dichloride)</t>
  </si>
  <si>
    <t>115-32-2</t>
  </si>
  <si>
    <t>Dicofol</t>
  </si>
  <si>
    <t>84-61-7</t>
  </si>
  <si>
    <t>Di-cyclohexyl phthalate (DCHP)</t>
  </si>
  <si>
    <t>111-46-6</t>
  </si>
  <si>
    <t>Diethylene glycol</t>
  </si>
  <si>
    <t>111-96-6</t>
  </si>
  <si>
    <t>Diethylene glycol dimethyl ether</t>
  </si>
  <si>
    <t>111-77-3</t>
  </si>
  <si>
    <t>Diethylene glycol monomethyl ether</t>
  </si>
  <si>
    <t>84-66-2</t>
  </si>
  <si>
    <t>Diethylphthalate</t>
  </si>
  <si>
    <t>64-67-5</t>
  </si>
  <si>
    <t>Diethyl sulfate</t>
  </si>
  <si>
    <t>134-62-3</t>
  </si>
  <si>
    <t>N,N-Diethyltoluamide (DEET)</t>
  </si>
  <si>
    <t>101-90-6</t>
  </si>
  <si>
    <t>Diglycidyl resorcinol ether</t>
  </si>
  <si>
    <t>94-58-6</t>
  </si>
  <si>
    <t>Dihydrosafrole</t>
  </si>
  <si>
    <t>119-90-4</t>
  </si>
  <si>
    <t>3,3'-Dimethoxybenzidine</t>
  </si>
  <si>
    <t>121-69-7</t>
  </si>
  <si>
    <t>N,N-Dimethylaniline</t>
  </si>
  <si>
    <t>119-93-7</t>
  </si>
  <si>
    <r>
      <t>3,3'-Dimethylbenzidine (</t>
    </r>
    <r>
      <rPr>
        <i/>
        <sz val="11"/>
        <rFont val="Arial"/>
        <family val="2"/>
      </rPr>
      <t>o</t>
    </r>
    <r>
      <rPr>
        <sz val="11"/>
        <rFont val="Arial"/>
        <family val="2"/>
      </rPr>
      <t>-tolidine)</t>
    </r>
  </si>
  <si>
    <t>79-44-7</t>
  </si>
  <si>
    <t>Dimethyl carbamoyl chloride</t>
  </si>
  <si>
    <t>131-11-3</t>
  </si>
  <si>
    <t>Dimethyl phthalate</t>
  </si>
  <si>
    <t>77-78-1</t>
  </si>
  <si>
    <t>Dimethyl sulfate</t>
  </si>
  <si>
    <t>513-37-1</t>
  </si>
  <si>
    <t>Dimethylvinylchloride</t>
  </si>
  <si>
    <t>534-52-1</t>
  </si>
  <si>
    <t>4,6-Dinitro-o-cresol (and salts)</t>
  </si>
  <si>
    <t>51-28-5</t>
  </si>
  <si>
    <t>2,4-Dinitrophenol</t>
  </si>
  <si>
    <t>606-20-2</t>
  </si>
  <si>
    <t>2,6-Dinitrotoluene</t>
  </si>
  <si>
    <t>630-93-3</t>
  </si>
  <si>
    <t>Diphenylhydantoin</t>
  </si>
  <si>
    <t>1,2-Diphenylhydrazine (hydrazobenzene)</t>
  </si>
  <si>
    <t>25265-71-8</t>
  </si>
  <si>
    <t>Dipropylene glycol</t>
  </si>
  <si>
    <t>34590-94-8</t>
  </si>
  <si>
    <t>Dipropylene glycol monomethyl ether</t>
  </si>
  <si>
    <t>2475-45-8</t>
  </si>
  <si>
    <t>Disperse Blue 1</t>
  </si>
  <si>
    <t>Epoxy resins</t>
  </si>
  <si>
    <t>12510-42-8</t>
  </si>
  <si>
    <t>Erionite</t>
  </si>
  <si>
    <t>Ethylene dibromide (EDB, 1,2-dibromoethane)</t>
  </si>
  <si>
    <t>Ethylene dichloride (EDC, 1,2-dichloroethane)</t>
  </si>
  <si>
    <t>629-14-1</t>
  </si>
  <si>
    <t>Ethylene glycol diethyl ether</t>
  </si>
  <si>
    <t>110-71-4</t>
  </si>
  <si>
    <t>Ethylene glycol dimethyl ether</t>
  </si>
  <si>
    <t>2807-30-9</t>
  </si>
  <si>
    <t>Ethylene glycol monopropyl ether</t>
  </si>
  <si>
    <t>151-56-4</t>
  </si>
  <si>
    <t>Ethyleneimine (aziridine)</t>
  </si>
  <si>
    <t>10028-22-5</t>
  </si>
  <si>
    <t>Ferric sulfate</t>
  </si>
  <si>
    <t>110-00-9</t>
  </si>
  <si>
    <t>Furan</t>
  </si>
  <si>
    <t>60568-05-0</t>
  </si>
  <si>
    <t>Furmecyclox</t>
  </si>
  <si>
    <t>3688-53-7</t>
  </si>
  <si>
    <t>Furylfuramide</t>
  </si>
  <si>
    <t>Glasswool fibers</t>
  </si>
  <si>
    <t>67730-11-4</t>
  </si>
  <si>
    <t>Glu-P-1</t>
  </si>
  <si>
    <t>67730-10-3</t>
  </si>
  <si>
    <t>Glu-P-2</t>
  </si>
  <si>
    <t>16568-02-8</t>
  </si>
  <si>
    <t>Gyromitrin</t>
  </si>
  <si>
    <t>2784-94-3</t>
  </si>
  <si>
    <t>HC Blue 1</t>
  </si>
  <si>
    <r>
      <rPr>
        <i/>
        <sz val="11"/>
        <rFont val="Arial"/>
        <family val="2"/>
      </rPr>
      <t>alpha</t>
    </r>
    <r>
      <rPr>
        <sz val="11"/>
        <rFont val="Arial"/>
        <family val="2"/>
      </rPr>
      <t>-Hexachlorocyclohexane</t>
    </r>
  </si>
  <si>
    <r>
      <rPr>
        <i/>
        <sz val="11"/>
        <rFont val="Arial"/>
        <family val="2"/>
      </rPr>
      <t>beta</t>
    </r>
    <r>
      <rPr>
        <sz val="11"/>
        <rFont val="Arial"/>
        <family val="2"/>
      </rPr>
      <t>-Hexachlorocyclohexane</t>
    </r>
  </si>
  <si>
    <r>
      <rPr>
        <i/>
        <sz val="11"/>
        <rFont val="Arial"/>
        <family val="2"/>
      </rPr>
      <t>gamma</t>
    </r>
    <r>
      <rPr>
        <sz val="11"/>
        <rFont val="Arial"/>
        <family val="2"/>
      </rPr>
      <t>-Hexachlorocyclohexane (Lindane)</t>
    </r>
  </si>
  <si>
    <t>680-31-9</t>
  </si>
  <si>
    <t>Hexamethylphosphoramide</t>
  </si>
  <si>
    <t>10034-93-2</t>
  </si>
  <si>
    <t>Hydrazine sulfate</t>
  </si>
  <si>
    <t>123-31-9</t>
  </si>
  <si>
    <t>Hydroquinone</t>
  </si>
  <si>
    <t>10043-66-0</t>
  </si>
  <si>
    <t>Iodine-131</t>
  </si>
  <si>
    <t>13463-40-6</t>
  </si>
  <si>
    <t>Iron pentacarbonyl</t>
  </si>
  <si>
    <t>Isopropylbenzene (cumene)</t>
  </si>
  <si>
    <t>80-05-7</t>
  </si>
  <si>
    <t>4,4'-Isopropylidenediphenol (bisphenol A)</t>
  </si>
  <si>
    <t>303-34-4</t>
  </si>
  <si>
    <t>Lasiocarpine</t>
  </si>
  <si>
    <t>18454-12-1</t>
  </si>
  <si>
    <t>Lead chromate oxide</t>
  </si>
  <si>
    <t>148-82-3</t>
  </si>
  <si>
    <t>Melphalan</t>
  </si>
  <si>
    <t>3223-07-2</t>
  </si>
  <si>
    <t>Melphalan HCl</t>
  </si>
  <si>
    <t>627-44-1</t>
  </si>
  <si>
    <t>Diethylmercury</t>
  </si>
  <si>
    <t>593-74-8</t>
  </si>
  <si>
    <t>Dimethylmercury</t>
  </si>
  <si>
    <t>22967-92-6</t>
  </si>
  <si>
    <t>Methylmercury</t>
  </si>
  <si>
    <t>72-43-5</t>
  </si>
  <si>
    <t>Methoxychlor</t>
  </si>
  <si>
    <t>55738-54-0</t>
  </si>
  <si>
    <r>
      <rPr>
        <i/>
        <sz val="11"/>
        <rFont val="Arial"/>
        <family val="2"/>
      </rPr>
      <t>trans</t>
    </r>
    <r>
      <rPr>
        <sz val="11"/>
        <rFont val="Arial"/>
        <family val="2"/>
      </rPr>
      <t>-2[(Dimethylamino)-methylimino]-5-[2-(5-nitro-2-furyl)-vinyl]-1,3,4-oxadiazole</t>
    </r>
  </si>
  <si>
    <r>
      <t xml:space="preserve">4,4'-Methylene </t>
    </r>
    <r>
      <rPr>
        <i/>
        <sz val="11"/>
        <rFont val="Arial"/>
        <family val="2"/>
      </rPr>
      <t>bis</t>
    </r>
    <r>
      <rPr>
        <sz val="11"/>
        <rFont val="Arial"/>
        <family val="2"/>
      </rPr>
      <t>(2-chloroaniline) (MOCA)</t>
    </r>
  </si>
  <si>
    <t>13552-44-8</t>
  </si>
  <si>
    <t>4,4'-Methylenedianiline dihydrochloride</t>
  </si>
  <si>
    <t>838-88-0</t>
  </si>
  <si>
    <r>
      <t xml:space="preserve">4,4'-Methylene </t>
    </r>
    <r>
      <rPr>
        <i/>
        <sz val="11"/>
        <rFont val="Arial"/>
        <family val="2"/>
      </rPr>
      <t>bis</t>
    </r>
    <r>
      <rPr>
        <sz val="11"/>
        <rFont val="Arial"/>
        <family val="2"/>
      </rPr>
      <t>(2-methylaniline)</t>
    </r>
  </si>
  <si>
    <t>101-61-1</t>
  </si>
  <si>
    <r>
      <t xml:space="preserve">4,4'-Methylene </t>
    </r>
    <r>
      <rPr>
        <i/>
        <sz val="11"/>
        <rFont val="Arial"/>
        <family val="2"/>
      </rPr>
      <t>bis</t>
    </r>
    <r>
      <rPr>
        <sz val="11"/>
        <rFont val="Arial"/>
        <family val="2"/>
      </rPr>
      <t>(N,N'-dimethyl)aniline</t>
    </r>
  </si>
  <si>
    <t>540-73-8</t>
  </si>
  <si>
    <t>1,2-Dimethylhydrazine</t>
  </si>
  <si>
    <t>74-88-4</t>
  </si>
  <si>
    <t>Methyl iodide (iodomethane)</t>
  </si>
  <si>
    <t>Methyl isobutyl ketone (MIBK, hexone)</t>
  </si>
  <si>
    <t>66-27-3</t>
  </si>
  <si>
    <t>Methyl methanesulfonate</t>
  </si>
  <si>
    <t>129-15-7</t>
  </si>
  <si>
    <t>2-Methyl-1-nitroanthraquinone</t>
  </si>
  <si>
    <t>70-25-7</t>
  </si>
  <si>
    <t>N-Methyl-N-nitro-N-nitrosoguanidine</t>
  </si>
  <si>
    <t>832-69-9</t>
  </si>
  <si>
    <t>1-Methylphenanthrene</t>
  </si>
  <si>
    <t>2381-21-7</t>
  </si>
  <si>
    <t>1-Methylpyrene</t>
  </si>
  <si>
    <t>109-06-8</t>
  </si>
  <si>
    <t>2-Methylpyridine</t>
  </si>
  <si>
    <r>
      <t xml:space="preserve">Methyl </t>
    </r>
    <r>
      <rPr>
        <i/>
        <sz val="11"/>
        <rFont val="Arial"/>
        <family val="2"/>
      </rPr>
      <t>tert</t>
    </r>
    <r>
      <rPr>
        <sz val="11"/>
        <rFont val="Arial"/>
        <family val="2"/>
      </rPr>
      <t>-butyl ether</t>
    </r>
  </si>
  <si>
    <t>56-04-2</t>
  </si>
  <si>
    <t>Methylthiouracil</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</si>
  <si>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</si>
  <si>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</si>
  <si>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50-07-7</t>
  </si>
  <si>
    <t>Mitomycin C</t>
  </si>
  <si>
    <t>315-22-0</t>
  </si>
  <si>
    <t>Monocrotaline</t>
  </si>
  <si>
    <t>91-59-8</t>
  </si>
  <si>
    <t>2-Naphthylamine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</si>
  <si>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</si>
  <si>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</si>
  <si>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</si>
  <si>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</si>
  <si>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</si>
  <si>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</si>
  <si>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</si>
  <si>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</si>
  <si>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</si>
  <si>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</si>
  <si>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</si>
  <si>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</si>
  <si>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</si>
  <si>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</si>
  <si>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</si>
  <si>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</si>
  <si>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</si>
  <si>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</si>
  <si>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</si>
  <si>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</si>
  <si>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</si>
  <si>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</si>
  <si>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</si>
  <si>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</si>
  <si>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</si>
  <si>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</si>
  <si>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139-13-9</t>
  </si>
  <si>
    <t>Nitrilotriacetic acid</t>
  </si>
  <si>
    <t>18662-53-8</t>
  </si>
  <si>
    <t>Nitrilotriacetic acid, trisodium salt monohydrate</t>
  </si>
  <si>
    <t>99-59-2</t>
  </si>
  <si>
    <r>
      <t>5-Nitro-</t>
    </r>
    <r>
      <rPr>
        <i/>
        <sz val="11"/>
        <rFont val="Arial"/>
        <family val="2"/>
      </rPr>
      <t>o</t>
    </r>
    <r>
      <rPr>
        <sz val="11"/>
        <rFont val="Arial"/>
        <family val="2"/>
      </rPr>
      <t>-anisidine</t>
    </r>
  </si>
  <si>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</si>
  <si>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</si>
  <si>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</si>
  <si>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</si>
  <si>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</si>
  <si>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</si>
  <si>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</si>
  <si>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</si>
  <si>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</si>
  <si>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</si>
  <si>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</si>
  <si>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</si>
  <si>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</si>
  <si>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</si>
  <si>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1116-54-7</t>
  </si>
  <si>
    <t>N-Nitrosodiethanolamine</t>
  </si>
  <si>
    <r>
      <rPr>
        <i/>
        <sz val="11"/>
        <rFont val="Arial"/>
        <family val="2"/>
      </rPr>
      <t>p</t>
    </r>
    <r>
      <rPr>
        <sz val="11"/>
        <rFont val="Arial"/>
        <family val="2"/>
      </rPr>
      <t>-Nitrosodiphenylamine</t>
    </r>
  </si>
  <si>
    <t>N-Nitrosodipropylamine</t>
  </si>
  <si>
    <t>759-73-9</t>
  </si>
  <si>
    <t>N-Nitroso-N-ethylurea</t>
  </si>
  <si>
    <t>615-53-2</t>
  </si>
  <si>
    <t>N-Nitroso-N-methylurethane</t>
  </si>
  <si>
    <t>684-93-5</t>
  </si>
  <si>
    <r>
      <t>N-Nitroso</t>
    </r>
    <r>
      <rPr>
        <i/>
        <sz val="11"/>
        <rFont val="Arial"/>
        <family val="2"/>
      </rPr>
      <t>-N</t>
    </r>
    <r>
      <rPr>
        <sz val="11"/>
        <rFont val="Arial"/>
        <family val="2"/>
      </rPr>
      <t>-methylurea</t>
    </r>
  </si>
  <si>
    <t>16543-55-8</t>
  </si>
  <si>
    <t>N-Nitrosonornicotine</t>
  </si>
  <si>
    <t>39765-80-5</t>
  </si>
  <si>
    <r>
      <rPr>
        <i/>
        <sz val="11"/>
        <rFont val="Arial"/>
        <family val="2"/>
      </rPr>
      <t>trans</t>
    </r>
    <r>
      <rPr>
        <sz val="11"/>
        <rFont val="Arial"/>
        <family val="2"/>
      </rPr>
      <t>-Nonachlor</t>
    </r>
  </si>
  <si>
    <t>104-40-5</t>
  </si>
  <si>
    <t>4-Nonylphenol (and ethoxylates)</t>
  </si>
  <si>
    <t>32534-81-9</t>
  </si>
  <si>
    <t>Pentabromodiphenyl ether</t>
  </si>
  <si>
    <t>82-68-8</t>
  </si>
  <si>
    <t>Pentachloronitrobenzene (quintobenzene)</t>
  </si>
  <si>
    <t>79-21-0</t>
  </si>
  <si>
    <t>Peracetic acid</t>
  </si>
  <si>
    <t>Perfluorinated compounds (PFCs)</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</si>
  <si>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</si>
  <si>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</si>
  <si>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</si>
  <si>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</si>
  <si>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</si>
  <si>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</si>
  <si>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</si>
  <si>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</si>
  <si>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</si>
  <si>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</si>
  <si>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</si>
  <si>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</si>
  <si>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</si>
  <si>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</si>
  <si>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106-50-3</t>
  </si>
  <si>
    <r>
      <rPr>
        <i/>
        <sz val="11"/>
        <rFont val="Arial"/>
        <family val="2"/>
      </rPr>
      <t>p</t>
    </r>
    <r>
      <rPr>
        <sz val="11"/>
        <rFont val="Arial"/>
        <family val="2"/>
      </rPr>
      <t>-Phenylenediamine</t>
    </r>
  </si>
  <si>
    <t>132-27-4</t>
  </si>
  <si>
    <r>
      <rPr>
        <i/>
        <sz val="11"/>
        <rFont val="Arial"/>
        <family val="2"/>
      </rPr>
      <t>o</t>
    </r>
    <r>
      <rPr>
        <sz val="11"/>
        <rFont val="Arial"/>
        <family val="2"/>
      </rPr>
      <t>-Phenylphenate, sodium</t>
    </r>
  </si>
  <si>
    <t>90-43-7</t>
  </si>
  <si>
    <t>2-Phenylphenol</t>
  </si>
  <si>
    <t>Phosphorus and compounds</t>
  </si>
  <si>
    <t>10025-87-3</t>
  </si>
  <si>
    <t>Phosphorus oxychloride</t>
  </si>
  <si>
    <t>10026-13-8</t>
  </si>
  <si>
    <t>Phosphorus pentachloride</t>
  </si>
  <si>
    <t>7719-12-2</t>
  </si>
  <si>
    <t>Phosphorus trichloride</t>
  </si>
  <si>
    <t>Phthalates</t>
  </si>
  <si>
    <t>5436-43-1</t>
  </si>
  <si>
    <t>PBDE-47 [2,2',4,4'-tetrabromodiphenyl ether]</t>
  </si>
  <si>
    <t>60348-60-9</t>
  </si>
  <si>
    <t>PBDE-99 [2,2’,4,4’,5-pentabromodiphenyl ether]</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</si>
  <si>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</si>
  <si>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</si>
  <si>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</si>
  <si>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</si>
  <si>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</si>
  <si>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</si>
  <si>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</si>
  <si>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</si>
  <si>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</si>
  <si>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</si>
  <si>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</si>
  <si>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</si>
  <si>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34883-43-7</t>
  </si>
  <si>
    <t>PCB-8 [2,4'-dichlorobiphenyl]</t>
  </si>
  <si>
    <t>37680-65-2</t>
  </si>
  <si>
    <t>PCB 18 [2,2',5-trichlorobiphenyl]</t>
  </si>
  <si>
    <t>7012-37-5</t>
  </si>
  <si>
    <t>PCB-28 [2,4,4'-trichlorobiphenyl]</t>
  </si>
  <si>
    <t>41464-39-5</t>
  </si>
  <si>
    <t>PCB-44 [2,2',3,5'-tetrachlorobiphenyl]</t>
  </si>
  <si>
    <t>35693-99-3</t>
  </si>
  <si>
    <t>PCB-52 [2,2',5,5'-tetrachlorobiphenyl]</t>
  </si>
  <si>
    <t>32598-10-0</t>
  </si>
  <si>
    <t>PCB-66 [2,3',4,4'-tetrachlorobiphenyl]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</si>
  <si>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</si>
  <si>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</si>
  <si>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</si>
  <si>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</si>
  <si>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</si>
  <si>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</si>
  <si>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</si>
  <si>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</si>
  <si>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</si>
  <si>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</si>
  <si>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</si>
  <si>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</si>
  <si>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</si>
  <si>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</si>
  <si>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</si>
  <si>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</si>
  <si>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</si>
  <si>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</si>
  <si>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</si>
  <si>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</si>
  <si>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r>
      <t>Polychlorinated dibenzo-</t>
    </r>
    <r>
      <rPr>
        <i/>
        <sz val="11"/>
        <rFont val="Arial"/>
        <family val="2"/>
      </rPr>
      <t>p</t>
    </r>
    <r>
      <rPr>
        <sz val="11"/>
        <rFont val="Arial"/>
        <family val="2"/>
      </rPr>
      <t>-dioxins (PCDDs) &amp; dibenzofurans (PCDFs) TEQ</t>
    </r>
  </si>
  <si>
    <r>
      <t>2,3,7,8-Tetrachlorodibenzo-</t>
    </r>
    <r>
      <rPr>
        <i/>
        <sz val="11"/>
        <rFont val="Arial"/>
        <family val="2"/>
      </rPr>
      <t>p</t>
    </r>
    <r>
      <rPr>
        <sz val="11"/>
        <rFont val="Arial"/>
        <family val="2"/>
      </rPr>
      <t>-dioxin (TCDD)</t>
    </r>
  </si>
  <si>
    <r>
      <t>1,2,3,7,8-Pentachlorodibenzo-</t>
    </r>
    <r>
      <rPr>
        <i/>
        <sz val="11"/>
        <rFont val="Arial"/>
        <family val="2"/>
      </rPr>
      <t>p</t>
    </r>
    <r>
      <rPr>
        <sz val="11"/>
        <rFont val="Arial"/>
        <family val="2"/>
      </rPr>
      <t>-dioxin (PeCDD)</t>
    </r>
  </si>
  <si>
    <r>
      <t>1,2,3,4,7,8-Hexachlorodibenzo-</t>
    </r>
    <r>
      <rPr>
        <i/>
        <sz val="11"/>
        <rFont val="Arial"/>
        <family val="2"/>
      </rPr>
      <t>p</t>
    </r>
    <r>
      <rPr>
        <sz val="11"/>
        <rFont val="Arial"/>
        <family val="2"/>
      </rPr>
      <t>-dioxin (HxCDD)</t>
    </r>
  </si>
  <si>
    <r>
      <t>1,2,3,6,7,8-Hexachlorodibenzo-</t>
    </r>
    <r>
      <rPr>
        <i/>
        <sz val="11"/>
        <rFont val="Arial"/>
        <family val="2"/>
      </rPr>
      <t>p</t>
    </r>
    <r>
      <rPr>
        <sz val="11"/>
        <rFont val="Arial"/>
        <family val="2"/>
      </rPr>
      <t>-dioxin (HxCDD)</t>
    </r>
  </si>
  <si>
    <r>
      <t>1,2,3,7,8,9-Hexachlorodibenzo-</t>
    </r>
    <r>
      <rPr>
        <i/>
        <sz val="11"/>
        <rFont val="Arial"/>
        <family val="2"/>
      </rPr>
      <t>p</t>
    </r>
    <r>
      <rPr>
        <sz val="11"/>
        <rFont val="Arial"/>
        <family val="2"/>
      </rPr>
      <t>-dioxin (HxCDD)</t>
    </r>
  </si>
  <si>
    <r>
      <t>1,2,3,4,6,7,8-Heptachlorodibenzo-</t>
    </r>
    <r>
      <rPr>
        <i/>
        <sz val="11"/>
        <rFont val="Arial"/>
        <family val="2"/>
      </rPr>
      <t>p</t>
    </r>
    <r>
      <rPr>
        <sz val="11"/>
        <rFont val="Arial"/>
        <family val="2"/>
      </rPr>
      <t>-dioxin (HpCDD)</t>
    </r>
  </si>
  <si>
    <r>
      <t>Octachlorodibenzo-</t>
    </r>
    <r>
      <rPr>
        <i/>
        <sz val="11"/>
        <rFont val="Arial"/>
        <family val="2"/>
      </rPr>
      <t>p</t>
    </r>
    <r>
      <rPr>
        <sz val="11"/>
        <rFont val="Arial"/>
        <family val="2"/>
      </rPr>
      <t>-dioxin (OCDD)</t>
    </r>
  </si>
  <si>
    <t>2,3,4,6,7,8-Hexachlorodibenzofuran (HxCDF)</t>
  </si>
  <si>
    <t>Acenaphthene</t>
  </si>
  <si>
    <t>Acenaphthylene</t>
  </si>
  <si>
    <t>Anthracene</t>
  </si>
  <si>
    <t>86-74-8</t>
  </si>
  <si>
    <t>Carbazole</t>
  </si>
  <si>
    <t>5385-75-1</t>
  </si>
  <si>
    <t>Dibenzo[a,e]fluoranthene</t>
  </si>
  <si>
    <t>Fluorene</t>
  </si>
  <si>
    <t>2-Methyl naphthalene</t>
  </si>
  <si>
    <t>Phenanthrene</t>
  </si>
  <si>
    <t>Polycyclic aromatic hydrocarbon derivatives [PAH-Derivatives]</t>
  </si>
  <si>
    <t>53-96-3</t>
  </si>
  <si>
    <t>2-Acetylaminofluorene</t>
  </si>
  <si>
    <t>63-25-2</t>
  </si>
  <si>
    <t>Carbaryl</t>
  </si>
  <si>
    <t>3564-09-8</t>
  </si>
  <si>
    <t>Ponceau 3R</t>
  </si>
  <si>
    <t>3761-53-3</t>
  </si>
  <si>
    <t>Ponceau MX</t>
  </si>
  <si>
    <t>671-16-9</t>
  </si>
  <si>
    <t>Procarbazine</t>
  </si>
  <si>
    <t>366-70-1</t>
  </si>
  <si>
    <t>Procarbazine hydrochloride</t>
  </si>
  <si>
    <t>57-57-8</t>
  </si>
  <si>
    <r>
      <rPr>
        <i/>
        <sz val="11"/>
        <rFont val="Arial"/>
        <family val="2"/>
      </rPr>
      <t>beta</t>
    </r>
    <r>
      <rPr>
        <sz val="11"/>
        <rFont val="Arial"/>
        <family val="2"/>
      </rPr>
      <t>-Propiolactone</t>
    </r>
  </si>
  <si>
    <t>114-26-1</t>
  </si>
  <si>
    <t>Propoxur (Baygon)</t>
  </si>
  <si>
    <t>Propylene glycol monomethyl ether acetate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</si>
  <si>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</si>
  <si>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</si>
  <si>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</si>
  <si>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</si>
  <si>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</si>
  <si>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</si>
  <si>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</si>
  <si>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</si>
  <si>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</si>
  <si>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</si>
  <si>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</si>
  <si>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</si>
  <si>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</si>
  <si>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Reserpine</t>
  </si>
  <si>
    <t>Rockwool</t>
  </si>
  <si>
    <t>94-59-7</t>
  </si>
  <si>
    <t>Safrole</t>
  </si>
  <si>
    <t>7446-34-6</t>
  </si>
  <si>
    <t>Selenium sulfide</t>
  </si>
  <si>
    <t>Silver and compounds</t>
  </si>
  <si>
    <t>Slagwool</t>
  </si>
  <si>
    <t>10048-13-2</t>
  </si>
  <si>
    <t>Sterigmatocystin</t>
  </si>
  <si>
    <t>18883-66-4</t>
  </si>
  <si>
    <t>Streptozotocin</t>
  </si>
  <si>
    <t>96-09-3</t>
  </si>
  <si>
    <t>Styrene oxide</t>
  </si>
  <si>
    <t>95-06-7</t>
  </si>
  <si>
    <t>Sulfallate</t>
  </si>
  <si>
    <t>Sulfur mustard</t>
  </si>
  <si>
    <t>7446-11-9</t>
  </si>
  <si>
    <t>Talc containing asbestiform fibers</t>
  </si>
  <si>
    <t>100-21-0</t>
  </si>
  <si>
    <t>Terephthalic acid</t>
  </si>
  <si>
    <t>40088-47-9</t>
  </si>
  <si>
    <t>Tetrabromodiphenyl ether</t>
  </si>
  <si>
    <t>Tetrachloroethene (perchloroethylene)</t>
  </si>
  <si>
    <t>58-90-2</t>
  </si>
  <si>
    <t>2,3,4,6-Tetrachlorophenol</t>
  </si>
  <si>
    <t>Thallium and compounds</t>
  </si>
  <si>
    <t>139-65-1</t>
  </si>
  <si>
    <t>4,4'-Thiodianiline</t>
  </si>
  <si>
    <t>62-56-6</t>
  </si>
  <si>
    <t>Thiourea</t>
  </si>
  <si>
    <t>584-84-9</t>
  </si>
  <si>
    <t>Toluene-2,4-diisocyanate</t>
  </si>
  <si>
    <t>91-08-7</t>
  </si>
  <si>
    <t>Toluene-2,6-diisocyanate</t>
  </si>
  <si>
    <t>95-53-4</t>
  </si>
  <si>
    <r>
      <rPr>
        <i/>
        <sz val="11"/>
        <rFont val="Arial"/>
        <family val="2"/>
      </rPr>
      <t>o</t>
    </r>
    <r>
      <rPr>
        <sz val="11"/>
        <rFont val="Arial"/>
        <family val="2"/>
      </rPr>
      <t>-Toluidine</t>
    </r>
  </si>
  <si>
    <t>636-21-5</t>
  </si>
  <si>
    <r>
      <rPr>
        <i/>
        <sz val="11"/>
        <rFont val="Arial"/>
        <family val="2"/>
      </rPr>
      <t>o</t>
    </r>
    <r>
      <rPr>
        <sz val="11"/>
        <rFont val="Arial"/>
        <family val="2"/>
      </rPr>
      <t>-Toluidine hydrochloride</t>
    </r>
  </si>
  <si>
    <t>41903-57-5</t>
  </si>
  <si>
    <r>
      <t>Total tetrachlorodibenzo-</t>
    </r>
    <r>
      <rPr>
        <i/>
        <sz val="11"/>
        <rFont val="Arial"/>
        <family val="2"/>
      </rPr>
      <t>p</t>
    </r>
    <r>
      <rPr>
        <sz val="11"/>
        <rFont val="Arial"/>
        <family val="2"/>
      </rPr>
      <t>-dioxin</t>
    </r>
  </si>
  <si>
    <t>36088-22-9</t>
  </si>
  <si>
    <r>
      <t>Total pentachlorodibenzo-</t>
    </r>
    <r>
      <rPr>
        <i/>
        <sz val="11"/>
        <rFont val="Arial"/>
        <family val="2"/>
      </rPr>
      <t>p</t>
    </r>
    <r>
      <rPr>
        <sz val="11"/>
        <rFont val="Arial"/>
        <family val="2"/>
      </rPr>
      <t>-dioxin</t>
    </r>
  </si>
  <si>
    <t>34465-46-8</t>
  </si>
  <si>
    <r>
      <t>Total hexachlorodibenzo-</t>
    </r>
    <r>
      <rPr>
        <i/>
        <sz val="11"/>
        <rFont val="Arial"/>
        <family val="2"/>
      </rPr>
      <t>p</t>
    </r>
    <r>
      <rPr>
        <sz val="11"/>
        <rFont val="Arial"/>
        <family val="2"/>
      </rPr>
      <t>-dioxin</t>
    </r>
  </si>
  <si>
    <t>37871-00-4</t>
  </si>
  <si>
    <r>
      <t>Total heptachlorodibenzo-</t>
    </r>
    <r>
      <rPr>
        <i/>
        <sz val="11"/>
        <rFont val="Arial"/>
        <family val="2"/>
      </rPr>
      <t>p</t>
    </r>
    <r>
      <rPr>
        <sz val="11"/>
        <rFont val="Arial"/>
        <family val="2"/>
      </rPr>
      <t>-dioxin</t>
    </r>
  </si>
  <si>
    <t>55722-27-5</t>
  </si>
  <si>
    <t>Total tetrachlorodibenzofuran</t>
  </si>
  <si>
    <t>30402-15-4</t>
  </si>
  <si>
    <t>Total pentachlorodibenzofuran</t>
  </si>
  <si>
    <t>55684-94-1</t>
  </si>
  <si>
    <t>Total hexachlorodibenzofuran</t>
  </si>
  <si>
    <t>38998-75-3</t>
  </si>
  <si>
    <t>Total heptachlorodibenzofuran</t>
  </si>
  <si>
    <t>Toxaphene (polychlorinated camphenes)</t>
  </si>
  <si>
    <t>126-73-8</t>
  </si>
  <si>
    <t>Tributyl phosphate</t>
  </si>
  <si>
    <t>1,1,1-Trichloroethane (methyl chloroform)</t>
  </si>
  <si>
    <t>1,1,2-Trichloroethane (vinyl trichloride)</t>
  </si>
  <si>
    <t>Trichloroethene (TCE, trichloroethylene)</t>
  </si>
  <si>
    <t>75-69-4</t>
  </si>
  <si>
    <t>Trichlorofluoromethane (Freon 11)</t>
  </si>
  <si>
    <t>95-95-4</t>
  </si>
  <si>
    <t>2,4,5-Trichlorophenol</t>
  </si>
  <si>
    <t>78-40-0</t>
  </si>
  <si>
    <t>Triethyl phosphate</t>
  </si>
  <si>
    <t>112-49-2</t>
  </si>
  <si>
    <t>Triethylene glycol dimethyl ether</t>
  </si>
  <si>
    <t>512-56-1</t>
  </si>
  <si>
    <t>Trimethyl phosphate</t>
  </si>
  <si>
    <t>78-30-8</t>
  </si>
  <si>
    <t>Triorthocresyl phosphate</t>
  </si>
  <si>
    <t>115-86-6</t>
  </si>
  <si>
    <t>Triphenyl phosphate</t>
  </si>
  <si>
    <t>101-02-0</t>
  </si>
  <si>
    <t>Triphenyl phosphite</t>
  </si>
  <si>
    <t>1582-09-8</t>
  </si>
  <si>
    <t>Trifluralin</t>
  </si>
  <si>
    <t>526-73-8</t>
  </si>
  <si>
    <t>95-63-6</t>
  </si>
  <si>
    <t>108-67-8</t>
  </si>
  <si>
    <t>540-84-1</t>
  </si>
  <si>
    <t>2,2,4-Trimethylpentane</t>
  </si>
  <si>
    <t>62450-06-0</t>
  </si>
  <si>
    <t>Tryptophan-P-1</t>
  </si>
  <si>
    <t>62450-07-1</t>
  </si>
  <si>
    <t>Tryptophan-P-2</t>
  </si>
  <si>
    <t>Urethane (ethyl carbamate)</t>
  </si>
  <si>
    <t>1314-62-1</t>
  </si>
  <si>
    <t>75-02-5</t>
  </si>
  <si>
    <t>Vinyl fluoride</t>
  </si>
  <si>
    <r>
      <t xml:space="preserve">Xylene (mixture), including </t>
    </r>
    <r>
      <rPr>
        <i/>
        <sz val="11"/>
        <rFont val="Arial"/>
        <family val="2"/>
      </rPr>
      <t>m</t>
    </r>
    <r>
      <rPr>
        <sz val="11"/>
        <rFont val="Arial"/>
        <family val="2"/>
      </rPr>
      <t xml:space="preserve">-xylene, </t>
    </r>
    <r>
      <rPr>
        <i/>
        <sz val="11"/>
        <rFont val="Arial"/>
        <family val="2"/>
      </rPr>
      <t>o</t>
    </r>
    <r>
      <rPr>
        <sz val="11"/>
        <rFont val="Arial"/>
        <family val="2"/>
      </rPr>
      <t xml:space="preserve">-xylene, </t>
    </r>
    <r>
      <rPr>
        <i/>
        <sz val="11"/>
        <rFont val="Arial"/>
        <family val="2"/>
      </rPr>
      <t>p</t>
    </r>
    <r>
      <rPr>
        <sz val="11"/>
        <rFont val="Arial"/>
        <family val="2"/>
      </rPr>
      <t>-xylene</t>
    </r>
  </si>
  <si>
    <t>108-38-3</t>
  </si>
  <si>
    <r>
      <rPr>
        <i/>
        <sz val="11"/>
        <rFont val="Arial"/>
        <family val="2"/>
      </rPr>
      <t>m</t>
    </r>
    <r>
      <rPr>
        <sz val="11"/>
        <rFont val="Arial"/>
        <family val="2"/>
      </rPr>
      <t>-Xylene</t>
    </r>
  </si>
  <si>
    <t>95-47-6</t>
  </si>
  <si>
    <r>
      <rPr>
        <i/>
        <sz val="11"/>
        <rFont val="Arial"/>
        <family val="2"/>
      </rPr>
      <t>o</t>
    </r>
    <r>
      <rPr>
        <sz val="11"/>
        <rFont val="Arial"/>
        <family val="2"/>
      </rPr>
      <t>-Xylene</t>
    </r>
  </si>
  <si>
    <t>106-42-3</t>
  </si>
  <si>
    <r>
      <rPr>
        <i/>
        <sz val="11"/>
        <rFont val="Arial"/>
        <family val="2"/>
      </rPr>
      <t>p</t>
    </r>
    <r>
      <rPr>
        <sz val="11"/>
        <rFont val="Arial"/>
        <family val="2"/>
      </rPr>
      <t>-Xylene</t>
    </r>
  </si>
  <si>
    <t>1314-13-2</t>
  </si>
  <si>
    <t>Zinc oxide</t>
  </si>
  <si>
    <t>Material Used - Liquid Chemical</t>
  </si>
  <si>
    <t>Material Used - Facilities</t>
  </si>
  <si>
    <t>Material Used - Gaseous Chemical</t>
  </si>
  <si>
    <t>Material Used - Solid Materials</t>
  </si>
  <si>
    <t>SMAW E6010 Welding</t>
  </si>
  <si>
    <t>SMAW E7018 Welding</t>
  </si>
  <si>
    <t xml:space="preserve">Exempt TEU per Appendix B of the Oregon DEQ’s Exempt TEU Guidance. Assumed daily maximum is the same as annual. </t>
  </si>
  <si>
    <t xml:space="preserve">Exempt TEU – with DEQ Approval </t>
  </si>
  <si>
    <t>Usage data is based on an assessment of projected growth within the existing fabs.</t>
  </si>
  <si>
    <t>Table 1.  Emissions for Gas and Liquid Precursors</t>
  </si>
  <si>
    <t>Table 1.  Emissions for Gas and Liquid Precursors (cont'd)</t>
  </si>
  <si>
    <t>Table 2.  Emissions for Acids and Bases</t>
  </si>
  <si>
    <t>Table 2.  Emissions for Acids and Bases (cont'd)</t>
  </si>
  <si>
    <t>Table 3. Target Material Usage Calculations (lbs)</t>
  </si>
  <si>
    <t>Table 3. Emissions for Photoresist and Other Organics</t>
  </si>
  <si>
    <t>Table 3. Emissions for Photoresist and Other Organics (cont'd)</t>
  </si>
  <si>
    <t>Table 4.  Boilers: Three Building 1 Boilers using Natural Gas (see Note below)</t>
  </si>
  <si>
    <t>Table 5.  Boilers: Three Building 2 Boilers using Natural Gas (see Note below)</t>
  </si>
  <si>
    <t>Table 6.  Boilers: Two New Boilers using Natural Gas (see Note below)</t>
  </si>
  <si>
    <t>Table 7.  Boilers: Three Building 1 Boilers using Diesel Fuel</t>
  </si>
  <si>
    <t>Table 8.  Boilers: Three Building 2 Boilers using Diesel Fuel</t>
  </si>
  <si>
    <t>Table 9.  Boilers: Two New Boilers using Diesel Fuel</t>
  </si>
  <si>
    <t>Table 10.  Rotor-Concentrator Thermal Oxidizer (RCTO) using Natural Gas</t>
  </si>
  <si>
    <t>Table 11.  Fire Pump ≤ 600 hp</t>
  </si>
  <si>
    <t>Table 12.  Building 1 Diesel Generators: two generators for total of 2,912 hp (&gt; 600 hp emission factors)</t>
  </si>
  <si>
    <t>Table 13.  Building 2 Diesel Generators: three generators for total of 4,746 hp (&gt; 600 hp emission factors)</t>
  </si>
  <si>
    <t>Table 14. Diesel Engine Emissions</t>
  </si>
  <si>
    <t>Table 15. Emission Factors for Emergency Generators</t>
  </si>
  <si>
    <t>Table 16. Generator Fuel Consumption</t>
  </si>
  <si>
    <t>Table 17.  HCl Tank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</si>
</sst>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00000"/>
    <numFmt numFmtId="165" formatCode="0.0%"/>
    <numFmt numFmtId="166" formatCode="0.0"/>
    <numFmt numFmtId="167" formatCode="0.000"/>
    <numFmt numFmtId="168" formatCode="0.0000"/>
    <numFmt numFmtId="169" formatCode="#,##0.0"/>
    <numFmt numFmtId="170" formatCode="#,##0.0000"/>
    <numFmt numFmtId="171" formatCode="#,##0.000"/>
    <numFmt numFmtId="172" formatCode="#,##0.00000"/>
    <numFmt numFmtId="173" formatCode="0.0000%"/>
    <numFmt numFmtId="174" formatCode="0.00000"/>
    <numFmt numFmtId="175" formatCode="#,##0.000000"/>
    <numFmt numFmtId="176" formatCode="_(* #,##0.0000_);_(* \(#,##0.0000\);_(* &quot;-&quot;??_);_(@_)"/>
    <numFmt numFmtId="177" formatCode="0.000%"/>
    <numFmt numFmtId="178" formatCode="0.00000%"/>
    <numFmt numFmtId="179" formatCode="0.00000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8"/>
      <name val="Arial"/>
      <family val="2"/>
    </font>
    <font>
      <b/>
      <sz val="14"/>
      <name val="Arial"/>
      <family val="2"/>
    </font>
    <font>
      <b/>
      <sz val="11"/>
      <name val="Arial"/>
      <family val="2"/>
    </font>
    <font>
      <sz val="11"/>
      <name val="Arial"/>
      <family val="2"/>
    </font>
    <font>
      <i/>
      <sz val="11"/>
      <name val="Arial"/>
      <family val="2"/>
    </font>
    <font>
      <b/>
      <sz val="12"/>
      <name val="Arial"/>
      <family val="2"/>
    </font>
    <font>
      <sz val="12"/>
      <name val="Arial"/>
      <family val="2"/>
    </font>
    <font>
      <sz val="11"/>
      <color theme="1"/>
      <name val="Calibri"/>
      <family val="2"/>
      <scheme val="minor"/>
    </font>
    <font>
      <u/>
      <sz val="11"/>
      <color theme="10"/>
      <name val="Calibri"/>
      <family val="2"/>
    </font>
    <font>
      <u/>
      <sz val="11"/>
      <color theme="10"/>
      <name val="Calibri"/>
      <family val="2"/>
      <scheme val="minor"/>
    </font>
    <font>
      <b/>
      <sz val="10"/>
      <name val="Arial"/>
      <family val="2"/>
    </font>
    <font>
      <b/>
      <sz val="10"/>
      <name val="Tahoma"/>
      <family val="2"/>
    </font>
    <font>
      <sz val="10"/>
      <name val="Tahoma"/>
      <family val="2"/>
    </font>
    <font>
      <b/>
      <vertAlign val="superscript"/>
      <sz val="10"/>
      <name val="Tahoma"/>
      <family val="2"/>
    </font>
    <font>
      <vertAlign val="subscript"/>
      <sz val="10"/>
      <name val="Tahoma"/>
      <family val="2"/>
    </font>
    <font>
      <vertAlign val="superscript"/>
      <sz val="10"/>
      <name val="Tahoma"/>
      <family val="2"/>
    </font>
    <font>
      <sz val="9"/>
      <name val="Tahoma"/>
      <family val="2"/>
    </font>
    <font>
      <vertAlign val="superscript"/>
      <sz val="9"/>
      <name val="Tahoma"/>
      <family val="2"/>
    </font>
    <font>
      <vertAlign val="subscript"/>
      <sz val="9"/>
      <name val="Tahoma"/>
      <family val="2"/>
    </font>
    <font>
      <strike/>
      <sz val="9"/>
      <name val="Tahoma"/>
      <family val="2"/>
    </font>
    <font>
      <b/>
      <i/>
      <sz val="10"/>
      <name val="Tahoma"/>
      <family val="2"/>
    </font>
    <font>
      <sz val="10"/>
      <color rgb="FF000000"/>
      <name val="Times New Roman"/>
      <family val="1"/>
    </font>
    <font>
      <sz val="11"/>
      <color rgb="FF000000"/>
      <name val="Aptos Narrow"/>
      <family val="2"/>
    </font>
    <font>
      <vertAlign val="subscript"/>
      <sz val="11"/>
      <name val="Arial"/>
      <family val="2"/>
    </font>
    <font>
      <sz val="11"/>
      <name val="Aptos Narrow"/>
      <family val="2"/>
    </font>
    <font>
      <b/>
      <sz val="9"/>
      <name val="Tahoma"/>
      <family val="2"/>
    </font>
    <font>
      <sz val="10"/>
      <name val="Cambria"/>
      <family val="1"/>
    </font>
    <font>
      <sz val="11"/>
      <name val="Cambria"/>
      <family val="1"/>
    </font>
    <font>
      <b/>
      <sz val="10"/>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F8A56C"/>
        <bgColor indexed="64"/>
      </patternFill>
    </fill>
    <fill>
      <patternFill patternType="solid">
        <fgColor rgb="FFFCD2BA"/>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bgColor indexed="64"/>
      </patternFill>
    </fill>
    <fill>
      <patternFill patternType="solid">
        <fgColor theme="0" tint="-0.499984740745262"/>
        <bgColor indexed="64"/>
      </patternFill>
    </fill>
    <fill>
      <patternFill patternType="solid">
        <fgColor theme="0" tint="-0.34998626667073579"/>
        <bgColor indexed="64"/>
      </patternFill>
    </fill>
  </fills>
  <borders count="87">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top style="thick">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22">
    <xf numFmtId="0" fontId="0" fillId="0" borderId="0"/>
    <xf numFmtId="43" fontId="4" fillId="0" borderId="0" applyFont="0" applyFill="0" applyBorder="0" applyAlignment="0" applyProtection="0"/>
    <xf numFmtId="43" fontId="5" fillId="0" borderId="0" applyFont="0" applyFill="0" applyBorder="0" applyAlignment="0" applyProtection="0"/>
    <xf numFmtId="0" fontId="15" fillId="0" borderId="0" applyNumberFormat="0" applyFill="0" applyBorder="0" applyAlignment="0" applyProtection="0">
      <alignment vertical="top"/>
      <protection locked="0"/>
    </xf>
    <xf numFmtId="0" fontId="5" fillId="0" borderId="0"/>
    <xf numFmtId="0" fontId="14" fillId="0" borderId="0"/>
    <xf numFmtId="0" fontId="5" fillId="0" borderId="0"/>
    <xf numFmtId="0" fontId="6" fillId="0" borderId="0"/>
    <xf numFmtId="9" fontId="4" fillId="0" borderId="0" applyFont="0" applyFill="0" applyBorder="0" applyAlignment="0" applyProtection="0"/>
    <xf numFmtId="9" fontId="14" fillId="0" borderId="0" applyFont="0" applyFill="0" applyBorder="0" applyAlignment="0" applyProtection="0"/>
    <xf numFmtId="0" fontId="3" fillId="0" borderId="0"/>
    <xf numFmtId="43" fontId="3" fillId="0" borderId="0" applyFont="0" applyFill="0" applyBorder="0" applyAlignment="0" applyProtection="0"/>
    <xf numFmtId="0" fontId="16" fillId="0" borderId="0" applyNumberFormat="0" applyFill="0" applyBorder="0" applyAlignment="0" applyProtection="0"/>
    <xf numFmtId="0" fontId="4" fillId="0" borderId="0"/>
    <xf numFmtId="0" fontId="2" fillId="0" borderId="0"/>
    <xf numFmtId="0" fontId="4" fillId="0" borderId="0"/>
    <xf numFmtId="0" fontId="28" fillId="0" borderId="0"/>
    <xf numFmtId="0" fontId="4" fillId="0" borderId="0"/>
    <xf numFmtId="0" fontId="1" fillId="0" borderId="0"/>
    <xf numFmtId="0" fontId="1" fillId="6" borderId="0"/>
    <xf numFmtId="9" fontId="1" fillId="0" borderId="0" applyFont="0" applyFill="0" applyBorder="0" applyAlignment="0" applyProtection="0"/>
    <xf numFmtId="0" fontId="29" fillId="0" borderId="0"/>
  </cellStyleXfs>
  <cellXfs count="639">
    <xf numFmtId="0" fontId="0" fillId="0" borderId="0" xfId="0"/>
    <xf numFmtId="0" fontId="9" fillId="0" borderId="0" xfId="0" applyFont="1" applyAlignment="1">
      <alignment wrapText="1"/>
    </xf>
    <xf numFmtId="0" fontId="8" fillId="3"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6" applyFont="1" applyBorder="1" applyAlignment="1">
      <alignment horizontal="left" vertical="top" wrapText="1"/>
    </xf>
    <xf numFmtId="0" fontId="10" fillId="0" borderId="0" xfId="0" applyFont="1" applyAlignment="1">
      <alignment horizontal="center" vertical="center" wrapText="1"/>
    </xf>
    <xf numFmtId="0" fontId="10" fillId="0" borderId="0" xfId="6" applyFont="1" applyAlignment="1">
      <alignment horizontal="left" vertical="top" wrapText="1"/>
    </xf>
    <xf numFmtId="0" fontId="10" fillId="0" borderId="0" xfId="0" applyFont="1" applyAlignment="1">
      <alignment horizontal="left" vertical="center" wrapText="1"/>
    </xf>
    <xf numFmtId="49" fontId="10" fillId="0" borderId="0" xfId="0" applyNumberFormat="1" applyFont="1" applyAlignment="1">
      <alignment horizontal="center" vertical="center" wrapText="1"/>
    </xf>
    <xf numFmtId="0" fontId="10" fillId="0" borderId="0" xfId="5" applyFont="1" applyAlignment="1">
      <alignment horizontal="left" vertical="center" wrapText="1"/>
    </xf>
    <xf numFmtId="14" fontId="10" fillId="0" borderId="0" xfId="0" quotePrefix="1" applyNumberFormat="1" applyFont="1" applyAlignment="1">
      <alignment horizontal="center" vertical="center" wrapText="1"/>
    </xf>
    <xf numFmtId="49" fontId="10" fillId="0" borderId="0" xfId="5" applyNumberFormat="1" applyFont="1" applyAlignment="1">
      <alignment horizontal="left" vertical="center" wrapText="1"/>
    </xf>
    <xf numFmtId="0" fontId="10" fillId="0" borderId="0" xfId="6" applyFont="1" applyAlignment="1">
      <alignment horizontal="left" wrapText="1"/>
    </xf>
    <xf numFmtId="0" fontId="10" fillId="0" borderId="17" xfId="0" applyFont="1" applyBorder="1" applyAlignment="1">
      <alignment horizontal="left"/>
    </xf>
    <xf numFmtId="0" fontId="10" fillId="0" borderId="6" xfId="0" applyFont="1" applyBorder="1" applyAlignment="1">
      <alignment horizontal="left"/>
    </xf>
    <xf numFmtId="0" fontId="10" fillId="0" borderId="0" xfId="0" applyFont="1" applyAlignment="1">
      <alignment horizontal="left"/>
    </xf>
    <xf numFmtId="0" fontId="4" fillId="0" borderId="0" xfId="0" applyFont="1"/>
    <xf numFmtId="0" fontId="12" fillId="4" borderId="8" xfId="0" applyFont="1" applyFill="1" applyBorder="1" applyAlignment="1">
      <alignment horizontal="center" vertical="center" wrapText="1"/>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center" vertical="center"/>
    </xf>
    <xf numFmtId="0" fontId="10" fillId="0" borderId="24" xfId="0" applyFont="1" applyBorder="1" applyAlignment="1" applyProtection="1">
      <alignment horizontal="left"/>
      <protection locked="0"/>
    </xf>
    <xf numFmtId="0" fontId="10" fillId="0" borderId="25"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0" fillId="0" borderId="17"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14" xfId="0" applyFont="1" applyBorder="1" applyAlignment="1" applyProtection="1">
      <alignment horizontal="left"/>
      <protection locked="0"/>
    </xf>
    <xf numFmtId="0" fontId="4" fillId="0" borderId="0" xfId="0" applyFont="1" applyAlignment="1">
      <alignment horizontal="left"/>
    </xf>
    <xf numFmtId="49" fontId="12" fillId="5" borderId="8" xfId="0" applyNumberFormat="1" applyFont="1" applyFill="1" applyBorder="1" applyAlignment="1">
      <alignment horizontal="center" vertical="center" wrapText="1"/>
    </xf>
    <xf numFmtId="0" fontId="12" fillId="5" borderId="21" xfId="0" applyFont="1" applyFill="1" applyBorder="1" applyAlignment="1">
      <alignment horizontal="center" vertical="center"/>
    </xf>
    <xf numFmtId="0" fontId="12" fillId="5" borderId="22" xfId="8" applyNumberFormat="1" applyFont="1" applyFill="1" applyBorder="1" applyAlignment="1" applyProtection="1">
      <alignment horizontal="center" vertical="center" wrapText="1"/>
    </xf>
    <xf numFmtId="10" fontId="12" fillId="5" borderId="9" xfId="8" applyNumberFormat="1" applyFont="1" applyFill="1" applyBorder="1" applyAlignment="1" applyProtection="1">
      <alignment horizontal="center" vertical="center" wrapText="1"/>
    </xf>
    <xf numFmtId="0" fontId="13" fillId="0" borderId="27" xfId="0" applyFont="1" applyBorder="1" applyAlignment="1">
      <alignment horizontal="center" vertical="center"/>
    </xf>
    <xf numFmtId="49" fontId="13" fillId="0" borderId="14" xfId="0" applyNumberFormat="1" applyFont="1" applyBorder="1" applyAlignment="1">
      <alignment horizontal="center" vertical="center"/>
    </xf>
    <xf numFmtId="0" fontId="13" fillId="0" borderId="17" xfId="8" applyNumberFormat="1" applyFont="1" applyBorder="1" applyAlignment="1" applyProtection="1">
      <alignment horizontal="center"/>
    </xf>
    <xf numFmtId="10" fontId="13" fillId="0" borderId="6" xfId="8" applyNumberFormat="1" applyFont="1" applyBorder="1" applyAlignment="1" applyProtection="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xf>
    <xf numFmtId="10" fontId="13" fillId="0" borderId="6" xfId="8" applyNumberFormat="1" applyFont="1" applyBorder="1" applyAlignment="1" applyProtection="1">
      <alignment horizontal="center"/>
    </xf>
    <xf numFmtId="0" fontId="13" fillId="0" borderId="14" xfId="0" applyFont="1" applyBorder="1" applyAlignment="1">
      <alignment horizontal="center" vertical="center"/>
    </xf>
    <xf numFmtId="0" fontId="19" fillId="0" borderId="0" xfId="13" applyFont="1"/>
    <xf numFmtId="176" fontId="19" fillId="0" borderId="0" xfId="1" applyNumberFormat="1" applyFont="1" applyFill="1" applyBorder="1" applyAlignment="1">
      <alignment horizontal="center"/>
    </xf>
    <xf numFmtId="9" fontId="19" fillId="0" borderId="1" xfId="8" applyFont="1" applyFill="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Alignment="1">
      <alignment horizontal="center" vertical="center"/>
    </xf>
    <xf numFmtId="173" fontId="19" fillId="0" borderId="0" xfId="8" applyNumberFormat="1" applyFont="1" applyFill="1"/>
    <xf numFmtId="0" fontId="17" fillId="0" borderId="0" xfId="0" applyFont="1"/>
    <xf numFmtId="0" fontId="10" fillId="0" borderId="0" xfId="0" applyFont="1" applyAlignment="1">
      <alignment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0" borderId="0" xfId="0" applyFont="1" applyAlignment="1">
      <alignment horizontal="center" wrapText="1"/>
    </xf>
    <xf numFmtId="9" fontId="19" fillId="0" borderId="0" xfId="8" applyFont="1" applyFill="1"/>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0" fillId="0" borderId="23" xfId="0" applyFont="1" applyBorder="1" applyAlignment="1">
      <alignment horizontal="center"/>
    </xf>
    <xf numFmtId="2" fontId="4" fillId="0" borderId="0" xfId="0" applyNumberFormat="1" applyFont="1" applyAlignment="1">
      <alignment horizontal="center"/>
    </xf>
    <xf numFmtId="0" fontId="4" fillId="0" borderId="27" xfId="0" applyFont="1" applyBorder="1" applyAlignment="1">
      <alignment wrapText="1"/>
    </xf>
    <xf numFmtId="167" fontId="10" fillId="0" borderId="23" xfId="0" applyNumberFormat="1" applyFont="1" applyBorder="1" applyAlignment="1" applyProtection="1">
      <alignment horizontal="center"/>
      <protection locked="0"/>
    </xf>
    <xf numFmtId="166" fontId="10" fillId="0" borderId="23" xfId="0" applyNumberFormat="1" applyFont="1" applyBorder="1" applyAlignment="1" applyProtection="1">
      <alignment horizontal="center"/>
      <protection locked="0"/>
    </xf>
    <xf numFmtId="2" fontId="10" fillId="0" borderId="23" xfId="0" applyNumberFormat="1" applyFont="1" applyBorder="1" applyAlignment="1">
      <alignment horizontal="center"/>
    </xf>
    <xf numFmtId="0" fontId="10" fillId="10" borderId="14"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0" xfId="0" applyFont="1" applyFill="1" applyAlignment="1">
      <alignment horizontal="center" vertical="center"/>
    </xf>
    <xf numFmtId="0" fontId="10" fillId="10" borderId="19" xfId="0" applyFont="1" applyFill="1" applyBorder="1" applyAlignment="1">
      <alignment horizontal="center" vertical="center"/>
    </xf>
    <xf numFmtId="0" fontId="10" fillId="10" borderId="1" xfId="0" applyFont="1" applyFill="1" applyBorder="1" applyAlignment="1">
      <alignment horizontal="center" vertical="center"/>
    </xf>
    <xf numFmtId="0" fontId="10" fillId="10" borderId="45" xfId="0" applyFont="1" applyFill="1" applyBorder="1" applyAlignment="1">
      <alignment horizontal="center" vertical="center"/>
    </xf>
    <xf numFmtId="2" fontId="10" fillId="0" borderId="0" xfId="0" applyNumberFormat="1" applyFont="1" applyAlignment="1">
      <alignment horizontal="center"/>
    </xf>
    <xf numFmtId="2" fontId="10" fillId="0" borderId="23" xfId="0" applyNumberFormat="1" applyFont="1" applyBorder="1" applyAlignment="1" applyProtection="1">
      <alignment horizontal="center"/>
      <protection locked="0"/>
    </xf>
    <xf numFmtId="0" fontId="10" fillId="0" borderId="17" xfId="0" applyFont="1" applyBorder="1" applyAlignment="1" applyProtection="1">
      <alignment horizontal="left" wrapText="1"/>
      <protection locked="0"/>
    </xf>
    <xf numFmtId="3" fontId="10" fillId="0" borderId="23" xfId="0" applyNumberFormat="1" applyFont="1" applyBorder="1" applyAlignment="1" applyProtection="1">
      <alignment horizontal="center"/>
      <protection locked="0"/>
    </xf>
    <xf numFmtId="3" fontId="10" fillId="0" borderId="23" xfId="0" applyNumberFormat="1" applyFont="1" applyBorder="1" applyAlignment="1">
      <alignment horizontal="center"/>
    </xf>
    <xf numFmtId="4" fontId="10" fillId="0" borderId="23" xfId="0" applyNumberFormat="1" applyFont="1" applyBorder="1" applyAlignment="1">
      <alignment horizontal="center"/>
    </xf>
    <xf numFmtId="170" fontId="10" fillId="0" borderId="23" xfId="0" applyNumberFormat="1" applyFont="1" applyBorder="1" applyAlignment="1">
      <alignment horizontal="center"/>
    </xf>
    <xf numFmtId="11" fontId="13" fillId="0" borderId="4" xfId="0" applyNumberFormat="1" applyFont="1" applyBorder="1" applyAlignment="1">
      <alignment horizontal="center"/>
    </xf>
    <xf numFmtId="49" fontId="13" fillId="11" borderId="14" xfId="0" applyNumberFormat="1" applyFont="1" applyFill="1" applyBorder="1" applyAlignment="1">
      <alignment horizontal="center" vertical="center"/>
    </xf>
    <xf numFmtId="0" fontId="13" fillId="11" borderId="17" xfId="8" applyNumberFormat="1" applyFont="1" applyFill="1" applyBorder="1" applyAlignment="1" applyProtection="1">
      <alignment vertical="center"/>
    </xf>
    <xf numFmtId="10" fontId="13" fillId="11" borderId="6" xfId="8" applyNumberFormat="1" applyFont="1" applyFill="1" applyBorder="1" applyAlignment="1" applyProtection="1">
      <alignment vertical="center"/>
    </xf>
    <xf numFmtId="0" fontId="13" fillId="11" borderId="6" xfId="0" applyFont="1" applyFill="1" applyBorder="1" applyAlignment="1">
      <alignment horizontal="center" vertical="center"/>
    </xf>
    <xf numFmtId="11" fontId="12" fillId="0" borderId="4" xfId="0" applyNumberFormat="1" applyFont="1" applyBorder="1" applyAlignment="1" applyProtection="1">
      <alignment horizontal="center"/>
      <protection locked="0"/>
    </xf>
    <xf numFmtId="0" fontId="4" fillId="0" borderId="0" xfId="0" applyFont="1" applyAlignment="1">
      <alignment horizontal="center"/>
    </xf>
    <xf numFmtId="0" fontId="13" fillId="0" borderId="1" xfId="0" applyFont="1" applyBorder="1" applyAlignment="1">
      <alignment vertical="center"/>
    </xf>
    <xf numFmtId="11" fontId="12" fillId="0" borderId="6" xfId="0" applyNumberFormat="1" applyFont="1" applyBorder="1" applyAlignment="1" applyProtection="1">
      <alignment horizontal="center"/>
      <protection locked="0"/>
    </xf>
    <xf numFmtId="11" fontId="12" fillId="0" borderId="44" xfId="0" applyNumberFormat="1" applyFont="1" applyBorder="1" applyAlignment="1" applyProtection="1">
      <alignment horizontal="center"/>
      <protection locked="0"/>
    </xf>
    <xf numFmtId="0" fontId="34" fillId="0" borderId="14" xfId="0" applyFont="1" applyBorder="1" applyAlignment="1" applyProtection="1">
      <alignment horizontal="left"/>
      <protection locked="0"/>
    </xf>
    <xf numFmtId="0" fontId="34" fillId="0" borderId="6" xfId="0" applyFont="1" applyBorder="1" applyAlignment="1" applyProtection="1">
      <alignment horizontal="left"/>
      <protection locked="0"/>
    </xf>
    <xf numFmtId="0" fontId="33" fillId="0" borderId="0" xfId="0" applyFont="1"/>
    <xf numFmtId="2" fontId="33" fillId="0" borderId="0" xfId="0" applyNumberFormat="1" applyFont="1" applyAlignment="1">
      <alignment horizontal="center"/>
    </xf>
    <xf numFmtId="0" fontId="34" fillId="0" borderId="19" xfId="0" applyFont="1" applyBorder="1" applyAlignment="1" applyProtection="1">
      <alignment horizontal="left"/>
      <protection locked="0"/>
    </xf>
    <xf numFmtId="164" fontId="19" fillId="0" borderId="0" xfId="13" applyNumberFormat="1" applyFont="1"/>
    <xf numFmtId="0" fontId="12" fillId="8" borderId="11"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0" fillId="0" borderId="26" xfId="0" applyFont="1" applyBorder="1" applyAlignment="1" applyProtection="1">
      <alignment horizontal="left"/>
      <protection locked="0"/>
    </xf>
    <xf numFmtId="2" fontId="4" fillId="0" borderId="28" xfId="0" applyNumberFormat="1" applyFont="1" applyBorder="1" applyAlignment="1">
      <alignment horizontal="center"/>
    </xf>
    <xf numFmtId="0" fontId="4" fillId="0" borderId="33" xfId="0" applyFont="1" applyBorder="1"/>
    <xf numFmtId="2" fontId="4" fillId="0" borderId="23" xfId="0" applyNumberFormat="1" applyFont="1" applyBorder="1" applyAlignment="1">
      <alignment horizontal="center"/>
    </xf>
    <xf numFmtId="0" fontId="4" fillId="0" borderId="27" xfId="0" applyFont="1" applyBorder="1"/>
    <xf numFmtId="0" fontId="4" fillId="0" borderId="23" xfId="0" applyFont="1" applyBorder="1" applyAlignment="1">
      <alignment horizontal="center"/>
    </xf>
    <xf numFmtId="0" fontId="33" fillId="0" borderId="27" xfId="0" applyFont="1" applyBorder="1"/>
    <xf numFmtId="0" fontId="19" fillId="0" borderId="0" xfId="15" applyFont="1"/>
    <xf numFmtId="11" fontId="19" fillId="0" borderId="0" xfId="15" applyNumberFormat="1" applyFont="1"/>
    <xf numFmtId="0" fontId="23" fillId="0" borderId="0" xfId="15" applyFont="1"/>
    <xf numFmtId="0" fontId="22" fillId="0" borderId="0" xfId="13" applyFont="1" applyAlignment="1">
      <alignment horizontal="right" vertical="top"/>
    </xf>
    <xf numFmtId="0" fontId="18" fillId="0" borderId="52" xfId="13" applyFont="1" applyBorder="1" applyAlignment="1">
      <alignment horizontal="center" vertical="center" wrapText="1"/>
    </xf>
    <xf numFmtId="0" fontId="18" fillId="0" borderId="54" xfId="13" applyFont="1" applyBorder="1" applyAlignment="1">
      <alignment horizontal="center" vertical="center" wrapText="1"/>
    </xf>
    <xf numFmtId="0" fontId="18" fillId="0" borderId="53" xfId="13" applyFont="1" applyBorder="1" applyAlignment="1">
      <alignment horizontal="center" vertical="center" wrapText="1"/>
    </xf>
    <xf numFmtId="3" fontId="19" fillId="0" borderId="18" xfId="13" applyNumberFormat="1" applyFont="1" applyBorder="1" applyAlignment="1">
      <alignment horizontal="center" vertical="center" wrapText="1"/>
    </xf>
    <xf numFmtId="0" fontId="19" fillId="0" borderId="1" xfId="13" applyFont="1" applyBorder="1" applyAlignment="1">
      <alignment horizontal="center" vertical="center" wrapText="1"/>
    </xf>
    <xf numFmtId="166" fontId="19" fillId="0" borderId="29" xfId="13" applyNumberFormat="1" applyFont="1" applyBorder="1" applyAlignment="1">
      <alignment horizontal="center" vertical="center" wrapText="1"/>
    </xf>
    <xf numFmtId="0" fontId="19" fillId="0" borderId="0" xfId="13" applyFont="1" applyAlignment="1">
      <alignment horizontal="left" wrapText="1"/>
    </xf>
    <xf numFmtId="0" fontId="19" fillId="0" borderId="0" xfId="0" applyFont="1"/>
    <xf numFmtId="0" fontId="22" fillId="0" borderId="0" xfId="0" applyFont="1" applyAlignment="1">
      <alignment horizontal="right" vertical="top"/>
    </xf>
    <xf numFmtId="0" fontId="22" fillId="0" borderId="0" xfId="15" applyFont="1" applyAlignment="1">
      <alignment horizontal="right" vertical="top"/>
    </xf>
    <xf numFmtId="0" fontId="19" fillId="0" borderId="0" xfId="0" applyFont="1" applyAlignment="1">
      <alignment vertical="center"/>
    </xf>
    <xf numFmtId="0" fontId="18" fillId="0" borderId="24" xfId="0" applyFont="1" applyBorder="1" applyAlignment="1">
      <alignment horizontal="center" wrapText="1"/>
    </xf>
    <xf numFmtId="0" fontId="18" fillId="0" borderId="48" xfId="0" applyFont="1" applyBorder="1" applyAlignment="1">
      <alignment horizontal="center" wrapText="1"/>
    </xf>
    <xf numFmtId="0" fontId="19" fillId="0" borderId="26" xfId="4" applyFont="1" applyBorder="1" applyAlignment="1">
      <alignment horizontal="center" wrapText="1"/>
    </xf>
    <xf numFmtId="0" fontId="19" fillId="0" borderId="25" xfId="4" applyFont="1" applyBorder="1" applyAlignment="1">
      <alignment horizontal="center" wrapText="1"/>
    </xf>
    <xf numFmtId="0" fontId="19" fillId="0" borderId="60" xfId="4" applyFont="1" applyBorder="1" applyAlignment="1">
      <alignment horizontal="center"/>
    </xf>
    <xf numFmtId="0" fontId="19" fillId="0" borderId="47" xfId="4" applyFont="1" applyBorder="1" applyAlignment="1">
      <alignment horizontal="center" wrapText="1"/>
    </xf>
    <xf numFmtId="0" fontId="19" fillId="0" borderId="26" xfId="0" applyFont="1" applyBorder="1" applyAlignment="1">
      <alignment horizontal="left"/>
    </xf>
    <xf numFmtId="0" fontId="19" fillId="0" borderId="43" xfId="0" applyFont="1" applyBorder="1" applyAlignment="1">
      <alignment horizontal="center"/>
    </xf>
    <xf numFmtId="0" fontId="19" fillId="0" borderId="55" xfId="0" applyFont="1" applyBorder="1" applyAlignment="1">
      <alignment horizontal="center"/>
    </xf>
    <xf numFmtId="11" fontId="19" fillId="0" borderId="42" xfId="0" applyNumberFormat="1" applyFont="1" applyBorder="1" applyAlignment="1">
      <alignment horizontal="center"/>
    </xf>
    <xf numFmtId="11" fontId="19" fillId="0" borderId="55" xfId="0" applyNumberFormat="1" applyFont="1" applyBorder="1" applyAlignment="1">
      <alignment horizontal="center"/>
    </xf>
    <xf numFmtId="11" fontId="19" fillId="0" borderId="42" xfId="0" applyNumberFormat="1" applyFont="1" applyBorder="1"/>
    <xf numFmtId="11" fontId="19" fillId="0" borderId="49" xfId="0" applyNumberFormat="1" applyFont="1" applyBorder="1"/>
    <xf numFmtId="11" fontId="19" fillId="0" borderId="43" xfId="0" applyNumberFormat="1" applyFont="1" applyBorder="1"/>
    <xf numFmtId="11" fontId="19" fillId="0" borderId="42" xfId="15" applyNumberFormat="1" applyFont="1" applyBorder="1"/>
    <xf numFmtId="11" fontId="19" fillId="0" borderId="49" xfId="15" applyNumberFormat="1" applyFont="1" applyBorder="1"/>
    <xf numFmtId="0" fontId="18" fillId="0" borderId="3" xfId="0" applyFont="1" applyBorder="1"/>
    <xf numFmtId="0" fontId="19" fillId="0" borderId="0" xfId="0" applyFont="1" applyAlignment="1">
      <alignment horizontal="center"/>
    </xf>
    <xf numFmtId="0" fontId="19" fillId="0" borderId="4" xfId="0" applyFont="1" applyBorder="1"/>
    <xf numFmtId="0" fontId="19" fillId="0" borderId="63" xfId="0" applyFont="1" applyBorder="1" applyAlignment="1">
      <alignment horizontal="center"/>
    </xf>
    <xf numFmtId="4" fontId="19" fillId="0" borderId="0" xfId="0" applyNumberFormat="1" applyFont="1" applyAlignment="1">
      <alignment horizontal="center"/>
    </xf>
    <xf numFmtId="3" fontId="19" fillId="0" borderId="0" xfId="0" applyNumberFormat="1" applyFont="1" applyAlignment="1">
      <alignment horizontal="center"/>
    </xf>
    <xf numFmtId="0" fontId="19" fillId="0" borderId="3" xfId="0" applyFont="1" applyBorder="1"/>
    <xf numFmtId="0" fontId="18" fillId="0" borderId="37" xfId="0" applyFont="1" applyBorder="1" applyAlignment="1">
      <alignment horizontal="center"/>
    </xf>
    <xf numFmtId="0" fontId="18" fillId="0" borderId="39" xfId="0" applyFont="1" applyBorder="1" applyAlignment="1">
      <alignment horizontal="center" wrapText="1"/>
    </xf>
    <xf numFmtId="0" fontId="19" fillId="0" borderId="34" xfId="0" applyFont="1" applyBorder="1"/>
    <xf numFmtId="3" fontId="19" fillId="0" borderId="35" xfId="0" applyNumberFormat="1" applyFont="1" applyBorder="1" applyAlignment="1">
      <alignment horizontal="center"/>
    </xf>
    <xf numFmtId="1" fontId="19" fillId="0" borderId="35" xfId="0" applyNumberFormat="1" applyFont="1" applyBorder="1" applyAlignment="1">
      <alignment horizontal="center"/>
    </xf>
    <xf numFmtId="0" fontId="19" fillId="0" borderId="35" xfId="0" applyFont="1" applyBorder="1"/>
    <xf numFmtId="0" fontId="19" fillId="0" borderId="37" xfId="0" applyFont="1" applyBorder="1"/>
    <xf numFmtId="11" fontId="19" fillId="0" borderId="0" xfId="0" applyNumberFormat="1" applyFont="1" applyAlignment="1">
      <alignment horizontal="center" wrapText="1"/>
    </xf>
    <xf numFmtId="0" fontId="18" fillId="0" borderId="0" xfId="0" applyFont="1" applyAlignment="1">
      <alignment horizontal="center" wrapText="1"/>
    </xf>
    <xf numFmtId="0" fontId="18" fillId="0" borderId="35" xfId="0" applyFont="1" applyBorder="1" applyAlignment="1">
      <alignment horizontal="center"/>
    </xf>
    <xf numFmtId="169" fontId="19" fillId="0" borderId="35" xfId="0" applyNumberFormat="1" applyFont="1" applyBorder="1" applyAlignment="1">
      <alignment horizontal="center"/>
    </xf>
    <xf numFmtId="4" fontId="19" fillId="0" borderId="35" xfId="0" applyNumberFormat="1" applyFont="1" applyBorder="1" applyAlignment="1">
      <alignment horizontal="center"/>
    </xf>
    <xf numFmtId="0" fontId="19" fillId="0" borderId="36" xfId="0" applyFont="1" applyBorder="1"/>
    <xf numFmtId="0" fontId="19" fillId="0" borderId="0" xfId="0" applyFont="1" applyAlignment="1">
      <alignment horizontal="left" indent="1"/>
    </xf>
    <xf numFmtId="0" fontId="19" fillId="0" borderId="64" xfId="0" applyFont="1" applyBorder="1" applyAlignment="1">
      <alignment horizontal="left"/>
    </xf>
    <xf numFmtId="0" fontId="19" fillId="0" borderId="64" xfId="0" applyFont="1" applyBorder="1" applyAlignment="1">
      <alignment horizontal="left" vertical="center"/>
    </xf>
    <xf numFmtId="0" fontId="19" fillId="0" borderId="63" xfId="0" applyFont="1" applyBorder="1"/>
    <xf numFmtId="174" fontId="19" fillId="0" borderId="0" xfId="0" applyNumberFormat="1" applyFont="1" applyAlignment="1">
      <alignment horizontal="center"/>
    </xf>
    <xf numFmtId="0" fontId="19" fillId="0" borderId="18" xfId="18" applyFont="1" applyBorder="1"/>
    <xf numFmtId="0" fontId="19" fillId="0" borderId="0" xfId="0" applyFont="1" applyAlignment="1">
      <alignment horizontal="left"/>
    </xf>
    <xf numFmtId="11" fontId="19" fillId="0" borderId="0" xfId="0" applyNumberFormat="1" applyFont="1"/>
    <xf numFmtId="0" fontId="18" fillId="0" borderId="50" xfId="0" applyFont="1" applyBorder="1" applyAlignment="1">
      <alignment horizontal="center" vertical="center"/>
    </xf>
    <xf numFmtId="0" fontId="18" fillId="0" borderId="61"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62" xfId="0" applyFont="1" applyBorder="1" applyAlignment="1">
      <alignment horizontal="center" vertical="center" wrapText="1"/>
    </xf>
    <xf numFmtId="0" fontId="19" fillId="0" borderId="14" xfId="0" applyFont="1" applyBorder="1" applyAlignment="1">
      <alignment horizontal="center"/>
    </xf>
    <xf numFmtId="0" fontId="19" fillId="0" borderId="6" xfId="0" applyFont="1" applyBorder="1" applyAlignment="1">
      <alignment horizontal="center"/>
    </xf>
    <xf numFmtId="0" fontId="19" fillId="0" borderId="16" xfId="0" applyFont="1" applyBorder="1" applyAlignment="1">
      <alignment horizontal="center"/>
    </xf>
    <xf numFmtId="2" fontId="19" fillId="0" borderId="4" xfId="0" applyNumberFormat="1" applyFont="1" applyBorder="1" applyAlignment="1">
      <alignment horizontal="center"/>
    </xf>
    <xf numFmtId="167" fontId="19" fillId="0" borderId="16" xfId="0" applyNumberFormat="1" applyFont="1" applyBorder="1" applyAlignment="1">
      <alignment horizontal="center" wrapText="1"/>
    </xf>
    <xf numFmtId="0" fontId="19" fillId="0" borderId="19" xfId="0" applyFont="1" applyBorder="1" applyAlignment="1">
      <alignment horizontal="center"/>
    </xf>
    <xf numFmtId="0" fontId="19" fillId="0" borderId="20" xfId="0" applyFont="1" applyBorder="1" applyAlignment="1">
      <alignment horizontal="center"/>
    </xf>
    <xf numFmtId="0" fontId="19" fillId="0" borderId="45" xfId="0" applyFont="1" applyBorder="1" applyAlignment="1">
      <alignment horizontal="center"/>
    </xf>
    <xf numFmtId="2" fontId="19" fillId="0" borderId="44" xfId="0" applyNumberFormat="1" applyFont="1" applyBorder="1" applyAlignment="1">
      <alignment horizontal="center"/>
    </xf>
    <xf numFmtId="167" fontId="19" fillId="0" borderId="45" xfId="0" applyNumberFormat="1" applyFont="1" applyBorder="1" applyAlignment="1">
      <alignment horizontal="center" wrapText="1"/>
    </xf>
    <xf numFmtId="0" fontId="19" fillId="0" borderId="0" xfId="0" applyFont="1" applyAlignment="1">
      <alignment wrapText="1"/>
    </xf>
    <xf numFmtId="3" fontId="19" fillId="0" borderId="19" xfId="0" applyNumberFormat="1" applyFont="1" applyBorder="1" applyAlignment="1">
      <alignment horizontal="center" vertical="center" wrapText="1"/>
    </xf>
    <xf numFmtId="0" fontId="19" fillId="0" borderId="20" xfId="0" applyFont="1" applyBorder="1" applyAlignment="1">
      <alignment horizontal="left" vertical="center" wrapText="1"/>
    </xf>
    <xf numFmtId="0" fontId="19" fillId="0" borderId="20" xfId="0" applyFont="1" applyBorder="1" applyAlignment="1">
      <alignment horizontal="center" vertical="center"/>
    </xf>
    <xf numFmtId="2" fontId="19" fillId="0" borderId="45" xfId="0" applyNumberFormat="1" applyFont="1" applyBorder="1" applyAlignment="1">
      <alignment horizontal="left" vertical="center" wrapText="1"/>
    </xf>
    <xf numFmtId="0" fontId="19" fillId="0" borderId="0" xfId="15" applyFont="1" applyAlignment="1">
      <alignment vertical="center"/>
    </xf>
    <xf numFmtId="166" fontId="19" fillId="0" borderId="0" xfId="0" applyNumberFormat="1" applyFont="1" applyAlignment="1">
      <alignment horizontal="center"/>
    </xf>
    <xf numFmtId="0" fontId="18" fillId="0" borderId="24" xfId="15" applyFont="1" applyBorder="1" applyAlignment="1">
      <alignment horizontal="left"/>
    </xf>
    <xf numFmtId="3" fontId="19" fillId="0" borderId="2" xfId="15" applyNumberFormat="1" applyFont="1" applyBorder="1" applyAlignment="1">
      <alignment horizontal="center"/>
    </xf>
    <xf numFmtId="0" fontId="19" fillId="0" borderId="28" xfId="15" applyFont="1" applyBorder="1"/>
    <xf numFmtId="3" fontId="19" fillId="0" borderId="63" xfId="15" applyNumberFormat="1" applyFont="1" applyBorder="1" applyAlignment="1">
      <alignment horizontal="center"/>
    </xf>
    <xf numFmtId="2" fontId="19" fillId="0" borderId="0" xfId="15" applyNumberFormat="1" applyFont="1"/>
    <xf numFmtId="167" fontId="19" fillId="0" borderId="0" xfId="15" applyNumberFormat="1" applyFont="1"/>
    <xf numFmtId="0" fontId="18" fillId="0" borderId="56" xfId="15" applyFont="1" applyBorder="1" applyAlignment="1">
      <alignment horizontal="center"/>
    </xf>
    <xf numFmtId="0" fontId="18" fillId="0" borderId="40" xfId="15" applyFont="1" applyBorder="1" applyAlignment="1">
      <alignment horizontal="center" wrapText="1"/>
    </xf>
    <xf numFmtId="0" fontId="18" fillId="0" borderId="57" xfId="15" applyFont="1" applyBorder="1" applyAlignment="1">
      <alignment horizontal="center" wrapText="1"/>
    </xf>
    <xf numFmtId="0" fontId="19" fillId="0" borderId="17" xfId="15" applyFont="1" applyBorder="1"/>
    <xf numFmtId="0" fontId="19" fillId="0" borderId="0" xfId="15" applyFont="1" applyAlignment="1">
      <alignment horizontal="center"/>
    </xf>
    <xf numFmtId="3" fontId="19" fillId="0" borderId="23" xfId="15" applyNumberFormat="1" applyFont="1" applyBorder="1" applyAlignment="1">
      <alignment horizontal="center"/>
    </xf>
    <xf numFmtId="168" fontId="19" fillId="0" borderId="0" xfId="15" applyNumberFormat="1" applyFont="1" applyAlignment="1">
      <alignment horizontal="center"/>
    </xf>
    <xf numFmtId="174" fontId="19" fillId="0" borderId="0" xfId="15" applyNumberFormat="1" applyFont="1" applyAlignment="1">
      <alignment horizontal="center"/>
    </xf>
    <xf numFmtId="166" fontId="19" fillId="0" borderId="0" xfId="15" applyNumberFormat="1" applyFont="1" applyAlignment="1">
      <alignment horizontal="center"/>
    </xf>
    <xf numFmtId="0" fontId="19" fillId="0" borderId="18" xfId="15" applyFont="1" applyBorder="1"/>
    <xf numFmtId="0" fontId="19" fillId="0" borderId="1" xfId="15" applyFont="1" applyBorder="1" applyAlignment="1">
      <alignment horizontal="center"/>
    </xf>
    <xf numFmtId="3" fontId="19" fillId="0" borderId="29" xfId="15" applyNumberFormat="1" applyFont="1" applyBorder="1" applyAlignment="1">
      <alignment horizontal="center"/>
    </xf>
    <xf numFmtId="3" fontId="19" fillId="0" borderId="0" xfId="15" applyNumberFormat="1" applyFont="1" applyAlignment="1">
      <alignment horizontal="center"/>
    </xf>
    <xf numFmtId="0" fontId="23" fillId="0" borderId="0" xfId="15" applyFont="1" applyAlignment="1">
      <alignment horizontal="left" indent="1"/>
    </xf>
    <xf numFmtId="0" fontId="23" fillId="0" borderId="0" xfId="15" applyFont="1" applyAlignment="1">
      <alignment horizontal="left" vertical="top" indent="1"/>
    </xf>
    <xf numFmtId="0" fontId="19" fillId="0" borderId="0" xfId="15" applyFont="1" applyAlignment="1">
      <alignment horizontal="center" wrapText="1"/>
    </xf>
    <xf numFmtId="0" fontId="18" fillId="0" borderId="17" xfId="15" applyFont="1" applyBorder="1" applyAlignment="1">
      <alignment horizontal="left"/>
    </xf>
    <xf numFmtId="0" fontId="19" fillId="0" borderId="23" xfId="15" applyFont="1" applyBorder="1"/>
    <xf numFmtId="171" fontId="19" fillId="0" borderId="0" xfId="15" applyNumberFormat="1" applyFont="1" applyAlignment="1">
      <alignment horizontal="center"/>
    </xf>
    <xf numFmtId="171" fontId="19" fillId="0" borderId="23" xfId="15" applyNumberFormat="1" applyFont="1" applyBorder="1" applyAlignment="1">
      <alignment horizontal="center"/>
    </xf>
    <xf numFmtId="0" fontId="18" fillId="0" borderId="58" xfId="15" applyFont="1" applyBorder="1" applyAlignment="1">
      <alignment horizontal="center"/>
    </xf>
    <xf numFmtId="0" fontId="18" fillId="0" borderId="41" xfId="15" applyFont="1" applyBorder="1" applyAlignment="1">
      <alignment horizontal="center" wrapText="1"/>
    </xf>
    <xf numFmtId="0" fontId="18" fillId="0" borderId="24" xfId="15" applyFont="1" applyBorder="1" applyAlignment="1">
      <alignment horizontal="center" wrapText="1"/>
    </xf>
    <xf numFmtId="3" fontId="19" fillId="0" borderId="2" xfId="15" applyNumberFormat="1" applyFont="1" applyBorder="1" applyAlignment="1">
      <alignment horizontal="center" vertical="center"/>
    </xf>
    <xf numFmtId="0" fontId="18" fillId="0" borderId="74" xfId="15" applyFont="1" applyBorder="1" applyAlignment="1">
      <alignment horizontal="left"/>
    </xf>
    <xf numFmtId="0" fontId="19" fillId="0" borderId="71" xfId="15" applyFont="1" applyBorder="1"/>
    <xf numFmtId="0" fontId="18" fillId="0" borderId="40" xfId="15" applyFont="1" applyBorder="1" applyAlignment="1">
      <alignment horizontal="center"/>
    </xf>
    <xf numFmtId="0" fontId="18" fillId="0" borderId="59" xfId="15" applyFont="1" applyBorder="1" applyAlignment="1">
      <alignment horizontal="center"/>
    </xf>
    <xf numFmtId="2" fontId="19" fillId="0" borderId="0" xfId="15" applyNumberFormat="1" applyFont="1" applyAlignment="1">
      <alignment horizontal="center"/>
    </xf>
    <xf numFmtId="164" fontId="19" fillId="0" borderId="0" xfId="15" applyNumberFormat="1" applyFont="1"/>
    <xf numFmtId="4" fontId="19" fillId="0" borderId="0" xfId="15" applyNumberFormat="1" applyFont="1" applyAlignment="1">
      <alignment horizontal="center"/>
    </xf>
    <xf numFmtId="170" fontId="19" fillId="0" borderId="0" xfId="15" applyNumberFormat="1" applyFont="1" applyAlignment="1">
      <alignment horizontal="center"/>
    </xf>
    <xf numFmtId="169" fontId="19" fillId="0" borderId="29" xfId="15" applyNumberFormat="1" applyFont="1" applyBorder="1" applyAlignment="1">
      <alignment horizontal="center"/>
    </xf>
    <xf numFmtId="170" fontId="19" fillId="0" borderId="0" xfId="15" applyNumberFormat="1" applyFont="1"/>
    <xf numFmtId="170" fontId="19" fillId="0" borderId="0" xfId="15" applyNumberFormat="1" applyFont="1" applyAlignment="1">
      <alignment horizontal="center" vertical="center"/>
    </xf>
    <xf numFmtId="0" fontId="27" fillId="0" borderId="0" xfId="13" applyFont="1" applyAlignment="1">
      <alignment wrapText="1"/>
    </xf>
    <xf numFmtId="9" fontId="19" fillId="0" borderId="0" xfId="13" applyNumberFormat="1" applyFont="1" applyAlignment="1">
      <alignment horizontal="center"/>
    </xf>
    <xf numFmtId="10" fontId="19" fillId="0" borderId="0" xfId="13" applyNumberFormat="1" applyFont="1" applyAlignment="1">
      <alignment horizontal="center"/>
    </xf>
    <xf numFmtId="0" fontId="19" fillId="0" borderId="0" xfId="13" applyFont="1" applyAlignment="1">
      <alignment horizontal="center"/>
    </xf>
    <xf numFmtId="3" fontId="19" fillId="0" borderId="0" xfId="13" applyNumberFormat="1" applyFont="1" applyAlignment="1">
      <alignment horizontal="center"/>
    </xf>
    <xf numFmtId="166" fontId="18" fillId="0" borderId="0" xfId="13" applyNumberFormat="1" applyFont="1" applyAlignment="1">
      <alignment horizontal="center" vertical="center" wrapText="1"/>
    </xf>
    <xf numFmtId="0" fontId="19" fillId="0" borderId="0" xfId="13" applyFont="1" applyAlignment="1">
      <alignment vertical="center"/>
    </xf>
    <xf numFmtId="0" fontId="19" fillId="0" borderId="0" xfId="13" applyFont="1" applyAlignment="1">
      <alignment horizontal="center" vertical="center"/>
    </xf>
    <xf numFmtId="0" fontId="19" fillId="0" borderId="0" xfId="13" applyFont="1" applyAlignment="1">
      <alignment horizontal="center" vertical="center" wrapText="1"/>
    </xf>
    <xf numFmtId="3" fontId="19" fillId="0" borderId="0" xfId="13" applyNumberFormat="1" applyFont="1" applyAlignment="1">
      <alignment horizontal="center" vertical="center"/>
    </xf>
    <xf numFmtId="9" fontId="19" fillId="0" borderId="0" xfId="13" applyNumberFormat="1" applyFont="1" applyAlignment="1">
      <alignment horizontal="center" vertical="center"/>
    </xf>
    <xf numFmtId="10" fontId="19" fillId="0" borderId="0" xfId="13" applyNumberFormat="1" applyFont="1" applyAlignment="1">
      <alignment horizontal="center" vertical="center"/>
    </xf>
    <xf numFmtId="165" fontId="19" fillId="0" borderId="0" xfId="13" applyNumberFormat="1" applyFont="1" applyAlignment="1">
      <alignment horizontal="center" vertical="center"/>
    </xf>
    <xf numFmtId="0" fontId="19" fillId="0" borderId="67" xfId="13" applyFont="1" applyBorder="1" applyAlignment="1">
      <alignment horizontal="center" vertical="center"/>
    </xf>
    <xf numFmtId="0" fontId="23" fillId="0" borderId="0" xfId="13" applyFont="1"/>
    <xf numFmtId="0" fontId="24" fillId="0" borderId="0" xfId="13" applyFont="1" applyAlignment="1">
      <alignment horizontal="right" vertical="top"/>
    </xf>
    <xf numFmtId="0" fontId="23" fillId="0" borderId="0" xfId="13" applyFont="1" applyAlignment="1">
      <alignment horizontal="left" vertical="center"/>
    </xf>
    <xf numFmtId="3" fontId="23" fillId="0" borderId="0" xfId="13" applyNumberFormat="1" applyFont="1" applyAlignment="1">
      <alignment horizontal="center" vertical="center"/>
    </xf>
    <xf numFmtId="0" fontId="23" fillId="0" borderId="0" xfId="13" applyFont="1" applyAlignment="1">
      <alignment horizontal="center" vertical="center"/>
    </xf>
    <xf numFmtId="9" fontId="23" fillId="0" borderId="0" xfId="13" applyNumberFormat="1" applyFont="1" applyAlignment="1">
      <alignment horizontal="center" vertical="center"/>
    </xf>
    <xf numFmtId="0" fontId="23" fillId="0" borderId="0" xfId="13" applyFont="1" applyAlignment="1">
      <alignment horizontal="left" wrapText="1"/>
    </xf>
    <xf numFmtId="0" fontId="23" fillId="0" borderId="0" xfId="13" applyFont="1" applyAlignment="1">
      <alignment horizontal="left"/>
    </xf>
    <xf numFmtId="0" fontId="23" fillId="0" borderId="0" xfId="13" applyFont="1" applyAlignment="1">
      <alignment horizontal="center"/>
    </xf>
    <xf numFmtId="9" fontId="23" fillId="0" borderId="0" xfId="13" applyNumberFormat="1" applyFont="1" applyAlignment="1">
      <alignment horizontal="center"/>
    </xf>
    <xf numFmtId="10" fontId="23" fillId="0" borderId="0" xfId="13" applyNumberFormat="1" applyFont="1" applyAlignment="1">
      <alignment horizontal="center"/>
    </xf>
    <xf numFmtId="3" fontId="23" fillId="0" borderId="0" xfId="13" applyNumberFormat="1" applyFont="1" applyAlignment="1">
      <alignment horizontal="center"/>
    </xf>
    <xf numFmtId="0" fontId="19" fillId="0" borderId="0" xfId="13" applyFont="1" applyAlignment="1">
      <alignment horizontal="center" wrapText="1"/>
    </xf>
    <xf numFmtId="170" fontId="19" fillId="0" borderId="0" xfId="13" applyNumberFormat="1" applyFont="1" applyAlignment="1">
      <alignment horizontal="center" vertical="center"/>
    </xf>
    <xf numFmtId="0" fontId="19" fillId="0" borderId="0" xfId="7" applyFont="1" applyAlignment="1">
      <alignment horizontal="center" vertical="center" wrapText="1"/>
    </xf>
    <xf numFmtId="4" fontId="19" fillId="0" borderId="0" xfId="13" applyNumberFormat="1" applyFont="1" applyAlignment="1">
      <alignment horizontal="center" vertical="center"/>
    </xf>
    <xf numFmtId="175" fontId="19" fillId="0" borderId="0" xfId="7" applyNumberFormat="1" applyFont="1" applyAlignment="1">
      <alignment horizontal="center" vertical="center" wrapText="1"/>
    </xf>
    <xf numFmtId="1" fontId="19" fillId="0" borderId="0" xfId="13" applyNumberFormat="1" applyFont="1" applyAlignment="1">
      <alignment horizontal="center"/>
    </xf>
    <xf numFmtId="170" fontId="19" fillId="0" borderId="0" xfId="13" applyNumberFormat="1" applyFont="1" applyAlignment="1">
      <alignment horizontal="center" wrapText="1"/>
    </xf>
    <xf numFmtId="166" fontId="19" fillId="0" borderId="0" xfId="13" applyNumberFormat="1" applyFont="1" applyAlignment="1">
      <alignment horizontal="center"/>
    </xf>
    <xf numFmtId="0" fontId="19" fillId="0" borderId="66" xfId="13" applyFont="1" applyBorder="1" applyAlignment="1">
      <alignment horizontal="center" vertical="center"/>
    </xf>
    <xf numFmtId="3" fontId="19" fillId="0" borderId="66" xfId="13" applyNumberFormat="1" applyFont="1" applyBorder="1" applyAlignment="1">
      <alignment horizontal="center" vertical="center"/>
    </xf>
    <xf numFmtId="0" fontId="31" fillId="0" borderId="0" xfId="21" applyFont="1" applyAlignment="1">
      <alignment horizontal="center"/>
    </xf>
    <xf numFmtId="3" fontId="19" fillId="0" borderId="66" xfId="13" applyNumberFormat="1" applyFont="1" applyBorder="1" applyAlignment="1">
      <alignment horizontal="center" vertical="center" wrapText="1"/>
    </xf>
    <xf numFmtId="9" fontId="26" fillId="0" borderId="0" xfId="13" applyNumberFormat="1" applyFont="1" applyAlignment="1">
      <alignment horizontal="center" vertical="center"/>
    </xf>
    <xf numFmtId="11" fontId="23" fillId="0" borderId="0" xfId="13" applyNumberFormat="1" applyFont="1"/>
    <xf numFmtId="168" fontId="19" fillId="0" borderId="0" xfId="13" applyNumberFormat="1" applyFont="1" applyAlignment="1">
      <alignment horizontal="center"/>
    </xf>
    <xf numFmtId="166" fontId="19" fillId="0" borderId="0" xfId="13" applyNumberFormat="1" applyFont="1" applyAlignment="1">
      <alignment horizontal="center" vertical="center"/>
    </xf>
    <xf numFmtId="170" fontId="19" fillId="0" borderId="0" xfId="13" applyNumberFormat="1" applyFont="1" applyAlignment="1">
      <alignment horizontal="center"/>
    </xf>
    <xf numFmtId="3" fontId="19" fillId="0" borderId="0" xfId="13" applyNumberFormat="1" applyFont="1"/>
    <xf numFmtId="9" fontId="19" fillId="0" borderId="49" xfId="13" applyNumberFormat="1" applyFont="1" applyBorder="1" applyAlignment="1">
      <alignment horizontal="center" vertical="center"/>
    </xf>
    <xf numFmtId="0" fontId="19" fillId="0" borderId="49" xfId="13" applyFont="1" applyBorder="1" applyAlignment="1">
      <alignment horizontal="center" vertical="center"/>
    </xf>
    <xf numFmtId="3" fontId="19" fillId="0" borderId="49" xfId="13" applyNumberFormat="1" applyFont="1" applyBorder="1" applyAlignment="1">
      <alignment horizontal="center" vertical="center"/>
    </xf>
    <xf numFmtId="3" fontId="19" fillId="0" borderId="43" xfId="13" applyNumberFormat="1" applyFont="1" applyBorder="1" applyAlignment="1">
      <alignment horizontal="center" vertical="center"/>
    </xf>
    <xf numFmtId="166" fontId="23" fillId="0" borderId="0" xfId="13" applyNumberFormat="1" applyFont="1" applyAlignment="1">
      <alignment horizontal="center" vertical="center"/>
    </xf>
    <xf numFmtId="0" fontId="18" fillId="0" borderId="0" xfId="13" applyFont="1" applyAlignment="1">
      <alignment horizontal="left" vertical="center"/>
    </xf>
    <xf numFmtId="0" fontId="19" fillId="0" borderId="0" xfId="13" applyFont="1" applyAlignment="1">
      <alignment horizontal="left" vertical="center" wrapText="1"/>
    </xf>
    <xf numFmtId="172" fontId="19" fillId="0" borderId="0" xfId="13" applyNumberFormat="1" applyFont="1" applyAlignment="1">
      <alignment horizontal="center" vertical="center" wrapText="1"/>
    </xf>
    <xf numFmtId="168" fontId="19" fillId="0" borderId="0" xfId="13" applyNumberFormat="1" applyFont="1" applyAlignment="1">
      <alignment horizontal="center" vertical="center" wrapText="1"/>
    </xf>
    <xf numFmtId="169" fontId="19" fillId="0" borderId="0" xfId="13" applyNumberFormat="1" applyFont="1" applyAlignment="1">
      <alignment horizontal="center" vertical="center"/>
    </xf>
    <xf numFmtId="168" fontId="19" fillId="0" borderId="0" xfId="13" applyNumberFormat="1" applyFont="1" applyAlignment="1">
      <alignment horizontal="center" wrapText="1"/>
    </xf>
    <xf numFmtId="0" fontId="18" fillId="0" borderId="0" xfId="0" applyFont="1"/>
    <xf numFmtId="0" fontId="19" fillId="0" borderId="68" xfId="0" applyFont="1" applyBorder="1" applyAlignment="1">
      <alignment horizontal="center"/>
    </xf>
    <xf numFmtId="0" fontId="4" fillId="0" borderId="0" xfId="0" applyFont="1" applyAlignment="1">
      <alignment horizontal="center" vertical="center"/>
    </xf>
    <xf numFmtId="0" fontId="18" fillId="0" borderId="0" xfId="15" applyFont="1" applyAlignment="1">
      <alignment vertical="center"/>
    </xf>
    <xf numFmtId="0" fontId="18" fillId="0" borderId="0" xfId="15" applyFont="1"/>
    <xf numFmtId="0" fontId="18" fillId="0" borderId="0" xfId="13" applyFont="1"/>
    <xf numFmtId="0" fontId="18" fillId="0" borderId="0" xfId="18" applyFont="1"/>
    <xf numFmtId="0" fontId="19" fillId="0" borderId="26" xfId="4" applyFont="1" applyBorder="1" applyAlignment="1">
      <alignment horizontal="center" vertical="center" wrapText="1"/>
    </xf>
    <xf numFmtId="0" fontId="19" fillId="0" borderId="25" xfId="4" applyFont="1" applyBorder="1" applyAlignment="1">
      <alignment horizontal="center" vertical="center" wrapText="1"/>
    </xf>
    <xf numFmtId="0" fontId="19" fillId="0" borderId="60" xfId="4" applyFont="1" applyBorder="1" applyAlignment="1">
      <alignment horizontal="center" vertical="center"/>
    </xf>
    <xf numFmtId="0" fontId="19" fillId="0" borderId="47" xfId="4" applyFont="1" applyBorder="1" applyAlignment="1">
      <alignment horizontal="center" vertical="center" wrapText="1"/>
    </xf>
    <xf numFmtId="11" fontId="19" fillId="0" borderId="42" xfId="0" applyNumberFormat="1" applyFont="1" applyBorder="1" applyAlignment="1">
      <alignment vertical="center"/>
    </xf>
    <xf numFmtId="11" fontId="19" fillId="0" borderId="49" xfId="0" applyNumberFormat="1" applyFont="1" applyBorder="1" applyAlignment="1">
      <alignment vertical="center"/>
    </xf>
    <xf numFmtId="11" fontId="19" fillId="0" borderId="43" xfId="0" applyNumberFormat="1" applyFont="1" applyBorder="1" applyAlignment="1">
      <alignment vertical="center"/>
    </xf>
    <xf numFmtId="11" fontId="19" fillId="0" borderId="42" xfId="15" applyNumberFormat="1" applyFont="1" applyBorder="1" applyAlignment="1">
      <alignment vertical="center"/>
    </xf>
    <xf numFmtId="11" fontId="19" fillId="0" borderId="49" xfId="15" applyNumberFormat="1" applyFont="1" applyBorder="1" applyAlignment="1">
      <alignment vertical="center"/>
    </xf>
    <xf numFmtId="0" fontId="19" fillId="0" borderId="72" xfId="4" applyFont="1" applyBorder="1" applyAlignment="1">
      <alignment horizontal="center" wrapText="1"/>
    </xf>
    <xf numFmtId="0" fontId="19" fillId="0" borderId="66" xfId="15" applyFont="1" applyBorder="1" applyAlignment="1">
      <alignment horizontal="center"/>
    </xf>
    <xf numFmtId="0" fontId="19" fillId="0" borderId="73" xfId="15" applyFont="1" applyBorder="1" applyAlignment="1">
      <alignment horizontal="center"/>
    </xf>
    <xf numFmtId="0" fontId="18" fillId="0" borderId="38" xfId="0" applyFont="1" applyBorder="1" applyAlignment="1">
      <alignment horizontal="center" wrapText="1"/>
    </xf>
    <xf numFmtId="0" fontId="19" fillId="0" borderId="76" xfId="15" applyFont="1" applyBorder="1" applyAlignment="1">
      <alignment horizontal="center"/>
    </xf>
    <xf numFmtId="0" fontId="18" fillId="0" borderId="63" xfId="0" applyFont="1" applyBorder="1"/>
    <xf numFmtId="11" fontId="19" fillId="0" borderId="76" xfId="0" applyNumberFormat="1" applyFont="1" applyBorder="1" applyAlignment="1">
      <alignment vertical="center"/>
    </xf>
    <xf numFmtId="11" fontId="19" fillId="0" borderId="76" xfId="15" applyNumberFormat="1" applyFont="1" applyBorder="1" applyAlignment="1">
      <alignment vertical="center"/>
    </xf>
    <xf numFmtId="0" fontId="18" fillId="0" borderId="0" xfId="15" applyFont="1" applyAlignment="1">
      <alignment horizontal="left"/>
    </xf>
    <xf numFmtId="0" fontId="18" fillId="0" borderId="0" xfId="15" applyFont="1" applyAlignment="1">
      <alignment horizontal="center" wrapText="1"/>
    </xf>
    <xf numFmtId="0" fontId="19" fillId="0" borderId="77" xfId="13" applyFont="1" applyBorder="1" applyAlignment="1">
      <alignment horizontal="center" vertical="center" wrapText="1"/>
    </xf>
    <xf numFmtId="0" fontId="19" fillId="0" borderId="77" xfId="13" applyFont="1" applyBorder="1" applyAlignment="1">
      <alignment horizontal="center"/>
    </xf>
    <xf numFmtId="1" fontId="19" fillId="0" borderId="77" xfId="13" applyNumberFormat="1" applyFont="1" applyBorder="1" applyAlignment="1">
      <alignment horizontal="center"/>
    </xf>
    <xf numFmtId="168" fontId="19" fillId="0" borderId="77" xfId="13" applyNumberFormat="1" applyFont="1" applyBorder="1" applyAlignment="1">
      <alignment horizontal="center"/>
    </xf>
    <xf numFmtId="3" fontId="19" fillId="0" borderId="77" xfId="13" applyNumberFormat="1" applyFont="1" applyBorder="1" applyAlignment="1">
      <alignment horizontal="center" vertical="center"/>
    </xf>
    <xf numFmtId="166" fontId="19" fillId="0" borderId="77" xfId="13" applyNumberFormat="1" applyFont="1" applyBorder="1" applyAlignment="1">
      <alignment horizontal="center" vertical="center"/>
    </xf>
    <xf numFmtId="167" fontId="19" fillId="0" borderId="77" xfId="13" applyNumberFormat="1" applyFont="1" applyBorder="1" applyAlignment="1">
      <alignment horizontal="center"/>
    </xf>
    <xf numFmtId="169" fontId="19" fillId="0" borderId="77" xfId="13" applyNumberFormat="1" applyFont="1" applyBorder="1" applyAlignment="1">
      <alignment horizontal="center" vertical="center"/>
    </xf>
    <xf numFmtId="169" fontId="19" fillId="0" borderId="77" xfId="13" applyNumberFormat="1" applyFont="1" applyBorder="1" applyAlignment="1">
      <alignment horizontal="center"/>
    </xf>
    <xf numFmtId="0" fontId="18" fillId="0" borderId="0" xfId="13" applyFont="1" applyAlignment="1">
      <alignment horizontal="center" vertical="center"/>
    </xf>
    <xf numFmtId="3" fontId="19" fillId="0" borderId="81" xfId="13" applyNumberFormat="1" applyFont="1" applyBorder="1" applyAlignment="1">
      <alignment horizontal="center" vertical="center"/>
    </xf>
    <xf numFmtId="171" fontId="19" fillId="0" borderId="77" xfId="13" applyNumberFormat="1" applyFont="1" applyBorder="1" applyAlignment="1">
      <alignment horizontal="center" vertical="center"/>
    </xf>
    <xf numFmtId="3" fontId="19" fillId="0" borderId="77" xfId="13" applyNumberFormat="1" applyFont="1" applyBorder="1" applyAlignment="1">
      <alignment horizontal="center"/>
    </xf>
    <xf numFmtId="0" fontId="18" fillId="0" borderId="0" xfId="13" applyFont="1" applyAlignment="1">
      <alignment vertical="center"/>
    </xf>
    <xf numFmtId="166" fontId="19" fillId="0" borderId="77" xfId="13" applyNumberFormat="1" applyFont="1" applyBorder="1" applyAlignment="1">
      <alignment horizontal="center"/>
    </xf>
    <xf numFmtId="166" fontId="18" fillId="0" borderId="77" xfId="13" applyNumberFormat="1" applyFont="1" applyBorder="1" applyAlignment="1">
      <alignment horizontal="center" vertical="center" wrapText="1"/>
    </xf>
    <xf numFmtId="1" fontId="19" fillId="0" borderId="77" xfId="13" applyNumberFormat="1" applyFont="1" applyBorder="1" applyAlignment="1">
      <alignment horizontal="center" vertical="center"/>
    </xf>
    <xf numFmtId="2" fontId="19" fillId="0" borderId="77" xfId="13" applyNumberFormat="1" applyFont="1" applyBorder="1" applyAlignment="1">
      <alignment horizontal="center" vertical="center"/>
    </xf>
    <xf numFmtId="175" fontId="19" fillId="0" borderId="77" xfId="13" applyNumberFormat="1" applyFont="1" applyBorder="1" applyAlignment="1">
      <alignment horizontal="center" vertical="center"/>
    </xf>
    <xf numFmtId="4" fontId="19" fillId="0" borderId="77" xfId="13" applyNumberFormat="1" applyFont="1" applyBorder="1" applyAlignment="1">
      <alignment horizontal="center" vertical="center"/>
    </xf>
    <xf numFmtId="2" fontId="32" fillId="0" borderId="77" xfId="13" applyNumberFormat="1" applyFont="1" applyBorder="1" applyAlignment="1">
      <alignment horizontal="center" vertical="center"/>
    </xf>
    <xf numFmtId="11" fontId="32" fillId="0" borderId="77" xfId="13" applyNumberFormat="1" applyFont="1" applyBorder="1" applyAlignment="1">
      <alignment horizontal="center" vertical="center"/>
    </xf>
    <xf numFmtId="0" fontId="23" fillId="0" borderId="77" xfId="13" applyFont="1" applyBorder="1" applyAlignment="1">
      <alignment horizontal="center"/>
    </xf>
    <xf numFmtId="0" fontId="18" fillId="0" borderId="0" xfId="13" applyFont="1" applyAlignment="1">
      <alignment horizontal="center"/>
    </xf>
    <xf numFmtId="0" fontId="19" fillId="0" borderId="78" xfId="0" applyFont="1" applyBorder="1" applyAlignment="1">
      <alignment horizontal="center"/>
    </xf>
    <xf numFmtId="11" fontId="19" fillId="0" borderId="78" xfId="0" applyNumberFormat="1" applyFont="1" applyBorder="1" applyAlignment="1">
      <alignment horizontal="center"/>
    </xf>
    <xf numFmtId="0" fontId="19" fillId="0" borderId="82" xfId="0" applyFont="1" applyBorder="1" applyAlignment="1">
      <alignment horizontal="center"/>
    </xf>
    <xf numFmtId="11" fontId="4" fillId="0" borderId="0" xfId="0" applyNumberFormat="1" applyFont="1"/>
    <xf numFmtId="11" fontId="13" fillId="11" borderId="4" xfId="0" applyNumberFormat="1" applyFont="1" applyFill="1" applyBorder="1" applyAlignment="1">
      <alignment vertical="center"/>
    </xf>
    <xf numFmtId="0" fontId="4" fillId="0" borderId="1" xfId="0" applyFont="1" applyBorder="1" applyAlignment="1">
      <alignment horizontal="center"/>
    </xf>
    <xf numFmtId="0" fontId="35" fillId="0" borderId="0" xfId="0" applyFont="1"/>
    <xf numFmtId="0" fontId="13" fillId="0" borderId="77" xfId="5" applyFont="1" applyBorder="1" applyAlignment="1">
      <alignment horizontal="center"/>
    </xf>
    <xf numFmtId="0" fontId="13" fillId="0" borderId="77" xfId="5" applyFont="1" applyBorder="1"/>
    <xf numFmtId="10" fontId="13" fillId="0" borderId="77" xfId="9" applyNumberFormat="1" applyFont="1" applyFill="1" applyBorder="1" applyAlignment="1">
      <alignment horizontal="center"/>
    </xf>
    <xf numFmtId="0" fontId="13" fillId="0" borderId="66" xfId="5" applyFont="1" applyBorder="1" applyAlignment="1">
      <alignment horizontal="center"/>
    </xf>
    <xf numFmtId="0" fontId="13" fillId="0" borderId="77" xfId="0" applyFont="1" applyBorder="1" applyAlignment="1">
      <alignment horizontal="left" vertical="center"/>
    </xf>
    <xf numFmtId="10" fontId="13" fillId="0" borderId="77" xfId="9" applyNumberFormat="1" applyFont="1" applyBorder="1" applyAlignment="1">
      <alignment horizontal="center"/>
    </xf>
    <xf numFmtId="0" fontId="13" fillId="0" borderId="77" xfId="7" applyFont="1" applyBorder="1" applyAlignment="1">
      <alignment horizontal="left" wrapText="1"/>
    </xf>
    <xf numFmtId="0" fontId="13" fillId="0" borderId="77" xfId="0" applyFont="1" applyBorder="1" applyAlignment="1">
      <alignment horizontal="center"/>
    </xf>
    <xf numFmtId="174" fontId="13" fillId="0" borderId="77" xfId="0" applyNumberFormat="1" applyFont="1" applyBorder="1" applyAlignment="1">
      <alignment horizontal="center"/>
    </xf>
    <xf numFmtId="167" fontId="13" fillId="0" borderId="77" xfId="0" applyNumberFormat="1" applyFont="1" applyBorder="1" applyAlignment="1">
      <alignment horizontal="center"/>
    </xf>
    <xf numFmtId="2" fontId="13" fillId="0" borderId="77" xfId="9" applyNumberFormat="1" applyFont="1" applyFill="1" applyBorder="1" applyAlignment="1">
      <alignment horizontal="center"/>
    </xf>
    <xf numFmtId="2" fontId="13" fillId="0" borderId="77" xfId="0" applyNumberFormat="1" applyFont="1" applyBorder="1" applyAlignment="1">
      <alignment horizontal="center"/>
    </xf>
    <xf numFmtId="1" fontId="13" fillId="0" borderId="77" xfId="0" applyNumberFormat="1" applyFont="1" applyBorder="1" applyAlignment="1">
      <alignment horizontal="center"/>
    </xf>
    <xf numFmtId="0" fontId="10" fillId="0" borderId="77" xfId="0" applyFont="1" applyBorder="1" applyAlignment="1">
      <alignment horizontal="left"/>
    </xf>
    <xf numFmtId="0" fontId="19" fillId="0" borderId="85" xfId="0" applyFont="1" applyBorder="1" applyAlignment="1">
      <alignment horizontal="center"/>
    </xf>
    <xf numFmtId="0" fontId="19" fillId="0" borderId="80" xfId="0" applyFont="1" applyBorder="1" applyAlignment="1">
      <alignment horizontal="center"/>
    </xf>
    <xf numFmtId="0" fontId="19" fillId="0" borderId="80" xfId="0" applyFont="1" applyBorder="1" applyAlignment="1">
      <alignment horizontal="center" vertical="center"/>
    </xf>
    <xf numFmtId="0" fontId="19" fillId="0" borderId="77" xfId="15" applyFont="1" applyBorder="1" applyAlignment="1">
      <alignment horizontal="center"/>
    </xf>
    <xf numFmtId="0" fontId="19" fillId="0" borderId="83" xfId="0" applyFont="1" applyBorder="1" applyAlignment="1">
      <alignment horizontal="center"/>
    </xf>
    <xf numFmtId="9" fontId="19" fillId="0" borderId="66" xfId="13" applyNumberFormat="1" applyFont="1" applyBorder="1" applyAlignment="1">
      <alignment horizontal="center" vertical="center"/>
    </xf>
    <xf numFmtId="3" fontId="19" fillId="0" borderId="73" xfId="13" applyNumberFormat="1" applyFont="1" applyBorder="1" applyAlignment="1">
      <alignment horizontal="center" vertical="center"/>
    </xf>
    <xf numFmtId="3" fontId="19" fillId="0" borderId="77" xfId="13" applyNumberFormat="1" applyFont="1" applyBorder="1" applyAlignment="1">
      <alignment horizontal="center" vertical="center" wrapText="1"/>
    </xf>
    <xf numFmtId="0" fontId="19" fillId="0" borderId="77" xfId="13" applyFont="1" applyBorder="1" applyAlignment="1">
      <alignment horizontal="center" vertical="center"/>
    </xf>
    <xf numFmtId="167" fontId="19" fillId="0" borderId="77" xfId="13" applyNumberFormat="1" applyFont="1" applyBorder="1" applyAlignment="1">
      <alignment horizontal="center" vertical="center"/>
    </xf>
    <xf numFmtId="9" fontId="19" fillId="0" borderId="77" xfId="13" applyNumberFormat="1" applyFont="1" applyBorder="1" applyAlignment="1">
      <alignment horizontal="center" vertical="center"/>
    </xf>
    <xf numFmtId="3" fontId="19" fillId="0" borderId="80" xfId="13" applyNumberFormat="1" applyFont="1" applyBorder="1" applyAlignment="1">
      <alignment horizontal="center" vertical="center"/>
    </xf>
    <xf numFmtId="166" fontId="19" fillId="0" borderId="80" xfId="13" applyNumberFormat="1" applyFont="1" applyBorder="1" applyAlignment="1">
      <alignment horizontal="center" vertical="center"/>
    </xf>
    <xf numFmtId="1" fontId="19" fillId="0" borderId="80" xfId="13" applyNumberFormat="1" applyFont="1" applyBorder="1" applyAlignment="1">
      <alignment horizontal="center" vertical="center"/>
    </xf>
    <xf numFmtId="168" fontId="19" fillId="0" borderId="77" xfId="13" applyNumberFormat="1" applyFont="1" applyBorder="1" applyAlignment="1">
      <alignment horizontal="center" vertical="center"/>
    </xf>
    <xf numFmtId="3" fontId="19" fillId="0" borderId="76" xfId="13" applyNumberFormat="1" applyFont="1" applyBorder="1" applyAlignment="1">
      <alignment horizontal="center" vertical="center"/>
    </xf>
    <xf numFmtId="9" fontId="19" fillId="0" borderId="76" xfId="13" applyNumberFormat="1" applyFont="1" applyBorder="1" applyAlignment="1">
      <alignment horizontal="center" vertical="center"/>
    </xf>
    <xf numFmtId="0" fontId="19" fillId="0" borderId="76" xfId="13" applyFont="1" applyBorder="1" applyAlignment="1">
      <alignment horizontal="center" vertical="center"/>
    </xf>
    <xf numFmtId="3" fontId="19" fillId="0" borderId="86" xfId="13" applyNumberFormat="1" applyFont="1" applyBorder="1" applyAlignment="1">
      <alignment horizontal="center" vertical="center"/>
    </xf>
    <xf numFmtId="165" fontId="19" fillId="0" borderId="77" xfId="13" applyNumberFormat="1" applyFont="1" applyBorder="1" applyAlignment="1">
      <alignment horizontal="center" vertical="center"/>
    </xf>
    <xf numFmtId="171" fontId="19" fillId="0" borderId="80" xfId="13" applyNumberFormat="1" applyFont="1" applyBorder="1" applyAlignment="1">
      <alignment horizontal="center" vertical="center"/>
    </xf>
    <xf numFmtId="3" fontId="19" fillId="0" borderId="77" xfId="13" quotePrefix="1" applyNumberFormat="1" applyFont="1" applyBorder="1" applyAlignment="1">
      <alignment horizontal="center" vertical="center"/>
    </xf>
    <xf numFmtId="1" fontId="19" fillId="0" borderId="73" xfId="13" applyNumberFormat="1" applyFont="1" applyBorder="1" applyAlignment="1">
      <alignment horizontal="center" vertical="center"/>
    </xf>
    <xf numFmtId="2" fontId="19" fillId="0" borderId="80" xfId="13" applyNumberFormat="1" applyFont="1" applyBorder="1" applyAlignment="1">
      <alignment horizontal="center" vertical="center"/>
    </xf>
    <xf numFmtId="1" fontId="19" fillId="0" borderId="86" xfId="13" applyNumberFormat="1" applyFont="1" applyBorder="1" applyAlignment="1">
      <alignment horizontal="center" vertical="center"/>
    </xf>
    <xf numFmtId="2" fontId="19" fillId="0" borderId="66" xfId="13" applyNumberFormat="1" applyFont="1" applyBorder="1" applyAlignment="1">
      <alignment horizontal="center" vertical="center"/>
    </xf>
    <xf numFmtId="169" fontId="19" fillId="0" borderId="80" xfId="13" applyNumberFormat="1" applyFont="1" applyBorder="1" applyAlignment="1">
      <alignment horizontal="center" vertical="center"/>
    </xf>
    <xf numFmtId="0" fontId="23" fillId="0" borderId="77" xfId="13" applyFont="1" applyBorder="1" applyAlignment="1">
      <alignment horizontal="center" vertical="center"/>
    </xf>
    <xf numFmtId="4" fontId="19" fillId="0" borderId="80" xfId="13" applyNumberFormat="1" applyFont="1" applyBorder="1" applyAlignment="1">
      <alignment horizontal="center" vertical="center"/>
    </xf>
    <xf numFmtId="166" fontId="18" fillId="0" borderId="63" xfId="13" applyNumberFormat="1" applyFont="1" applyBorder="1" applyAlignment="1">
      <alignment vertical="center"/>
    </xf>
    <xf numFmtId="166" fontId="18" fillId="0" borderId="63" xfId="13" applyNumberFormat="1" applyFont="1" applyBorder="1" applyAlignment="1">
      <alignment vertical="center" wrapText="1"/>
    </xf>
    <xf numFmtId="0" fontId="19" fillId="0" borderId="66" xfId="13" applyFont="1" applyBorder="1" applyAlignment="1">
      <alignment horizontal="center"/>
    </xf>
    <xf numFmtId="9" fontId="19" fillId="0" borderId="66" xfId="13" applyNumberFormat="1" applyFont="1" applyBorder="1" applyAlignment="1">
      <alignment horizontal="center"/>
    </xf>
    <xf numFmtId="1" fontId="19" fillId="0" borderId="66" xfId="13" applyNumberFormat="1" applyFont="1" applyBorder="1" applyAlignment="1">
      <alignment horizontal="center"/>
    </xf>
    <xf numFmtId="1" fontId="19" fillId="0" borderId="73" xfId="13" applyNumberFormat="1" applyFont="1" applyBorder="1" applyAlignment="1">
      <alignment horizontal="center"/>
    </xf>
    <xf numFmtId="11" fontId="19" fillId="0" borderId="80" xfId="13" applyNumberFormat="1" applyFont="1" applyBorder="1" applyAlignment="1">
      <alignment horizontal="center" vertical="center"/>
    </xf>
    <xf numFmtId="179" fontId="19" fillId="0" borderId="77" xfId="13" applyNumberFormat="1" applyFont="1" applyBorder="1" applyAlignment="1">
      <alignment horizontal="center" vertical="center"/>
    </xf>
    <xf numFmtId="10" fontId="19" fillId="0" borderId="77" xfId="13" applyNumberFormat="1" applyFont="1" applyBorder="1" applyAlignment="1">
      <alignment horizontal="center" vertical="center"/>
    </xf>
    <xf numFmtId="177" fontId="19" fillId="0" borderId="77" xfId="13" applyNumberFormat="1" applyFont="1" applyBorder="1" applyAlignment="1">
      <alignment horizontal="center"/>
    </xf>
    <xf numFmtId="9" fontId="19" fillId="0" borderId="77" xfId="13" applyNumberFormat="1" applyFont="1" applyBorder="1" applyAlignment="1">
      <alignment horizontal="center"/>
    </xf>
    <xf numFmtId="1" fontId="19" fillId="0" borderId="80" xfId="13" applyNumberFormat="1" applyFont="1" applyBorder="1" applyAlignment="1">
      <alignment horizontal="center"/>
    </xf>
    <xf numFmtId="167" fontId="19" fillId="0" borderId="80" xfId="13" applyNumberFormat="1" applyFont="1" applyBorder="1" applyAlignment="1">
      <alignment horizontal="center"/>
    </xf>
    <xf numFmtId="169" fontId="19" fillId="0" borderId="80" xfId="13" applyNumberFormat="1" applyFont="1" applyBorder="1" applyAlignment="1">
      <alignment horizontal="center"/>
    </xf>
    <xf numFmtId="11" fontId="19" fillId="0" borderId="80" xfId="13" applyNumberFormat="1" applyFont="1" applyBorder="1" applyAlignment="1">
      <alignment horizontal="center"/>
    </xf>
    <xf numFmtId="2" fontId="19" fillId="0" borderId="80" xfId="13" applyNumberFormat="1" applyFont="1" applyBorder="1" applyAlignment="1">
      <alignment horizontal="center"/>
    </xf>
    <xf numFmtId="179" fontId="19" fillId="0" borderId="77" xfId="13" applyNumberFormat="1" applyFont="1" applyBorder="1" applyAlignment="1">
      <alignment horizontal="center"/>
    </xf>
    <xf numFmtId="0" fontId="19" fillId="0" borderId="77" xfId="7" applyFont="1" applyBorder="1" applyAlignment="1">
      <alignment horizontal="center" vertical="center" wrapText="1"/>
    </xf>
    <xf numFmtId="165" fontId="19" fillId="0" borderId="77" xfId="13" applyNumberFormat="1" applyFont="1" applyBorder="1" applyAlignment="1">
      <alignment horizontal="center"/>
    </xf>
    <xf numFmtId="3" fontId="19" fillId="0" borderId="80" xfId="13" applyNumberFormat="1" applyFont="1" applyBorder="1" applyAlignment="1">
      <alignment horizontal="center"/>
    </xf>
    <xf numFmtId="0" fontId="19" fillId="0" borderId="76" xfId="13" applyFont="1" applyBorder="1" applyAlignment="1">
      <alignment horizontal="center" vertical="center" wrapText="1"/>
    </xf>
    <xf numFmtId="2" fontId="19" fillId="0" borderId="77" xfId="13" applyNumberFormat="1" applyFont="1" applyBorder="1" applyAlignment="1">
      <alignment horizontal="center"/>
    </xf>
    <xf numFmtId="10" fontId="19" fillId="0" borderId="77" xfId="13" applyNumberFormat="1" applyFont="1" applyBorder="1" applyAlignment="1">
      <alignment horizontal="center"/>
    </xf>
    <xf numFmtId="175" fontId="19" fillId="0" borderId="80" xfId="13" applyNumberFormat="1" applyFont="1" applyBorder="1" applyAlignment="1">
      <alignment horizontal="center" vertical="center"/>
    </xf>
    <xf numFmtId="4" fontId="19" fillId="0" borderId="77" xfId="13" applyNumberFormat="1" applyFont="1" applyBorder="1" applyAlignment="1">
      <alignment horizontal="center"/>
    </xf>
    <xf numFmtId="178" fontId="19" fillId="0" borderId="77" xfId="13" applyNumberFormat="1" applyFont="1" applyBorder="1" applyAlignment="1">
      <alignment horizontal="center"/>
    </xf>
    <xf numFmtId="173" fontId="19" fillId="0" borderId="77" xfId="13" applyNumberFormat="1" applyFont="1" applyBorder="1" applyAlignment="1">
      <alignment horizontal="center"/>
    </xf>
    <xf numFmtId="0" fontId="19" fillId="0" borderId="76" xfId="13" applyFont="1" applyBorder="1" applyAlignment="1">
      <alignment horizontal="center"/>
    </xf>
    <xf numFmtId="9" fontId="19" fillId="0" borderId="76" xfId="13" applyNumberFormat="1" applyFont="1" applyBorder="1" applyAlignment="1">
      <alignment horizontal="center"/>
    </xf>
    <xf numFmtId="3" fontId="19" fillId="0" borderId="76" xfId="13" applyNumberFormat="1" applyFont="1" applyBorder="1" applyAlignment="1">
      <alignment horizontal="center"/>
    </xf>
    <xf numFmtId="166" fontId="19" fillId="0" borderId="86" xfId="13" applyNumberFormat="1" applyFont="1" applyBorder="1" applyAlignment="1">
      <alignment horizontal="center"/>
    </xf>
    <xf numFmtId="170" fontId="19" fillId="0" borderId="77" xfId="13" applyNumberFormat="1" applyFont="1" applyBorder="1" applyAlignment="1">
      <alignment horizontal="center" vertical="center"/>
    </xf>
    <xf numFmtId="10" fontId="19" fillId="0" borderId="66" xfId="13" applyNumberFormat="1" applyFont="1" applyBorder="1" applyAlignment="1">
      <alignment horizontal="center" vertical="center"/>
    </xf>
    <xf numFmtId="165" fontId="19" fillId="0" borderId="66" xfId="13" applyNumberFormat="1" applyFont="1" applyBorder="1" applyAlignment="1">
      <alignment horizontal="center" vertical="center"/>
    </xf>
    <xf numFmtId="164" fontId="19" fillId="0" borderId="77" xfId="13" applyNumberFormat="1" applyFont="1" applyBorder="1" applyAlignment="1">
      <alignment horizontal="center" vertical="center"/>
    </xf>
    <xf numFmtId="174" fontId="19" fillId="0" borderId="77" xfId="13" applyNumberFormat="1" applyFont="1" applyBorder="1" applyAlignment="1">
      <alignment horizontal="center" vertical="center"/>
    </xf>
    <xf numFmtId="10" fontId="19" fillId="0" borderId="76" xfId="13" applyNumberFormat="1" applyFont="1" applyBorder="1" applyAlignment="1">
      <alignment horizontal="center" vertical="center"/>
    </xf>
    <xf numFmtId="167" fontId="19" fillId="0" borderId="76" xfId="13" applyNumberFormat="1" applyFont="1" applyBorder="1" applyAlignment="1">
      <alignment horizontal="center" vertical="center"/>
    </xf>
    <xf numFmtId="165" fontId="19" fillId="0" borderId="76" xfId="13" applyNumberFormat="1" applyFont="1" applyBorder="1" applyAlignment="1">
      <alignment horizontal="center" vertical="center"/>
    </xf>
    <xf numFmtId="0" fontId="19" fillId="0" borderId="66" xfId="13" applyFont="1" applyBorder="1" applyAlignment="1">
      <alignment horizontal="center" vertical="center" wrapText="1"/>
    </xf>
    <xf numFmtId="9" fontId="19" fillId="0" borderId="66" xfId="13" applyNumberFormat="1" applyFont="1" applyBorder="1" applyAlignment="1">
      <alignment horizontal="center" vertical="center" wrapText="1"/>
    </xf>
    <xf numFmtId="10" fontId="19" fillId="0" borderId="66" xfId="13" applyNumberFormat="1" applyFont="1" applyBorder="1" applyAlignment="1">
      <alignment horizontal="center" vertical="center" wrapText="1"/>
    </xf>
    <xf numFmtId="169" fontId="19" fillId="0" borderId="73" xfId="13" applyNumberFormat="1" applyFont="1" applyBorder="1" applyAlignment="1">
      <alignment horizontal="center" vertical="center"/>
    </xf>
    <xf numFmtId="10" fontId="19" fillId="0" borderId="81" xfId="13" applyNumberFormat="1" applyFont="1" applyBorder="1" applyAlignment="1">
      <alignment horizontal="center" vertical="center"/>
    </xf>
    <xf numFmtId="165" fontId="19" fillId="0" borderId="78" xfId="13" applyNumberFormat="1" applyFont="1" applyBorder="1" applyAlignment="1">
      <alignment horizontal="center" vertical="center"/>
    </xf>
    <xf numFmtId="0" fontId="19" fillId="0" borderId="79" xfId="13" applyFont="1" applyBorder="1" applyAlignment="1">
      <alignment horizontal="center" vertical="center"/>
    </xf>
    <xf numFmtId="167" fontId="19" fillId="0" borderId="79" xfId="13" applyNumberFormat="1" applyFont="1" applyBorder="1" applyAlignment="1">
      <alignment horizontal="center" vertical="center"/>
    </xf>
    <xf numFmtId="9" fontId="19" fillId="0" borderId="81" xfId="13" applyNumberFormat="1" applyFont="1" applyBorder="1" applyAlignment="1">
      <alignment horizontal="center" vertical="center"/>
    </xf>
    <xf numFmtId="0" fontId="19" fillId="0" borderId="81" xfId="13" applyFont="1" applyBorder="1" applyAlignment="1">
      <alignment horizontal="center" vertical="center"/>
    </xf>
    <xf numFmtId="167" fontId="19" fillId="0" borderId="81" xfId="13" applyNumberFormat="1" applyFont="1" applyBorder="1" applyAlignment="1">
      <alignment horizontal="center" vertical="center"/>
    </xf>
    <xf numFmtId="165" fontId="19" fillId="0" borderId="81" xfId="13" applyNumberFormat="1" applyFont="1" applyBorder="1" applyAlignment="1">
      <alignment horizontal="center" vertical="center"/>
    </xf>
    <xf numFmtId="0" fontId="19" fillId="0" borderId="66" xfId="7" applyFont="1" applyBorder="1" applyAlignment="1">
      <alignment horizontal="center" vertical="center" wrapText="1"/>
    </xf>
    <xf numFmtId="166" fontId="19" fillId="0" borderId="66" xfId="13" applyNumberFormat="1" applyFont="1" applyBorder="1" applyAlignment="1">
      <alignment horizontal="center" vertical="center"/>
    </xf>
    <xf numFmtId="4" fontId="19" fillId="0" borderId="73" xfId="13" applyNumberFormat="1" applyFont="1" applyBorder="1" applyAlignment="1">
      <alignment horizontal="center" vertical="center"/>
    </xf>
    <xf numFmtId="0" fontId="19" fillId="0" borderId="76" xfId="7" applyFont="1" applyBorder="1" applyAlignment="1">
      <alignment horizontal="center" vertical="center" wrapText="1"/>
    </xf>
    <xf numFmtId="0" fontId="18" fillId="0" borderId="69" xfId="0" applyFont="1" applyBorder="1"/>
    <xf numFmtId="0" fontId="19" fillId="0" borderId="70" xfId="0" applyFont="1" applyBorder="1" applyAlignment="1">
      <alignment horizontal="center"/>
    </xf>
    <xf numFmtId="0" fontId="19" fillId="0" borderId="67" xfId="0" applyFont="1" applyBorder="1"/>
    <xf numFmtId="0" fontId="19" fillId="0" borderId="84" xfId="0" applyFont="1" applyBorder="1" applyAlignment="1">
      <alignment horizontal="left"/>
    </xf>
    <xf numFmtId="11" fontId="19" fillId="0" borderId="85" xfId="0" applyNumberFormat="1" applyFont="1" applyBorder="1" applyAlignment="1">
      <alignment horizontal="center"/>
    </xf>
    <xf numFmtId="11" fontId="19" fillId="0" borderId="85" xfId="0" applyNumberFormat="1" applyFont="1" applyBorder="1"/>
    <xf numFmtId="11" fontId="19" fillId="0" borderId="77" xfId="0" applyNumberFormat="1" applyFont="1" applyBorder="1"/>
    <xf numFmtId="11" fontId="19" fillId="0" borderId="80" xfId="0" applyNumberFormat="1" applyFont="1" applyBorder="1"/>
    <xf numFmtId="11" fontId="19" fillId="0" borderId="85" xfId="15" applyNumberFormat="1" applyFont="1" applyBorder="1"/>
    <xf numFmtId="11" fontId="19" fillId="0" borderId="77" xfId="15" applyNumberFormat="1" applyFont="1" applyBorder="1"/>
    <xf numFmtId="11" fontId="19" fillId="0" borderId="85" xfId="0" applyNumberFormat="1" applyFont="1" applyBorder="1" applyAlignment="1">
      <alignment vertical="center"/>
    </xf>
    <xf numFmtId="11" fontId="19" fillId="0" borderId="77" xfId="0" applyNumberFormat="1" applyFont="1" applyBorder="1" applyAlignment="1">
      <alignment vertical="center"/>
    </xf>
    <xf numFmtId="11" fontId="19" fillId="0" borderId="80" xfId="0" applyNumberFormat="1" applyFont="1" applyBorder="1" applyAlignment="1">
      <alignment vertical="center"/>
    </xf>
    <xf numFmtId="11" fontId="19" fillId="0" borderId="85" xfId="15" applyNumberFormat="1" applyFont="1" applyBorder="1" applyAlignment="1">
      <alignment vertical="center"/>
    </xf>
    <xf numFmtId="11" fontId="19" fillId="0" borderId="77" xfId="15" applyNumberFormat="1" applyFont="1" applyBorder="1" applyAlignment="1">
      <alignment vertical="center"/>
    </xf>
    <xf numFmtId="0" fontId="19" fillId="0" borderId="85" xfId="4" applyFont="1" applyBorder="1" applyAlignment="1">
      <alignment horizontal="center" wrapText="1"/>
    </xf>
    <xf numFmtId="0" fontId="19" fillId="0" borderId="80" xfId="15" applyFont="1" applyBorder="1" applyAlignment="1">
      <alignment horizontal="center"/>
    </xf>
    <xf numFmtId="0" fontId="19" fillId="0" borderId="85" xfId="0" applyFont="1" applyBorder="1" applyAlignment="1">
      <alignment horizontal="left"/>
    </xf>
    <xf numFmtId="0" fontId="19" fillId="0" borderId="86" xfId="15" applyFont="1" applyBorder="1" applyAlignment="1">
      <alignment horizontal="center"/>
    </xf>
    <xf numFmtId="0" fontId="19" fillId="0" borderId="69" xfId="0" applyFont="1" applyBorder="1" applyAlignment="1">
      <alignment horizontal="center"/>
    </xf>
    <xf numFmtId="0" fontId="19" fillId="0" borderId="69" xfId="0" applyFont="1" applyBorder="1" applyAlignment="1">
      <alignment horizontal="center" vertical="center"/>
    </xf>
    <xf numFmtId="0" fontId="19" fillId="0" borderId="75" xfId="0" applyFont="1" applyBorder="1" applyAlignment="1">
      <alignment horizontal="center"/>
    </xf>
    <xf numFmtId="0" fontId="19" fillId="0" borderId="86" xfId="0" applyFont="1" applyBorder="1" applyAlignment="1">
      <alignment horizontal="center"/>
    </xf>
    <xf numFmtId="11" fontId="19" fillId="0" borderId="83" xfId="0" applyNumberFormat="1" applyFont="1" applyBorder="1" applyAlignment="1">
      <alignment horizontal="center"/>
    </xf>
    <xf numFmtId="11" fontId="19" fillId="0" borderId="82" xfId="0" applyNumberFormat="1" applyFont="1" applyBorder="1" applyAlignment="1">
      <alignment horizontal="center"/>
    </xf>
    <xf numFmtId="11" fontId="19" fillId="0" borderId="83" xfId="0" applyNumberFormat="1" applyFont="1" applyBorder="1"/>
    <xf numFmtId="11" fontId="19" fillId="0" borderId="76" xfId="0" applyNumberFormat="1" applyFont="1" applyBorder="1"/>
    <xf numFmtId="11" fontId="19" fillId="0" borderId="86" xfId="0" applyNumberFormat="1" applyFont="1" applyBorder="1"/>
    <xf numFmtId="11" fontId="19" fillId="0" borderId="83" xfId="15" applyNumberFormat="1" applyFont="1" applyBorder="1"/>
    <xf numFmtId="11" fontId="19" fillId="0" borderId="76" xfId="15" applyNumberFormat="1" applyFont="1" applyBorder="1"/>
    <xf numFmtId="11" fontId="19" fillId="0" borderId="83" xfId="0" applyNumberFormat="1" applyFont="1" applyBorder="1" applyAlignment="1">
      <alignment vertical="center"/>
    </xf>
    <xf numFmtId="11" fontId="19" fillId="0" borderId="86" xfId="0" applyNumberFormat="1" applyFont="1" applyBorder="1" applyAlignment="1">
      <alignment vertical="center"/>
    </xf>
    <xf numFmtId="11" fontId="19" fillId="0" borderId="83" xfId="15" applyNumberFormat="1" applyFont="1" applyBorder="1" applyAlignment="1">
      <alignment vertical="center"/>
    </xf>
    <xf numFmtId="3" fontId="19" fillId="0" borderId="85" xfId="13" applyNumberFormat="1" applyFont="1" applyBorder="1" applyAlignment="1">
      <alignment horizontal="center" vertical="center"/>
    </xf>
    <xf numFmtId="11" fontId="19" fillId="0" borderId="0" xfId="15" applyNumberFormat="1" applyFont="1" applyAlignment="1">
      <alignment vertical="center"/>
    </xf>
    <xf numFmtId="0" fontId="4" fillId="0" borderId="0" xfId="0" applyFont="1" applyFill="1" applyAlignment="1">
      <alignment horizontal="center"/>
    </xf>
    <xf numFmtId="0" fontId="10" fillId="0" borderId="77" xfId="0" applyFont="1" applyFill="1" applyBorder="1" applyAlignment="1">
      <alignment horizontal="left"/>
    </xf>
    <xf numFmtId="0" fontId="13" fillId="0" borderId="77" xfId="0" applyFont="1" applyFill="1" applyBorder="1" applyAlignment="1">
      <alignment horizontal="center"/>
    </xf>
    <xf numFmtId="11" fontId="12" fillId="0" borderId="4" xfId="0" applyNumberFormat="1" applyFont="1" applyFill="1" applyBorder="1" applyAlignment="1" applyProtection="1">
      <alignment horizontal="center"/>
      <protection locked="0"/>
    </xf>
    <xf numFmtId="0" fontId="4" fillId="0" borderId="0" xfId="0" applyFont="1" applyFill="1" applyAlignment="1">
      <alignment horizontal="center" vertical="center"/>
    </xf>
    <xf numFmtId="0" fontId="4" fillId="0" borderId="0" xfId="0" applyFont="1" applyFill="1"/>
    <xf numFmtId="0" fontId="4" fillId="0" borderId="27" xfId="0" applyFont="1" applyFill="1" applyBorder="1" applyAlignment="1">
      <alignment wrapText="1"/>
    </xf>
    <xf numFmtId="1" fontId="10" fillId="0" borderId="23" xfId="0" applyNumberFormat="1" applyFont="1" applyBorder="1" applyAlignment="1">
      <alignment horizontal="center"/>
    </xf>
    <xf numFmtId="167" fontId="4" fillId="0" borderId="23" xfId="0" applyNumberFormat="1" applyFont="1" applyBorder="1" applyAlignment="1">
      <alignment horizontal="center"/>
    </xf>
    <xf numFmtId="1" fontId="4" fillId="0" borderId="23" xfId="0" applyNumberFormat="1" applyFont="1" applyBorder="1" applyAlignment="1">
      <alignment horizontal="center"/>
    </xf>
    <xf numFmtId="0" fontId="10" fillId="0" borderId="28" xfId="0" applyFont="1" applyBorder="1" applyAlignment="1">
      <alignment horizontal="center"/>
    </xf>
    <xf numFmtId="0" fontId="4" fillId="0" borderId="33" xfId="0" applyFont="1" applyBorder="1" applyAlignment="1">
      <alignment wrapText="1"/>
    </xf>
    <xf numFmtId="0" fontId="10" fillId="0" borderId="0" xfId="0" applyFont="1" applyBorder="1" applyAlignment="1" applyProtection="1">
      <alignment horizontal="left"/>
      <protection locked="0"/>
    </xf>
    <xf numFmtId="0" fontId="4" fillId="0" borderId="0" xfId="0" applyFont="1" applyBorder="1"/>
    <xf numFmtId="0" fontId="4" fillId="0" borderId="0" xfId="0" applyFont="1" applyBorder="1" applyAlignment="1">
      <alignment horizontal="left"/>
    </xf>
    <xf numFmtId="0" fontId="10" fillId="0" borderId="0" xfId="0" applyFont="1" applyBorder="1" applyAlignment="1">
      <alignment horizontal="left"/>
    </xf>
    <xf numFmtId="11" fontId="4" fillId="0" borderId="0" xfId="0" applyNumberFormat="1" applyFont="1" applyBorder="1" applyAlignment="1">
      <alignment horizontal="center"/>
    </xf>
    <xf numFmtId="3" fontId="4" fillId="0" borderId="0" xfId="0" applyNumberFormat="1" applyFont="1" applyBorder="1" applyAlignment="1">
      <alignment horizontal="center"/>
    </xf>
    <xf numFmtId="0" fontId="34" fillId="0" borderId="0" xfId="0" applyFont="1" applyBorder="1" applyAlignment="1">
      <alignment horizontal="left"/>
    </xf>
    <xf numFmtId="3" fontId="33" fillId="0" borderId="0" xfId="0" applyNumberFormat="1" applyFont="1" applyBorder="1" applyAlignment="1">
      <alignment horizontal="center"/>
    </xf>
    <xf numFmtId="0" fontId="4" fillId="0" borderId="0" xfId="0" applyFont="1" applyBorder="1" applyAlignment="1">
      <alignment horizontal="center"/>
    </xf>
    <xf numFmtId="0" fontId="10" fillId="0" borderId="18" xfId="0" applyFont="1" applyBorder="1" applyAlignment="1">
      <alignment horizontal="left"/>
    </xf>
    <xf numFmtId="0" fontId="10" fillId="0" borderId="20" xfId="0" applyFont="1" applyBorder="1" applyAlignment="1">
      <alignment horizontal="left"/>
    </xf>
    <xf numFmtId="0" fontId="4" fillId="0" borderId="1" xfId="0" applyFont="1" applyBorder="1" applyAlignment="1">
      <alignment horizontal="left"/>
    </xf>
    <xf numFmtId="0" fontId="10" fillId="0" borderId="20" xfId="0" applyFont="1" applyBorder="1" applyAlignment="1" applyProtection="1">
      <alignment horizontal="left"/>
      <protection locked="0"/>
    </xf>
    <xf numFmtId="0" fontId="4" fillId="0" borderId="46" xfId="0" applyFont="1" applyFill="1" applyBorder="1" applyAlignment="1">
      <alignment wrapText="1"/>
    </xf>
    <xf numFmtId="0" fontId="10" fillId="0" borderId="0" xfId="0" applyFont="1" applyBorder="1" applyAlignment="1">
      <alignment horizontal="center" vertical="center"/>
    </xf>
    <xf numFmtId="2" fontId="19" fillId="0" borderId="23" xfId="0" applyNumberFormat="1" applyFont="1" applyBorder="1" applyAlignment="1">
      <alignment horizontal="center"/>
    </xf>
    <xf numFmtId="2" fontId="34" fillId="0" borderId="23" xfId="0" applyNumberFormat="1" applyFont="1" applyBorder="1" applyAlignment="1">
      <alignment horizontal="center"/>
    </xf>
    <xf numFmtId="0" fontId="10" fillId="0" borderId="18" xfId="0" applyFont="1" applyBorder="1" applyAlignment="1" applyProtection="1">
      <alignment horizontal="left"/>
      <protection locked="0"/>
    </xf>
    <xf numFmtId="1" fontId="10" fillId="0" borderId="29" xfId="0" applyNumberFormat="1" applyFont="1" applyBorder="1" applyAlignment="1">
      <alignment horizontal="center"/>
    </xf>
    <xf numFmtId="0" fontId="13" fillId="0" borderId="0" xfId="0" applyFont="1" applyBorder="1" applyAlignment="1">
      <alignment horizontal="left" vertical="center"/>
    </xf>
    <xf numFmtId="0" fontId="4" fillId="0" borderId="23" xfId="0" applyFont="1" applyBorder="1"/>
    <xf numFmtId="0" fontId="13" fillId="11" borderId="27" xfId="0" applyFont="1" applyFill="1" applyBorder="1" applyAlignment="1">
      <alignment vertical="center"/>
    </xf>
    <xf numFmtId="0" fontId="13" fillId="11" borderId="0" xfId="0" applyFont="1" applyFill="1" applyBorder="1" applyAlignment="1">
      <alignment vertical="center"/>
    </xf>
    <xf numFmtId="11" fontId="13" fillId="11" borderId="23" xfId="0" applyNumberFormat="1" applyFont="1" applyFill="1" applyBorder="1" applyAlignment="1">
      <alignment vertical="center"/>
    </xf>
    <xf numFmtId="0" fontId="13" fillId="0" borderId="85" xfId="0" applyFont="1" applyBorder="1" applyAlignment="1" applyProtection="1">
      <alignment horizontal="left"/>
      <protection locked="0"/>
    </xf>
    <xf numFmtId="11" fontId="12" fillId="0" borderId="23" xfId="0" applyNumberFormat="1" applyFont="1" applyBorder="1" applyAlignment="1" applyProtection="1">
      <alignment horizontal="center"/>
      <protection locked="0"/>
    </xf>
    <xf numFmtId="11" fontId="12" fillId="0" borderId="0" xfId="0" applyNumberFormat="1" applyFont="1" applyBorder="1" applyAlignment="1" applyProtection="1">
      <alignment horizontal="center"/>
      <protection locked="0"/>
    </xf>
    <xf numFmtId="11" fontId="12" fillId="0" borderId="16" xfId="0" applyNumberFormat="1" applyFont="1" applyBorder="1" applyAlignment="1" applyProtection="1">
      <alignment horizontal="center"/>
      <protection locked="0"/>
    </xf>
    <xf numFmtId="11" fontId="12" fillId="0" borderId="29" xfId="0" applyNumberFormat="1" applyFont="1" applyBorder="1" applyAlignment="1" applyProtection="1">
      <alignment horizontal="center"/>
      <protection locked="0"/>
    </xf>
    <xf numFmtId="0" fontId="13" fillId="0" borderId="85" xfId="7" applyFont="1" applyBorder="1" applyAlignment="1">
      <alignment horizontal="left" wrapText="1"/>
    </xf>
    <xf numFmtId="0" fontId="10" fillId="0" borderId="85" xfId="0" applyFont="1" applyBorder="1" applyAlignment="1" applyProtection="1">
      <alignment horizontal="left"/>
      <protection locked="0"/>
    </xf>
    <xf numFmtId="0" fontId="10" fillId="0" borderId="85" xfId="0" applyFont="1" applyBorder="1" applyAlignment="1">
      <alignment horizontal="left"/>
    </xf>
    <xf numFmtId="0" fontId="10" fillId="0" borderId="85" xfId="0" applyFont="1" applyFill="1" applyBorder="1" applyAlignment="1">
      <alignment horizontal="left"/>
    </xf>
    <xf numFmtId="11" fontId="12" fillId="0" borderId="23" xfId="0" applyNumberFormat="1" applyFont="1" applyFill="1" applyBorder="1" applyAlignment="1" applyProtection="1">
      <alignment horizontal="center"/>
      <protection locked="0"/>
    </xf>
    <xf numFmtId="0" fontId="10" fillId="0" borderId="83" xfId="0" applyFont="1" applyBorder="1" applyAlignment="1">
      <alignment horizontal="left"/>
    </xf>
    <xf numFmtId="0" fontId="10" fillId="0" borderId="76" xfId="0" applyFont="1" applyBorder="1" applyAlignment="1">
      <alignment horizontal="left"/>
    </xf>
    <xf numFmtId="0" fontId="13" fillId="0" borderId="76" xfId="0" applyFont="1" applyBorder="1" applyAlignment="1">
      <alignment horizontal="center"/>
    </xf>
    <xf numFmtId="10" fontId="13" fillId="0" borderId="76" xfId="9" applyNumberFormat="1" applyFont="1" applyFill="1" applyBorder="1" applyAlignment="1">
      <alignment horizontal="center"/>
    </xf>
    <xf numFmtId="3" fontId="19" fillId="0" borderId="85" xfId="13" quotePrefix="1" applyNumberFormat="1" applyFont="1" applyBorder="1" applyAlignment="1">
      <alignment horizontal="center" vertical="center"/>
    </xf>
    <xf numFmtId="4" fontId="19" fillId="0" borderId="85" xfId="13" applyNumberFormat="1" applyFont="1" applyBorder="1" applyAlignment="1">
      <alignment horizontal="center" vertical="center"/>
    </xf>
    <xf numFmtId="3" fontId="19" fillId="0" borderId="72" xfId="13" applyNumberFormat="1" applyFont="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7" borderId="30" xfId="0" applyFont="1" applyFill="1" applyBorder="1" applyAlignment="1">
      <alignment horizontal="center" vertical="center"/>
    </xf>
    <xf numFmtId="0" fontId="8" fillId="7" borderId="31" xfId="0" applyFont="1" applyFill="1" applyBorder="1" applyAlignment="1">
      <alignment horizontal="center" vertical="center"/>
    </xf>
    <xf numFmtId="0" fontId="8" fillId="7" borderId="32" xfId="0" applyFont="1" applyFill="1" applyBorder="1" applyAlignment="1">
      <alignment horizontal="center" vertical="center"/>
    </xf>
    <xf numFmtId="0" fontId="17" fillId="9" borderId="33" xfId="0" applyFont="1" applyFill="1" applyBorder="1" applyAlignment="1">
      <alignment horizontal="center" vertical="center"/>
    </xf>
    <xf numFmtId="0" fontId="17" fillId="9" borderId="27" xfId="0" applyFont="1" applyFill="1" applyBorder="1" applyAlignment="1">
      <alignment horizontal="center" vertical="center"/>
    </xf>
    <xf numFmtId="0" fontId="17" fillId="9" borderId="46" xfId="0" applyFont="1" applyFill="1" applyBorder="1" applyAlignment="1">
      <alignment horizontal="center" vertical="center"/>
    </xf>
    <xf numFmtId="0" fontId="17" fillId="8" borderId="33" xfId="0" applyFont="1" applyFill="1" applyBorder="1" applyAlignment="1">
      <alignment horizontal="center" vertical="center"/>
    </xf>
    <xf numFmtId="0" fontId="17" fillId="8" borderId="27" xfId="0" applyFont="1" applyFill="1" applyBorder="1" applyAlignment="1">
      <alignment horizontal="center" vertical="center"/>
    </xf>
    <xf numFmtId="0" fontId="17" fillId="8" borderId="46" xfId="0" applyFont="1" applyFill="1" applyBorder="1" applyAlignment="1">
      <alignment horizontal="center" vertical="center"/>
    </xf>
    <xf numFmtId="0" fontId="17" fillId="0" borderId="0" xfId="0" applyFont="1" applyBorder="1" applyAlignment="1">
      <alignment horizontal="center" vertical="center"/>
    </xf>
    <xf numFmtId="11" fontId="12" fillId="4" borderId="2" xfId="0" applyNumberFormat="1" applyFont="1" applyFill="1" applyBorder="1" applyAlignment="1">
      <alignment horizontal="center" vertical="center" wrapText="1"/>
    </xf>
    <xf numFmtId="11" fontId="12" fillId="4" borderId="28" xfId="0" applyNumberFormat="1"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30" xfId="0" applyFont="1" applyFill="1" applyBorder="1" applyAlignment="1">
      <alignment horizontal="center" vertical="center"/>
    </xf>
    <xf numFmtId="11" fontId="12" fillId="4" borderId="26" xfId="0" applyNumberFormat="1" applyFont="1" applyFill="1" applyBorder="1" applyAlignment="1">
      <alignment horizontal="center" vertical="center" wrapText="1"/>
    </xf>
    <xf numFmtId="3" fontId="18" fillId="0" borderId="49" xfId="13" applyNumberFormat="1" applyFont="1" applyBorder="1" applyAlignment="1">
      <alignment horizontal="center" vertical="center" wrapText="1"/>
    </xf>
    <xf numFmtId="3" fontId="18" fillId="0" borderId="76" xfId="13" applyNumberFormat="1" applyFont="1" applyBorder="1" applyAlignment="1">
      <alignment horizontal="center" vertical="center" wrapText="1"/>
    </xf>
    <xf numFmtId="0" fontId="18" fillId="0" borderId="49" xfId="13" applyFont="1" applyBorder="1" applyAlignment="1">
      <alignment horizontal="center" vertical="center" wrapText="1"/>
    </xf>
    <xf numFmtId="0" fontId="18" fillId="0" borderId="76" xfId="13" applyFont="1" applyBorder="1" applyAlignment="1">
      <alignment horizontal="center" vertical="center" wrapText="1"/>
    </xf>
    <xf numFmtId="9" fontId="18" fillId="0" borderId="49" xfId="13" applyNumberFormat="1" applyFont="1" applyBorder="1" applyAlignment="1">
      <alignment horizontal="center" vertical="center" wrapText="1"/>
    </xf>
    <xf numFmtId="9" fontId="18" fillId="0" borderId="76" xfId="13" applyNumberFormat="1" applyFont="1" applyBorder="1" applyAlignment="1">
      <alignment horizontal="center" vertical="center" wrapText="1"/>
    </xf>
    <xf numFmtId="166" fontId="18" fillId="0" borderId="43" xfId="13" applyNumberFormat="1" applyFont="1" applyBorder="1" applyAlignment="1">
      <alignment horizontal="center" vertical="center" wrapText="1"/>
    </xf>
    <xf numFmtId="166" fontId="18" fillId="0" borderId="86" xfId="13" applyNumberFormat="1" applyFont="1" applyBorder="1" applyAlignment="1">
      <alignment horizontal="center" vertical="center" wrapText="1"/>
    </xf>
    <xf numFmtId="3" fontId="19" fillId="0" borderId="72" xfId="13" applyNumberFormat="1" applyFont="1" applyBorder="1" applyAlignment="1">
      <alignment horizontal="center" vertical="center" wrapText="1"/>
    </xf>
    <xf numFmtId="3" fontId="19" fillId="0" borderId="85" xfId="13" applyNumberFormat="1" applyFont="1" applyBorder="1" applyAlignment="1">
      <alignment horizontal="center" vertical="center" wrapText="1"/>
    </xf>
    <xf numFmtId="3" fontId="19" fillId="0" borderId="25" xfId="13" applyNumberFormat="1" applyFont="1" applyBorder="1" applyAlignment="1">
      <alignment horizontal="center" vertical="center"/>
    </xf>
    <xf numFmtId="3" fontId="19" fillId="0" borderId="66" xfId="13" applyNumberFormat="1" applyFont="1" applyBorder="1" applyAlignment="1">
      <alignment horizontal="center" vertical="center"/>
    </xf>
    <xf numFmtId="0" fontId="19" fillId="0" borderId="66" xfId="13" applyFont="1" applyBorder="1" applyAlignment="1">
      <alignment horizontal="center" vertical="center"/>
    </xf>
    <xf numFmtId="0" fontId="19" fillId="0" borderId="77" xfId="13" applyFont="1" applyBorder="1" applyAlignment="1">
      <alignment horizontal="center" vertical="center"/>
    </xf>
    <xf numFmtId="0" fontId="18" fillId="0" borderId="42" xfId="13" applyFont="1" applyBorder="1" applyAlignment="1">
      <alignment horizontal="center" vertical="center" wrapText="1"/>
    </xf>
    <xf numFmtId="0" fontId="18" fillId="0" borderId="83" xfId="13" applyFont="1" applyBorder="1" applyAlignment="1">
      <alignment horizontal="center" vertical="center" wrapText="1"/>
    </xf>
    <xf numFmtId="3" fontId="19" fillId="0" borderId="85" xfId="13" applyNumberFormat="1" applyFont="1" applyBorder="1" applyAlignment="1">
      <alignment horizontal="center" vertical="center"/>
    </xf>
    <xf numFmtId="3" fontId="19" fillId="0" borderId="81" xfId="13" applyNumberFormat="1" applyFont="1" applyBorder="1" applyAlignment="1">
      <alignment horizontal="center" vertical="center"/>
    </xf>
    <xf numFmtId="3" fontId="19" fillId="0" borderId="6" xfId="13" applyNumberFormat="1" applyFont="1" applyBorder="1" applyAlignment="1">
      <alignment horizontal="center" vertical="center"/>
    </xf>
    <xf numFmtId="4" fontId="19" fillId="0" borderId="81" xfId="13" applyNumberFormat="1" applyFont="1" applyBorder="1" applyAlignment="1">
      <alignment horizontal="center" vertical="center"/>
    </xf>
    <xf numFmtId="4" fontId="19" fillId="0" borderId="66" xfId="13" applyNumberFormat="1" applyFont="1" applyBorder="1" applyAlignment="1">
      <alignment horizontal="center" vertical="center"/>
    </xf>
    <xf numFmtId="3" fontId="19" fillId="0" borderId="83" xfId="13" applyNumberFormat="1" applyFont="1" applyBorder="1" applyAlignment="1">
      <alignment horizontal="center" vertical="center"/>
    </xf>
    <xf numFmtId="3" fontId="19" fillId="0" borderId="20" xfId="13" applyNumberFormat="1" applyFont="1" applyBorder="1" applyAlignment="1">
      <alignment horizontal="center" vertical="center"/>
    </xf>
    <xf numFmtId="9" fontId="19" fillId="0" borderId="77" xfId="13" applyNumberFormat="1" applyFont="1" applyBorder="1" applyAlignment="1">
      <alignment horizontal="center" vertical="center"/>
    </xf>
    <xf numFmtId="9" fontId="19" fillId="0" borderId="76" xfId="13" applyNumberFormat="1" applyFont="1" applyBorder="1" applyAlignment="1">
      <alignment horizontal="center" vertical="center"/>
    </xf>
    <xf numFmtId="4" fontId="19" fillId="0" borderId="85" xfId="13" applyNumberFormat="1" applyFont="1" applyBorder="1" applyAlignment="1">
      <alignment horizontal="center" vertical="center"/>
    </xf>
    <xf numFmtId="3" fontId="19" fillId="0" borderId="85" xfId="13" quotePrefix="1" applyNumberFormat="1" applyFont="1" applyBorder="1" applyAlignment="1">
      <alignment horizontal="center" vertical="center"/>
    </xf>
    <xf numFmtId="3" fontId="19" fillId="0" borderId="81" xfId="13" quotePrefix="1" applyNumberFormat="1" applyFont="1" applyBorder="1" applyAlignment="1">
      <alignment horizontal="center" vertical="center"/>
    </xf>
    <xf numFmtId="3" fontId="19" fillId="0" borderId="20" xfId="13" quotePrefix="1" applyNumberFormat="1" applyFont="1" applyBorder="1" applyAlignment="1">
      <alignment horizontal="center" vertical="center"/>
    </xf>
    <xf numFmtId="4" fontId="19" fillId="0" borderId="6" xfId="13" applyNumberFormat="1" applyFont="1" applyBorder="1" applyAlignment="1">
      <alignment horizontal="center" vertical="center"/>
    </xf>
    <xf numFmtId="3" fontId="19" fillId="0" borderId="72" xfId="13" quotePrefix="1" applyNumberFormat="1" applyFont="1" applyBorder="1" applyAlignment="1">
      <alignment horizontal="center" vertical="center"/>
    </xf>
    <xf numFmtId="3" fontId="19" fillId="0" borderId="25" xfId="13" quotePrefix="1" applyNumberFormat="1" applyFont="1" applyBorder="1" applyAlignment="1">
      <alignment horizontal="center" vertical="center"/>
    </xf>
    <xf numFmtId="3" fontId="19" fillId="0" borderId="6" xfId="13" quotePrefix="1" applyNumberFormat="1" applyFont="1" applyBorder="1" applyAlignment="1">
      <alignment horizontal="center" vertical="center"/>
    </xf>
    <xf numFmtId="3" fontId="19" fillId="0" borderId="66" xfId="13" quotePrefix="1" applyNumberFormat="1" applyFont="1" applyBorder="1" applyAlignment="1">
      <alignment horizontal="center" vertical="center"/>
    </xf>
    <xf numFmtId="9" fontId="19" fillId="0" borderId="66" xfId="13" applyNumberFormat="1" applyFont="1" applyBorder="1" applyAlignment="1">
      <alignment horizontal="center" vertical="center"/>
    </xf>
    <xf numFmtId="3" fontId="19" fillId="0" borderId="83" xfId="13" quotePrefix="1" applyNumberFormat="1" applyFont="1" applyBorder="1" applyAlignment="1">
      <alignment horizontal="center" vertical="center"/>
    </xf>
    <xf numFmtId="3" fontId="19" fillId="0" borderId="72" xfId="13" applyNumberFormat="1" applyFont="1" applyBorder="1" applyAlignment="1">
      <alignment horizontal="center" vertical="center"/>
    </xf>
    <xf numFmtId="3" fontId="18" fillId="0" borderId="81" xfId="13" applyNumberFormat="1" applyFont="1" applyBorder="1" applyAlignment="1">
      <alignment horizontal="center" vertical="center" wrapText="1"/>
    </xf>
    <xf numFmtId="0" fontId="18" fillId="0" borderId="81" xfId="13" applyFont="1" applyBorder="1" applyAlignment="1">
      <alignment horizontal="center" vertical="center" wrapText="1"/>
    </xf>
    <xf numFmtId="9" fontId="18" fillId="0" borderId="81" xfId="13" applyNumberFormat="1" applyFont="1" applyBorder="1" applyAlignment="1">
      <alignment horizontal="center" vertical="center" wrapText="1"/>
    </xf>
    <xf numFmtId="166" fontId="18" fillId="0" borderId="65" xfId="13" applyNumberFormat="1" applyFont="1" applyBorder="1" applyAlignment="1">
      <alignment horizontal="center" vertical="center" wrapText="1"/>
    </xf>
    <xf numFmtId="0" fontId="18" fillId="0" borderId="64" xfId="13" applyFont="1" applyBorder="1" applyAlignment="1">
      <alignment horizontal="center" vertical="center" wrapText="1"/>
    </xf>
    <xf numFmtId="9" fontId="19" fillId="0" borderId="49" xfId="13" applyNumberFormat="1" applyFont="1" applyBorder="1" applyAlignment="1">
      <alignment horizontal="center" vertical="center"/>
    </xf>
    <xf numFmtId="4" fontId="19" fillId="0" borderId="25" xfId="13" applyNumberFormat="1" applyFont="1" applyBorder="1" applyAlignment="1">
      <alignment horizontal="center" vertical="center" wrapText="1"/>
    </xf>
    <xf numFmtId="4" fontId="19" fillId="0" borderId="6" xfId="13" applyNumberFormat="1" applyFont="1" applyBorder="1" applyAlignment="1">
      <alignment horizontal="center" vertical="center" wrapText="1"/>
    </xf>
    <xf numFmtId="4" fontId="19" fillId="0" borderId="66" xfId="13" applyNumberFormat="1" applyFont="1" applyBorder="1" applyAlignment="1">
      <alignment horizontal="center" vertical="center" wrapText="1"/>
    </xf>
    <xf numFmtId="0" fontId="19" fillId="0" borderId="26" xfId="13" applyFont="1" applyBorder="1" applyAlignment="1">
      <alignment horizontal="center" vertical="center" wrapText="1"/>
    </xf>
    <xf numFmtId="0" fontId="19" fillId="0" borderId="14" xfId="13" applyFont="1" applyBorder="1" applyAlignment="1">
      <alignment horizontal="center" vertical="center" wrapText="1"/>
    </xf>
    <xf numFmtId="0" fontId="19" fillId="0" borderId="72" xfId="13" applyFont="1" applyBorder="1" applyAlignment="1">
      <alignment horizontal="center" vertical="center" wrapText="1"/>
    </xf>
    <xf numFmtId="166" fontId="18" fillId="0" borderId="78" xfId="13" applyNumberFormat="1" applyFont="1" applyBorder="1" applyAlignment="1">
      <alignment horizontal="center"/>
    </xf>
    <xf numFmtId="166" fontId="18" fillId="0" borderId="75" xfId="13" applyNumberFormat="1" applyFont="1" applyBorder="1" applyAlignment="1">
      <alignment horizontal="center"/>
    </xf>
    <xf numFmtId="166" fontId="18" fillId="0" borderId="79" xfId="13" applyNumberFormat="1" applyFont="1" applyBorder="1" applyAlignment="1">
      <alignment horizontal="center"/>
    </xf>
    <xf numFmtId="3" fontId="19" fillId="0" borderId="77" xfId="13" applyNumberFormat="1" applyFont="1" applyBorder="1" applyAlignment="1">
      <alignment horizontal="center" vertical="center"/>
    </xf>
    <xf numFmtId="0" fontId="31" fillId="0" borderId="81" xfId="21" applyFont="1" applyBorder="1" applyAlignment="1">
      <alignment horizontal="center" vertical="center"/>
    </xf>
    <xf numFmtId="0" fontId="31" fillId="0" borderId="6" xfId="21" applyFont="1" applyBorder="1" applyAlignment="1">
      <alignment horizontal="center" vertical="center"/>
    </xf>
    <xf numFmtId="0" fontId="31" fillId="0" borderId="66" xfId="21" applyFont="1" applyBorder="1" applyAlignment="1">
      <alignment horizontal="center" vertical="center"/>
    </xf>
    <xf numFmtId="3" fontId="19" fillId="0" borderId="76" xfId="13" applyNumberFormat="1" applyFont="1" applyBorder="1" applyAlignment="1">
      <alignment horizontal="center" vertical="center"/>
    </xf>
    <xf numFmtId="0" fontId="19" fillId="0" borderId="81" xfId="21" applyFont="1" applyBorder="1" applyAlignment="1">
      <alignment horizontal="center" vertical="center"/>
    </xf>
    <xf numFmtId="0" fontId="19" fillId="0" borderId="6" xfId="21" applyFont="1" applyBorder="1" applyAlignment="1">
      <alignment horizontal="center" vertical="center"/>
    </xf>
    <xf numFmtId="0" fontId="19" fillId="0" borderId="66" xfId="21" applyFont="1" applyBorder="1" applyAlignment="1">
      <alignment horizontal="center" vertical="center"/>
    </xf>
    <xf numFmtId="3" fontId="19" fillId="0" borderId="81" xfId="13" applyNumberFormat="1" applyFont="1" applyBorder="1" applyAlignment="1">
      <alignment horizontal="center" vertical="center" wrapText="1"/>
    </xf>
    <xf numFmtId="3" fontId="19" fillId="0" borderId="6" xfId="13" applyNumberFormat="1" applyFont="1" applyBorder="1" applyAlignment="1">
      <alignment horizontal="center" vertical="center" wrapText="1"/>
    </xf>
    <xf numFmtId="3" fontId="19" fillId="0" borderId="66" xfId="13" applyNumberFormat="1" applyFont="1" applyBorder="1" applyAlignment="1">
      <alignment horizontal="center" vertical="center" wrapText="1"/>
    </xf>
    <xf numFmtId="10" fontId="18" fillId="0" borderId="49" xfId="13" applyNumberFormat="1" applyFont="1" applyBorder="1" applyAlignment="1">
      <alignment horizontal="center" vertical="center" wrapText="1"/>
    </xf>
    <xf numFmtId="10" fontId="18" fillId="0" borderId="76" xfId="13" applyNumberFormat="1" applyFont="1" applyBorder="1" applyAlignment="1">
      <alignment horizontal="center" vertical="center" wrapText="1"/>
    </xf>
    <xf numFmtId="0" fontId="23" fillId="0" borderId="0" xfId="13" applyFont="1" applyAlignment="1">
      <alignment horizontal="left" wrapText="1"/>
    </xf>
    <xf numFmtId="0" fontId="19" fillId="0" borderId="0" xfId="15" applyFont="1" applyAlignment="1">
      <alignment horizontal="center"/>
    </xf>
    <xf numFmtId="0" fontId="18" fillId="0" borderId="0" xfId="0" applyFont="1" applyBorder="1" applyAlignment="1">
      <alignment horizontal="left" vertical="top" wrapText="1"/>
    </xf>
    <xf numFmtId="0" fontId="18" fillId="0" borderId="49" xfId="4" applyFont="1" applyBorder="1" applyAlignment="1">
      <alignment horizontal="center" vertical="center" wrapText="1"/>
    </xf>
    <xf numFmtId="0" fontId="18" fillId="0" borderId="76" xfId="4" applyFont="1" applyBorder="1" applyAlignment="1">
      <alignment horizontal="center" vertical="center" wrapText="1"/>
    </xf>
    <xf numFmtId="0" fontId="18" fillId="0" borderId="42" xfId="15" applyFont="1" applyBorder="1" applyAlignment="1">
      <alignment horizontal="center" vertical="center"/>
    </xf>
    <xf numFmtId="0" fontId="18" fillId="0" borderId="83" xfId="15" applyFont="1" applyBorder="1" applyAlignment="1">
      <alignment horizontal="center" vertical="center"/>
    </xf>
    <xf numFmtId="0" fontId="18" fillId="0" borderId="43" xfId="15" applyFont="1" applyBorder="1" applyAlignment="1">
      <alignment horizontal="center" vertical="center" wrapText="1"/>
    </xf>
    <xf numFmtId="0" fontId="18" fillId="0" borderId="86" xfId="15" applyFont="1" applyBorder="1" applyAlignment="1">
      <alignment horizontal="center" vertical="center" wrapText="1"/>
    </xf>
    <xf numFmtId="0" fontId="18" fillId="0" borderId="49" xfId="15" applyFont="1" applyBorder="1" applyAlignment="1">
      <alignment horizontal="center" vertical="center" wrapText="1"/>
    </xf>
    <xf numFmtId="0" fontId="18" fillId="0" borderId="76" xfId="15" applyFont="1" applyBorder="1" applyAlignment="1">
      <alignment horizontal="center" vertical="center" wrapText="1"/>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3" fontId="18" fillId="0" borderId="50" xfId="0" applyNumberFormat="1" applyFont="1" applyBorder="1" applyAlignment="1">
      <alignment horizontal="center" vertical="center" wrapText="1"/>
    </xf>
    <xf numFmtId="3" fontId="18" fillId="0" borderId="61" xfId="0" applyNumberFormat="1" applyFont="1" applyBorder="1" applyAlignment="1">
      <alignment horizontal="center" vertical="center" wrapText="1"/>
    </xf>
    <xf numFmtId="3" fontId="18" fillId="0" borderId="51" xfId="0" applyNumberFormat="1" applyFont="1" applyBorder="1" applyAlignment="1">
      <alignment horizontal="center" vertical="center" wrapText="1"/>
    </xf>
    <xf numFmtId="0" fontId="18" fillId="0" borderId="30" xfId="0" applyFont="1" applyBorder="1" applyAlignment="1">
      <alignment horizontal="center"/>
    </xf>
    <xf numFmtId="0" fontId="18" fillId="0" borderId="31" xfId="0" applyFont="1" applyBorder="1" applyAlignment="1">
      <alignment horizontal="center"/>
    </xf>
    <xf numFmtId="0" fontId="18" fillId="0" borderId="32" xfId="0" applyFont="1" applyBorder="1" applyAlignment="1">
      <alignment horizontal="center"/>
    </xf>
    <xf numFmtId="0" fontId="18" fillId="0" borderId="26" xfId="0" applyFont="1" applyBorder="1" applyAlignment="1">
      <alignment horizontal="center"/>
    </xf>
    <xf numFmtId="0" fontId="18" fillId="0" borderId="14" xfId="0" applyFont="1" applyBorder="1" applyAlignment="1">
      <alignment horizontal="center"/>
    </xf>
    <xf numFmtId="0" fontId="18" fillId="0" borderId="60" xfId="0" applyFont="1" applyBorder="1" applyAlignment="1">
      <alignment horizontal="center" wrapText="1"/>
    </xf>
    <xf numFmtId="0" fontId="18" fillId="0" borderId="16" xfId="0" applyFont="1" applyBorder="1" applyAlignment="1">
      <alignment horizontal="center" wrapText="1"/>
    </xf>
    <xf numFmtId="0" fontId="18" fillId="0" borderId="30" xfId="0" applyFont="1" applyBorder="1" applyAlignment="1">
      <alignment horizontal="center" wrapText="1"/>
    </xf>
    <xf numFmtId="0" fontId="18" fillId="0" borderId="31" xfId="0" applyFont="1" applyBorder="1" applyAlignment="1">
      <alignment horizontal="center" wrapText="1"/>
    </xf>
    <xf numFmtId="0" fontId="19" fillId="0" borderId="0" xfId="0" applyFont="1" applyAlignment="1">
      <alignment horizontal="left" vertical="top" wrapText="1"/>
    </xf>
    <xf numFmtId="0" fontId="18" fillId="0" borderId="24" xfId="0" applyFont="1" applyBorder="1" applyAlignment="1">
      <alignment horizontal="center" wrapText="1"/>
    </xf>
    <xf numFmtId="0" fontId="18" fillId="0" borderId="18" xfId="0" applyFont="1" applyBorder="1" applyAlignment="1">
      <alignment horizontal="center" wrapText="1"/>
    </xf>
    <xf numFmtId="0" fontId="19" fillId="0" borderId="0" xfId="13" applyFont="1" applyAlignment="1">
      <alignment horizontal="left" wrapText="1"/>
    </xf>
    <xf numFmtId="0" fontId="8" fillId="0" borderId="0" xfId="0" applyFont="1" applyAlignment="1">
      <alignment horizontal="center"/>
    </xf>
  </cellXfs>
  <cellStyles count="22">
    <cellStyle name="Blank" xfId="19" xr:uid="{A3806060-CE93-48D4-883F-0CB3779CC0B0}"/>
    <cellStyle name="Comma" xfId="1" builtinId="3"/>
    <cellStyle name="Comma 2" xfId="2" xr:uid="{00000000-0005-0000-0000-000001000000}"/>
    <cellStyle name="Comma 3" xfId="11" xr:uid="{094C2A76-EC14-48A7-80B8-185BDAC93674}"/>
    <cellStyle name="Hyperlink 2" xfId="3" xr:uid="{00000000-0005-0000-0000-000002000000}"/>
    <cellStyle name="Hyperlink 3" xfId="12" xr:uid="{7D75C4CB-C0DC-4667-95EB-48833469B34A}"/>
    <cellStyle name="Normal" xfId="0" builtinId="0"/>
    <cellStyle name="Normal 10 10 12" xfId="15" xr:uid="{1013A1B0-58DE-4B4E-8F3E-17CCC2D30944}"/>
    <cellStyle name="Normal 13" xfId="14" xr:uid="{8523E0DD-62A2-4820-B363-64AA01460246}"/>
    <cellStyle name="Normal 2" xfId="4" xr:uid="{00000000-0005-0000-0000-000004000000}"/>
    <cellStyle name="Normal 2 2" xfId="17" xr:uid="{27F81141-7117-4C03-B0C9-7984C1B1FEAC}"/>
    <cellStyle name="Normal 3" xfId="5" xr:uid="{00000000-0005-0000-0000-000005000000}"/>
    <cellStyle name="Normal 4" xfId="6" xr:uid="{00000000-0005-0000-0000-000006000000}"/>
    <cellStyle name="Normal 5" xfId="10" xr:uid="{EE1D33B1-969D-4E82-9321-97155BF03305}"/>
    <cellStyle name="Normal 52" xfId="16" xr:uid="{DB54DE57-415B-4B4F-8F8B-1B8856B41537}"/>
    <cellStyle name="Normal 6" xfId="13" xr:uid="{7A05EA92-B720-40AA-B593-777A44F3E5FC}"/>
    <cellStyle name="Normal 7" xfId="18" xr:uid="{6B7103BF-004F-4EBF-8AF2-892340C77CE7}"/>
    <cellStyle name="Normal 8" xfId="21" xr:uid="{4B9BDCC7-3E9F-4E1E-A3F7-5F21EE7AC7B8}"/>
    <cellStyle name="Normal_SG1" xfId="7" xr:uid="{00000000-0005-0000-0000-000007000000}"/>
    <cellStyle name="Percent" xfId="8" builtinId="5"/>
    <cellStyle name="Percent 2" xfId="9" xr:uid="{00000000-0005-0000-0000-000009000000}"/>
    <cellStyle name="Percent 3" xfId="20" xr:uid="{12BD2B3A-9C4F-41B0-88FA-5C5D5BFF943F}"/>
  </cellStyles>
  <dxfs count="1">
    <dxf>
      <numFmt numFmtId="5" formatCode="#,##0_);\(#,##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26670</xdr:colOff>
      <xdr:row>6</xdr:row>
      <xdr:rowOff>96202</xdr:rowOff>
    </xdr:from>
    <xdr:ext cx="8289891" cy="105946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AE9CE33-42B7-4FD7-B183-3053235F70E6}"/>
                </a:ext>
              </a:extLst>
            </xdr:cNvPr>
            <xdr:cNvSpPr txBox="1"/>
          </xdr:nvSpPr>
          <xdr:spPr>
            <a:xfrm>
              <a:off x="172720" y="1715452"/>
              <a:ext cx="8289891" cy="1059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n-US" sz="1100" b="0" i="1">
                      <a:latin typeface="Cambria Math" panose="02040503050406030204" pitchFamily="18" charset="0"/>
                    </a:rPr>
                    <m:t>𝐸𝐹</m:t>
                  </m:r>
                  <m:r>
                    <a:rPr lang="en-US" sz="1100" b="0" i="1">
                      <a:latin typeface="Cambria Math" panose="02040503050406030204" pitchFamily="18" charset="0"/>
                    </a:rPr>
                    <m:t>, </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𝑙𝑏</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𝐻𝐶𝑙</m:t>
                      </m:r>
                    </m:num>
                    <m:den>
                      <m:r>
                        <a:rPr lang="en-US" sz="1100" b="0" i="1">
                          <a:solidFill>
                            <a:schemeClr val="tx1"/>
                          </a:solidFill>
                          <a:effectLst/>
                          <a:latin typeface="Cambria Math" panose="02040503050406030204" pitchFamily="18" charset="0"/>
                          <a:ea typeface="+mn-ea"/>
                          <a:cs typeface="+mn-cs"/>
                        </a:rPr>
                        <m:t>𝑔𝑎𝑙</m:t>
                      </m:r>
                    </m:den>
                  </m:f>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1 </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𝑓𝑡</m:t>
                              </m:r>
                            </m:e>
                            <m:sup>
                              <m:r>
                                <a:rPr lang="en-US" sz="1100" b="0" i="1">
                                  <a:latin typeface="Cambria Math" panose="02040503050406030204" pitchFamily="18" charset="0"/>
                                  <a:ea typeface="Cambria Math" panose="02040503050406030204" pitchFamily="18" charset="0"/>
                                </a:rPr>
                                <m:t>3</m:t>
                              </m:r>
                            </m:sup>
                          </m:sSup>
                        </m:num>
                        <m:den>
                          <m:r>
                            <a:rPr lang="en-US" sz="1100" b="0" i="1">
                              <a:latin typeface="Cambria Math" panose="02040503050406030204" pitchFamily="18" charset="0"/>
                              <a:ea typeface="Cambria Math" panose="02040503050406030204" pitchFamily="18" charset="0"/>
                            </a:rPr>
                            <m:t>7.48 </m:t>
                          </m:r>
                          <m:r>
                            <a:rPr lang="en-US" sz="1100" b="0" i="1">
                              <a:latin typeface="Cambria Math" panose="02040503050406030204" pitchFamily="18" charset="0"/>
                              <a:ea typeface="Cambria Math" panose="02040503050406030204" pitchFamily="18" charset="0"/>
                            </a:rPr>
                            <m:t>𝑔𝑎𝑙</m:t>
                          </m:r>
                        </m:den>
                      </m:f>
                    </m:e>
                  </m:d>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11.7 </m:t>
                          </m:r>
                          <m:r>
                            <a:rPr lang="en-US" sz="1100" b="0" i="1">
                              <a:latin typeface="Cambria Math" panose="02040503050406030204" pitchFamily="18" charset="0"/>
                              <a:ea typeface="Cambria Math" panose="02040503050406030204" pitchFamily="18" charset="0"/>
                            </a:rPr>
                            <m:t>𝑚𝑚</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𝐻𝑔</m:t>
                          </m:r>
                        </m:num>
                        <m:den>
                          <m:r>
                            <a:rPr lang="en-US" sz="1100" b="0" i="1">
                              <a:latin typeface="Cambria Math" panose="02040503050406030204" pitchFamily="18" charset="0"/>
                              <a:ea typeface="Cambria Math" panose="02040503050406030204" pitchFamily="18" charset="0"/>
                            </a:rPr>
                            <m:t>760 </m:t>
                          </m:r>
                          <m:r>
                            <a:rPr lang="en-US" sz="1100" b="0" i="1">
                              <a:latin typeface="Cambria Math" panose="02040503050406030204" pitchFamily="18" charset="0"/>
                              <a:ea typeface="Cambria Math" panose="02040503050406030204" pitchFamily="18" charset="0"/>
                            </a:rPr>
                            <m:t>𝑚𝑚</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𝐻𝑔</m:t>
                          </m:r>
                        </m:den>
                      </m:f>
                    </m:e>
                  </m:d>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𝑙𝑏𝑚𝑜𝑙</m:t>
                          </m:r>
                        </m:num>
                        <m:den>
                          <m:r>
                            <a:rPr lang="en-US" sz="1100" b="0" i="1">
                              <a:latin typeface="Cambria Math" panose="02040503050406030204" pitchFamily="18" charset="0"/>
                              <a:ea typeface="Cambria Math" panose="02040503050406030204" pitchFamily="18" charset="0"/>
                            </a:rPr>
                            <m:t>405 </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𝑓𝑡</m:t>
                              </m:r>
                            </m:e>
                            <m:sup>
                              <m:r>
                                <a:rPr lang="en-US" sz="1100" b="0" i="1">
                                  <a:latin typeface="Cambria Math" panose="02040503050406030204" pitchFamily="18" charset="0"/>
                                  <a:ea typeface="Cambria Math" panose="02040503050406030204" pitchFamily="18" charset="0"/>
                                </a:rPr>
                                <m:t>3</m:t>
                              </m:r>
                            </m:sup>
                          </m:sSup>
                        </m:den>
                      </m:f>
                    </m:e>
                  </m:d>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36.46 </m:t>
                          </m:r>
                          <m:r>
                            <a:rPr lang="en-US" sz="1100" b="0" i="1">
                              <a:latin typeface="Cambria Math" panose="02040503050406030204" pitchFamily="18" charset="0"/>
                              <a:ea typeface="Cambria Math" panose="02040503050406030204" pitchFamily="18" charset="0"/>
                            </a:rPr>
                            <m:t>𝑙𝑏</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𝐻𝐶𝑙</m:t>
                          </m:r>
                        </m:num>
                        <m:den>
                          <m:r>
                            <a:rPr lang="en-US" sz="1100" b="0" i="1">
                              <a:latin typeface="Cambria Math" panose="02040503050406030204" pitchFamily="18" charset="0"/>
                              <a:ea typeface="Cambria Math" panose="02040503050406030204" pitchFamily="18" charset="0"/>
                            </a:rPr>
                            <m:t>𝑙𝑏𝑚𝑜𝑙</m:t>
                          </m:r>
                          <m:r>
                            <a:rPr lang="en-US" sz="1100" b="0" i="1">
                              <a:latin typeface="Cambria Math" panose="02040503050406030204" pitchFamily="18" charset="0"/>
                              <a:ea typeface="Cambria Math" panose="02040503050406030204" pitchFamily="18" charset="0"/>
                            </a:rPr>
                            <m:t> </m:t>
                          </m:r>
                        </m:den>
                      </m:f>
                    </m:e>
                  </m:d>
                  <m:r>
                    <a:rPr lang="en-US" sz="1100" b="0" i="1">
                      <a:latin typeface="Cambria Math" panose="02040503050406030204" pitchFamily="18" charset="0"/>
                      <a:ea typeface="Cambria Math" panose="02040503050406030204" pitchFamily="18" charset="0"/>
                    </a:rPr>
                    <m:t>=0.000188</m:t>
                  </m:r>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𝑙𝑏</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𝐻𝐶𝑙</m:t>
                      </m:r>
                    </m:num>
                    <m:den>
                      <m:r>
                        <a:rPr lang="en-US" sz="1100" b="0" i="1">
                          <a:latin typeface="Cambria Math" panose="02040503050406030204" pitchFamily="18" charset="0"/>
                          <a:ea typeface="Cambria Math" panose="02040503050406030204" pitchFamily="18" charset="0"/>
                        </a:rPr>
                        <m:t>𝑔𝑎𝑙</m:t>
                      </m:r>
                    </m:den>
                  </m:f>
                </m:oMath>
              </a14:m>
              <a:r>
                <a:rPr lang="en-US" sz="1100"/>
                <a:t> </a:t>
              </a:r>
            </a:p>
          </xdr:txBody>
        </xdr:sp>
      </mc:Choice>
      <mc:Fallback xmlns="">
        <xdr:sp macro="" textlink="">
          <xdr:nvSpPr>
            <xdr:cNvPr id="2" name="TextBox 1">
              <a:extLst>
                <a:ext uri="{FF2B5EF4-FFF2-40B4-BE49-F238E27FC236}">
                  <a16:creationId xmlns:a16="http://schemas.microsoft.com/office/drawing/2014/main" id="{5AE9CE33-42B7-4FD7-B183-3053235F70E6}"/>
                </a:ext>
              </a:extLst>
            </xdr:cNvPr>
            <xdr:cNvSpPr txBox="1"/>
          </xdr:nvSpPr>
          <xdr:spPr>
            <a:xfrm>
              <a:off x="172720" y="1715452"/>
              <a:ext cx="8289891" cy="1059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𝐸𝐹, </a:t>
              </a:r>
              <a:r>
                <a:rPr lang="en-US" sz="1100" b="0" i="0">
                  <a:solidFill>
                    <a:schemeClr val="tx1"/>
                  </a:solidFill>
                  <a:effectLst/>
                  <a:latin typeface="Cambria Math" panose="02040503050406030204" pitchFamily="18" charset="0"/>
                  <a:ea typeface="+mn-ea"/>
                  <a:cs typeface="+mn-cs"/>
                </a:rPr>
                <a:t> (𝑙𝑏 𝐻𝐶𝑙)/𝑔𝑎𝑙</a:t>
              </a:r>
              <a:r>
                <a:rPr lang="en-US" sz="1100" b="0" i="0">
                  <a:latin typeface="Cambria Math" panose="02040503050406030204" pitchFamily="18" charset="0"/>
                  <a:ea typeface="Cambria Math" panose="02040503050406030204" pitchFamily="18" charset="0"/>
                </a:rPr>
                <a:t>=((1 〖𝑓𝑡〗^3)/(7.48 𝑔𝑎𝑙))((11.7 𝑚𝑚 𝐻𝑔)/(760 𝑚𝑚 𝐻𝑔))(𝑙𝑏𝑚𝑜𝑙/(405 〖𝑓𝑡〗^3 ))((36.46 𝑙𝑏 𝐻𝐶𝑙)/(𝑙𝑏𝑚𝑜𝑙 ))=0.000188 (𝑙𝑏 𝐻𝐶𝑙)/𝑔𝑎𝑙</a:t>
              </a:r>
              <a:r>
                <a:rPr lang="en-US" sz="1100"/>
                <a:t> </a:t>
              </a:r>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8AE3-D7EB-4D9C-818A-8D79E53285DF}">
  <sheetPr>
    <tabColor theme="1"/>
  </sheetPr>
  <dimension ref="A1"/>
  <sheetViews>
    <sheetView workbookViewId="0"/>
  </sheetViews>
  <sheetFormatPr defaultRowHeight="12.7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5386-2655-4367-9A05-300EE141F3C9}">
  <sheetPr>
    <pageSetUpPr fitToPage="1"/>
  </sheetPr>
  <dimension ref="A1:E9"/>
  <sheetViews>
    <sheetView zoomScale="85" zoomScaleNormal="85" workbookViewId="0">
      <selection activeCell="F17" sqref="F17"/>
    </sheetView>
  </sheetViews>
  <sheetFormatPr defaultColWidth="9.140625" defaultRowHeight="14.25" x14ac:dyDescent="0.2"/>
  <cols>
    <col min="1" max="1" width="2.140625" style="109" customWidth="1"/>
    <col min="2" max="2" width="29.140625" style="46" bestFit="1" customWidth="1"/>
    <col min="3" max="3" width="19.42578125" style="46" customWidth="1"/>
    <col min="4" max="4" width="21.42578125" style="46" bestFit="1" customWidth="1"/>
    <col min="5" max="5" width="17.85546875" style="46" customWidth="1"/>
    <col min="6" max="16384" width="9.140625" style="46"/>
  </cols>
  <sheetData>
    <row r="1" spans="1:5" ht="12.75" x14ac:dyDescent="0.2">
      <c r="A1" s="338"/>
    </row>
    <row r="2" spans="1:5" ht="15" thickBot="1" x14ac:dyDescent="0.25">
      <c r="B2" s="287" t="s">
        <v>1922</v>
      </c>
    </row>
    <row r="3" spans="1:5" ht="28.5" customHeight="1" x14ac:dyDescent="0.2">
      <c r="B3" s="110" t="s">
        <v>1149</v>
      </c>
      <c r="C3" s="111" t="s">
        <v>1150</v>
      </c>
      <c r="D3" s="111" t="s">
        <v>1151</v>
      </c>
      <c r="E3" s="112" t="s">
        <v>1152</v>
      </c>
    </row>
    <row r="4" spans="1:5" ht="15" thickBot="1" x14ac:dyDescent="0.25">
      <c r="B4" s="113">
        <v>20442.566847092035</v>
      </c>
      <c r="C4" s="114">
        <v>1.8799999999999999E-4</v>
      </c>
      <c r="D4" s="48">
        <v>0.6</v>
      </c>
      <c r="E4" s="115">
        <f>B4*C4*(1-D4)</f>
        <v>1.5372810269013211</v>
      </c>
    </row>
    <row r="5" spans="1:5" x14ac:dyDescent="0.2">
      <c r="A5" s="109">
        <v>1</v>
      </c>
      <c r="B5" s="637" t="s">
        <v>1153</v>
      </c>
      <c r="C5" s="637"/>
      <c r="D5" s="637"/>
      <c r="E5" s="637"/>
    </row>
    <row r="6" spans="1:5" ht="42" customHeight="1" x14ac:dyDescent="0.2">
      <c r="A6" s="109">
        <v>2</v>
      </c>
      <c r="B6" s="637" t="s">
        <v>1154</v>
      </c>
      <c r="C6" s="637"/>
      <c r="D6" s="637"/>
      <c r="E6" s="637"/>
    </row>
    <row r="7" spans="1:5" ht="42" customHeight="1" x14ac:dyDescent="0.2">
      <c r="B7" s="116"/>
      <c r="C7" s="116"/>
      <c r="D7" s="116"/>
      <c r="E7" s="116"/>
    </row>
    <row r="8" spans="1:5" x14ac:dyDescent="0.2">
      <c r="A8" s="109">
        <v>3</v>
      </c>
      <c r="B8" s="637" t="s">
        <v>1155</v>
      </c>
      <c r="C8" s="637"/>
      <c r="D8" s="637"/>
      <c r="E8" s="637"/>
    </row>
    <row r="9" spans="1:5" x14ac:dyDescent="0.2">
      <c r="A9" s="109">
        <v>4</v>
      </c>
      <c r="B9" s="637" t="s">
        <v>1156</v>
      </c>
      <c r="C9" s="637"/>
      <c r="D9" s="637"/>
      <c r="E9" s="637"/>
    </row>
  </sheetData>
  <mergeCells count="4">
    <mergeCell ref="B5:E5"/>
    <mergeCell ref="B6:E6"/>
    <mergeCell ref="B8:E8"/>
    <mergeCell ref="B9:E9"/>
  </mergeCells>
  <pageMargins left="0.75" right="0.75" top="1" bottom="1" header="0.5" footer="0.5"/>
  <pageSetup scale="97"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
  <sheetViews>
    <sheetView workbookViewId="0"/>
  </sheetViews>
  <sheetFormatPr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611"/>
  <sheetViews>
    <sheetView topLeftCell="A368" workbookViewId="0">
      <selection activeCell="B381" sqref="B381"/>
    </sheetView>
  </sheetViews>
  <sheetFormatPr defaultColWidth="8.7109375" defaultRowHeight="12.75" x14ac:dyDescent="0.2"/>
  <cols>
    <col min="1" max="1" width="8.7109375" style="16"/>
    <col min="2" max="2" width="11" style="16" customWidth="1"/>
    <col min="3" max="3" width="54.42578125" style="16" customWidth="1"/>
    <col min="4" max="16384" width="8.7109375" style="16"/>
  </cols>
  <sheetData>
    <row r="1" spans="1:3" ht="15" x14ac:dyDescent="0.25">
      <c r="A1" s="338"/>
      <c r="B1" s="1"/>
      <c r="C1" s="1"/>
    </row>
    <row r="2" spans="1:3" ht="18" x14ac:dyDescent="0.25">
      <c r="A2" s="53"/>
      <c r="B2" s="638" t="s">
        <v>1254</v>
      </c>
      <c r="C2" s="638"/>
    </row>
    <row r="3" spans="1:3" ht="18" x14ac:dyDescent="0.25">
      <c r="A3" s="53"/>
      <c r="B3" s="638" t="s">
        <v>1255</v>
      </c>
      <c r="C3" s="638"/>
    </row>
    <row r="4" spans="1:3" ht="15" x14ac:dyDescent="0.25">
      <c r="A4" s="53"/>
      <c r="B4" s="1"/>
      <c r="C4" s="7"/>
    </row>
    <row r="5" spans="1:3" ht="36.75" thickBot="1" x14ac:dyDescent="0.25">
      <c r="A5" s="54" t="s">
        <v>1256</v>
      </c>
      <c r="B5" s="2" t="s">
        <v>1257</v>
      </c>
      <c r="C5" s="55" t="s">
        <v>706</v>
      </c>
    </row>
    <row r="6" spans="1:3" ht="15" thickTop="1" x14ac:dyDescent="0.2">
      <c r="A6" s="56">
        <v>1</v>
      </c>
      <c r="B6" s="3" t="s">
        <v>247</v>
      </c>
      <c r="C6" s="4" t="s">
        <v>248</v>
      </c>
    </row>
    <row r="7" spans="1:3" ht="14.25" x14ac:dyDescent="0.2">
      <c r="A7" s="56">
        <v>2</v>
      </c>
      <c r="B7" s="5" t="s">
        <v>365</v>
      </c>
      <c r="C7" s="6" t="s">
        <v>366</v>
      </c>
    </row>
    <row r="8" spans="1:3" ht="14.25" x14ac:dyDescent="0.2">
      <c r="A8" s="56">
        <v>634</v>
      </c>
      <c r="B8" s="5" t="s">
        <v>341</v>
      </c>
      <c r="C8" s="6" t="s">
        <v>342</v>
      </c>
    </row>
    <row r="9" spans="1:3" ht="14.25" x14ac:dyDescent="0.2">
      <c r="A9" s="56">
        <v>3</v>
      </c>
      <c r="B9" s="5" t="s">
        <v>367</v>
      </c>
      <c r="C9" s="6" t="s">
        <v>368</v>
      </c>
    </row>
    <row r="10" spans="1:3" ht="14.25" x14ac:dyDescent="0.2">
      <c r="A10" s="56">
        <v>4</v>
      </c>
      <c r="B10" s="5" t="s">
        <v>1258</v>
      </c>
      <c r="C10" s="6" t="s">
        <v>1259</v>
      </c>
    </row>
    <row r="11" spans="1:3" ht="14.25" x14ac:dyDescent="0.2">
      <c r="A11" s="56">
        <v>5</v>
      </c>
      <c r="B11" s="5" t="s">
        <v>249</v>
      </c>
      <c r="C11" s="6" t="s">
        <v>250</v>
      </c>
    </row>
    <row r="12" spans="1:3" ht="14.25" x14ac:dyDescent="0.2">
      <c r="A12" s="56">
        <v>6</v>
      </c>
      <c r="B12" s="5" t="s">
        <v>369</v>
      </c>
      <c r="C12" s="6" t="s">
        <v>370</v>
      </c>
    </row>
    <row r="13" spans="1:3" ht="14.25" x14ac:dyDescent="0.2">
      <c r="A13" s="56">
        <v>7</v>
      </c>
      <c r="B13" s="5" t="s">
        <v>362</v>
      </c>
      <c r="C13" s="6" t="s">
        <v>361</v>
      </c>
    </row>
    <row r="14" spans="1:3" ht="14.25" x14ac:dyDescent="0.2">
      <c r="A14" s="56">
        <v>8</v>
      </c>
      <c r="B14" s="5" t="s">
        <v>371</v>
      </c>
      <c r="C14" s="6" t="s">
        <v>372</v>
      </c>
    </row>
    <row r="15" spans="1:3" ht="14.25" x14ac:dyDescent="0.2">
      <c r="A15" s="56">
        <v>9</v>
      </c>
      <c r="B15" s="5" t="s">
        <v>1260</v>
      </c>
      <c r="C15" s="7" t="s">
        <v>1261</v>
      </c>
    </row>
    <row r="16" spans="1:3" ht="14.25" x14ac:dyDescent="0.2">
      <c r="A16" s="56">
        <v>10</v>
      </c>
      <c r="B16" s="5" t="s">
        <v>1262</v>
      </c>
      <c r="C16" s="7" t="s">
        <v>1263</v>
      </c>
    </row>
    <row r="17" spans="1:3" ht="14.25" x14ac:dyDescent="0.2">
      <c r="A17" s="56">
        <v>11</v>
      </c>
      <c r="B17" s="5" t="s">
        <v>373</v>
      </c>
      <c r="C17" s="7" t="s">
        <v>374</v>
      </c>
    </row>
    <row r="18" spans="1:3" ht="14.25" x14ac:dyDescent="0.2">
      <c r="A18" s="56">
        <v>12</v>
      </c>
      <c r="B18" s="5" t="s">
        <v>375</v>
      </c>
      <c r="C18" s="6" t="s">
        <v>376</v>
      </c>
    </row>
    <row r="19" spans="1:3" ht="14.25" x14ac:dyDescent="0.2">
      <c r="A19" s="56">
        <v>13</v>
      </c>
      <c r="B19" s="5" t="s">
        <v>307</v>
      </c>
      <c r="C19" s="6" t="s">
        <v>308</v>
      </c>
    </row>
    <row r="20" spans="1:3" ht="14.25" x14ac:dyDescent="0.2">
      <c r="A20" s="56">
        <v>14</v>
      </c>
      <c r="B20" s="5" t="s">
        <v>1264</v>
      </c>
      <c r="C20" s="6" t="s">
        <v>1265</v>
      </c>
    </row>
    <row r="21" spans="1:3" ht="14.25" x14ac:dyDescent="0.2">
      <c r="A21" s="56">
        <v>16</v>
      </c>
      <c r="B21" s="5" t="s">
        <v>1266</v>
      </c>
      <c r="C21" s="7" t="s">
        <v>1267</v>
      </c>
    </row>
    <row r="22" spans="1:3" ht="14.25" x14ac:dyDescent="0.2">
      <c r="A22" s="56">
        <v>18</v>
      </c>
      <c r="B22" s="5" t="s">
        <v>1268</v>
      </c>
      <c r="C22" s="7" t="s">
        <v>1269</v>
      </c>
    </row>
    <row r="23" spans="1:3" ht="28.5" x14ac:dyDescent="0.2">
      <c r="A23" s="56">
        <v>19</v>
      </c>
      <c r="B23" s="5" t="s">
        <v>1270</v>
      </c>
      <c r="C23" s="7" t="s">
        <v>1271</v>
      </c>
    </row>
    <row r="24" spans="1:3" ht="14.25" x14ac:dyDescent="0.2">
      <c r="A24" s="56">
        <v>20</v>
      </c>
      <c r="B24" s="5" t="s">
        <v>1272</v>
      </c>
      <c r="C24" s="7" t="s">
        <v>1273</v>
      </c>
    </row>
    <row r="25" spans="1:3" ht="28.5" x14ac:dyDescent="0.2">
      <c r="A25" s="56">
        <v>21</v>
      </c>
      <c r="B25" s="5" t="s">
        <v>1274</v>
      </c>
      <c r="C25" s="7" t="s">
        <v>1275</v>
      </c>
    </row>
    <row r="26" spans="1:3" ht="14.25" x14ac:dyDescent="0.2">
      <c r="A26" s="56">
        <v>22</v>
      </c>
      <c r="B26" s="5" t="s">
        <v>1276</v>
      </c>
      <c r="C26" s="7" t="s">
        <v>1277</v>
      </c>
    </row>
    <row r="27" spans="1:3" ht="28.5" x14ac:dyDescent="0.2">
      <c r="A27" s="56">
        <v>23</v>
      </c>
      <c r="B27" s="5" t="s">
        <v>1278</v>
      </c>
      <c r="C27" s="7" t="s">
        <v>1279</v>
      </c>
    </row>
    <row r="28" spans="1:3" ht="14.25" x14ac:dyDescent="0.2">
      <c r="A28" s="56">
        <v>24</v>
      </c>
      <c r="B28" s="5" t="s">
        <v>1280</v>
      </c>
      <c r="C28" s="6" t="s">
        <v>1281</v>
      </c>
    </row>
    <row r="29" spans="1:3" ht="14.25" x14ac:dyDescent="0.2">
      <c r="A29" s="56">
        <v>25</v>
      </c>
      <c r="B29" s="5" t="s">
        <v>212</v>
      </c>
      <c r="C29" s="6" t="s">
        <v>213</v>
      </c>
    </row>
    <row r="30" spans="1:3" ht="14.25" x14ac:dyDescent="0.2">
      <c r="A30" s="56">
        <v>26</v>
      </c>
      <c r="B30" s="5" t="s">
        <v>251</v>
      </c>
      <c r="C30" s="6" t="s">
        <v>252</v>
      </c>
    </row>
    <row r="31" spans="1:3" ht="14.25" x14ac:dyDescent="0.2">
      <c r="A31" s="56">
        <v>27</v>
      </c>
      <c r="B31" s="5" t="s">
        <v>1282</v>
      </c>
      <c r="C31" s="7" t="s">
        <v>1283</v>
      </c>
    </row>
    <row r="32" spans="1:3" ht="14.25" x14ac:dyDescent="0.2">
      <c r="A32" s="56">
        <v>28</v>
      </c>
      <c r="B32" s="5" t="s">
        <v>1284</v>
      </c>
      <c r="C32" s="6" t="s">
        <v>1285</v>
      </c>
    </row>
    <row r="33" spans="1:3" ht="14.25" x14ac:dyDescent="0.2">
      <c r="A33" s="56">
        <v>29</v>
      </c>
      <c r="B33" s="5" t="s">
        <v>1286</v>
      </c>
      <c r="C33" s="6" t="s">
        <v>1287</v>
      </c>
    </row>
    <row r="34" spans="1:3" ht="14.25" x14ac:dyDescent="0.2">
      <c r="A34" s="56">
        <v>30</v>
      </c>
      <c r="B34" s="5" t="s">
        <v>377</v>
      </c>
      <c r="C34" s="6" t="s">
        <v>378</v>
      </c>
    </row>
    <row r="35" spans="1:3" ht="14.25" x14ac:dyDescent="0.2">
      <c r="A35" s="56">
        <v>31</v>
      </c>
      <c r="B35" s="5" t="s">
        <v>1288</v>
      </c>
      <c r="C35" s="6" t="s">
        <v>1289</v>
      </c>
    </row>
    <row r="36" spans="1:3" ht="14.25" x14ac:dyDescent="0.2">
      <c r="A36" s="56">
        <v>32</v>
      </c>
      <c r="B36" s="5" t="s">
        <v>1290</v>
      </c>
      <c r="C36" s="7" t="s">
        <v>1291</v>
      </c>
    </row>
    <row r="37" spans="1:3" ht="14.25" x14ac:dyDescent="0.2">
      <c r="A37" s="56">
        <v>33</v>
      </c>
      <c r="B37" s="5" t="s">
        <v>354</v>
      </c>
      <c r="C37" s="6" t="s">
        <v>379</v>
      </c>
    </row>
    <row r="38" spans="1:3" ht="14.25" x14ac:dyDescent="0.2">
      <c r="A38" s="56">
        <v>35</v>
      </c>
      <c r="B38" s="5" t="s">
        <v>1292</v>
      </c>
      <c r="C38" s="6" t="s">
        <v>1293</v>
      </c>
    </row>
    <row r="39" spans="1:3" ht="14.25" x14ac:dyDescent="0.2">
      <c r="A39" s="56">
        <v>36</v>
      </c>
      <c r="B39" s="5" t="s">
        <v>380</v>
      </c>
      <c r="C39" s="7" t="s">
        <v>381</v>
      </c>
    </row>
    <row r="40" spans="1:3" ht="14.25" x14ac:dyDescent="0.2">
      <c r="A40" s="56">
        <v>37</v>
      </c>
      <c r="B40" s="5" t="s">
        <v>218</v>
      </c>
      <c r="C40" s="6" t="s">
        <v>219</v>
      </c>
    </row>
    <row r="41" spans="1:3" ht="14.25" x14ac:dyDescent="0.2">
      <c r="A41" s="56">
        <v>39</v>
      </c>
      <c r="B41" s="5" t="s">
        <v>328</v>
      </c>
      <c r="C41" s="6" t="s">
        <v>329</v>
      </c>
    </row>
    <row r="42" spans="1:3" ht="14.25" x14ac:dyDescent="0.2">
      <c r="A42" s="56">
        <v>356</v>
      </c>
      <c r="B42" s="5" t="s">
        <v>382</v>
      </c>
      <c r="C42" s="6" t="s">
        <v>383</v>
      </c>
    </row>
    <row r="43" spans="1:3" ht="14.25" x14ac:dyDescent="0.2">
      <c r="A43" s="56">
        <v>40</v>
      </c>
      <c r="B43" s="5" t="s">
        <v>1294</v>
      </c>
      <c r="C43" s="7" t="s">
        <v>1295</v>
      </c>
    </row>
    <row r="44" spans="1:3" ht="14.25" x14ac:dyDescent="0.2">
      <c r="A44" s="56">
        <v>41</v>
      </c>
      <c r="B44" s="5" t="s">
        <v>1296</v>
      </c>
      <c r="C44" s="7" t="s">
        <v>1297</v>
      </c>
    </row>
    <row r="45" spans="1:3" ht="14.25" x14ac:dyDescent="0.2">
      <c r="A45" s="56">
        <v>42</v>
      </c>
      <c r="B45" s="5" t="s">
        <v>1298</v>
      </c>
      <c r="C45" s="7" t="s">
        <v>1299</v>
      </c>
    </row>
    <row r="46" spans="1:3" ht="14.25" x14ac:dyDescent="0.2">
      <c r="A46" s="56">
        <v>43</v>
      </c>
      <c r="B46" s="5" t="s">
        <v>1300</v>
      </c>
      <c r="C46" s="7" t="s">
        <v>1301</v>
      </c>
    </row>
    <row r="47" spans="1:3" ht="14.25" x14ac:dyDescent="0.2">
      <c r="A47" s="56">
        <v>44</v>
      </c>
      <c r="B47" s="5" t="s">
        <v>384</v>
      </c>
      <c r="C47" s="7" t="s">
        <v>385</v>
      </c>
    </row>
    <row r="48" spans="1:3" ht="14.25" x14ac:dyDescent="0.2">
      <c r="A48" s="56">
        <v>45</v>
      </c>
      <c r="B48" s="5" t="s">
        <v>275</v>
      </c>
      <c r="C48" s="6" t="s">
        <v>276</v>
      </c>
    </row>
    <row r="49" spans="1:3" ht="14.25" x14ac:dyDescent="0.2">
      <c r="A49" s="56">
        <v>46</v>
      </c>
      <c r="B49" s="5" t="s">
        <v>221</v>
      </c>
      <c r="C49" s="6" t="s">
        <v>222</v>
      </c>
    </row>
    <row r="50" spans="1:3" ht="14.25" x14ac:dyDescent="0.2">
      <c r="A50" s="56">
        <v>47</v>
      </c>
      <c r="B50" s="5" t="s">
        <v>386</v>
      </c>
      <c r="C50" s="6" t="s">
        <v>387</v>
      </c>
    </row>
    <row r="51" spans="1:3" ht="14.25" x14ac:dyDescent="0.2">
      <c r="A51" s="56">
        <v>52</v>
      </c>
      <c r="B51" s="5" t="s">
        <v>1302</v>
      </c>
      <c r="C51" s="6" t="s">
        <v>1303</v>
      </c>
    </row>
    <row r="52" spans="1:3" ht="14.25" x14ac:dyDescent="0.2">
      <c r="A52" s="56">
        <v>53</v>
      </c>
      <c r="B52" s="5" t="s">
        <v>1304</v>
      </c>
      <c r="C52" s="6" t="s">
        <v>1305</v>
      </c>
    </row>
    <row r="53" spans="1:3" ht="14.25" x14ac:dyDescent="0.2">
      <c r="A53" s="56">
        <v>54</v>
      </c>
      <c r="B53" s="5" t="s">
        <v>1306</v>
      </c>
      <c r="C53" s="6" t="s">
        <v>1307</v>
      </c>
    </row>
    <row r="54" spans="1:3" ht="14.25" x14ac:dyDescent="0.2">
      <c r="A54" s="56">
        <v>55</v>
      </c>
      <c r="B54" s="5" t="s">
        <v>1308</v>
      </c>
      <c r="C54" s="6" t="s">
        <v>1309</v>
      </c>
    </row>
    <row r="55" spans="1:3" ht="14.25" x14ac:dyDescent="0.2">
      <c r="A55" s="56">
        <v>56</v>
      </c>
      <c r="B55" s="5" t="s">
        <v>388</v>
      </c>
      <c r="C55" s="6" t="s">
        <v>389</v>
      </c>
    </row>
    <row r="56" spans="1:3" ht="14.25" x14ac:dyDescent="0.2">
      <c r="A56" s="56">
        <v>57</v>
      </c>
      <c r="B56" s="5" t="s">
        <v>1310</v>
      </c>
      <c r="C56" s="7" t="s">
        <v>1311</v>
      </c>
    </row>
    <row r="57" spans="1:3" ht="14.25" x14ac:dyDescent="0.2">
      <c r="A57" s="56">
        <v>58</v>
      </c>
      <c r="B57" s="5" t="s">
        <v>277</v>
      </c>
      <c r="C57" s="6" t="s">
        <v>278</v>
      </c>
    </row>
    <row r="58" spans="1:3" ht="14.25" x14ac:dyDescent="0.2">
      <c r="A58" s="56">
        <v>60</v>
      </c>
      <c r="B58" s="5" t="s">
        <v>1312</v>
      </c>
      <c r="C58" s="7" t="s">
        <v>1313</v>
      </c>
    </row>
    <row r="59" spans="1:3" ht="28.5" x14ac:dyDescent="0.2">
      <c r="A59" s="56">
        <v>61</v>
      </c>
      <c r="B59" s="5" t="s">
        <v>1314</v>
      </c>
      <c r="C59" s="7" t="s">
        <v>1315</v>
      </c>
    </row>
    <row r="60" spans="1:3" ht="14.25" x14ac:dyDescent="0.2">
      <c r="A60" s="56">
        <v>62</v>
      </c>
      <c r="B60" s="5" t="s">
        <v>1159</v>
      </c>
      <c r="C60" s="6" t="s">
        <v>1160</v>
      </c>
    </row>
    <row r="61" spans="1:3" ht="14.25" x14ac:dyDescent="0.2">
      <c r="A61" s="56">
        <v>63</v>
      </c>
      <c r="B61" s="5" t="s">
        <v>390</v>
      </c>
      <c r="C61" s="6" t="s">
        <v>1316</v>
      </c>
    </row>
    <row r="62" spans="1:3" ht="14.25" x14ac:dyDescent="0.2">
      <c r="A62" s="56">
        <v>64</v>
      </c>
      <c r="B62" s="5" t="s">
        <v>391</v>
      </c>
      <c r="C62" s="6" t="s">
        <v>1317</v>
      </c>
    </row>
    <row r="63" spans="1:3" ht="14.25" x14ac:dyDescent="0.2">
      <c r="A63" s="56">
        <v>65</v>
      </c>
      <c r="B63" s="5" t="s">
        <v>1318</v>
      </c>
      <c r="C63" s="6" t="s">
        <v>1319</v>
      </c>
    </row>
    <row r="64" spans="1:3" ht="14.25" x14ac:dyDescent="0.2">
      <c r="A64" s="56">
        <v>522</v>
      </c>
      <c r="B64" s="5" t="s">
        <v>392</v>
      </c>
      <c r="C64" s="6" t="s">
        <v>1320</v>
      </c>
    </row>
    <row r="65" spans="1:3" ht="14.25" x14ac:dyDescent="0.2">
      <c r="A65" s="56">
        <v>66</v>
      </c>
      <c r="B65" s="5" t="s">
        <v>1321</v>
      </c>
      <c r="C65" s="6" t="s">
        <v>1322</v>
      </c>
    </row>
    <row r="66" spans="1:3" ht="14.25" x14ac:dyDescent="0.2">
      <c r="A66" s="56">
        <v>68</v>
      </c>
      <c r="B66" s="5" t="s">
        <v>1323</v>
      </c>
      <c r="C66" s="6" t="s">
        <v>1324</v>
      </c>
    </row>
    <row r="67" spans="1:3" ht="14.25" x14ac:dyDescent="0.2">
      <c r="A67" s="56">
        <v>71</v>
      </c>
      <c r="B67" s="5" t="s">
        <v>1161</v>
      </c>
      <c r="C67" s="7" t="s">
        <v>1162</v>
      </c>
    </row>
    <row r="68" spans="1:3" ht="14.25" x14ac:dyDescent="0.2">
      <c r="A68" s="56">
        <v>72</v>
      </c>
      <c r="B68" s="5" t="s">
        <v>393</v>
      </c>
      <c r="C68" s="6" t="s">
        <v>394</v>
      </c>
    </row>
    <row r="69" spans="1:3" ht="14.25" x14ac:dyDescent="0.2">
      <c r="A69" s="56">
        <v>324</v>
      </c>
      <c r="B69" s="5" t="s">
        <v>395</v>
      </c>
      <c r="C69" s="6" t="s">
        <v>1325</v>
      </c>
    </row>
    <row r="70" spans="1:3" ht="14.25" x14ac:dyDescent="0.2">
      <c r="A70" s="56">
        <v>73</v>
      </c>
      <c r="B70" s="5" t="s">
        <v>396</v>
      </c>
      <c r="C70" s="6" t="s">
        <v>1326</v>
      </c>
    </row>
    <row r="71" spans="1:3" ht="14.25" x14ac:dyDescent="0.2">
      <c r="A71" s="56">
        <v>74</v>
      </c>
      <c r="B71" s="5" t="s">
        <v>1327</v>
      </c>
      <c r="C71" s="7" t="s">
        <v>1328</v>
      </c>
    </row>
    <row r="72" spans="1:3" ht="14.25" x14ac:dyDescent="0.2">
      <c r="A72" s="56">
        <v>75</v>
      </c>
      <c r="B72" s="5" t="s">
        <v>233</v>
      </c>
      <c r="C72" s="6" t="s">
        <v>234</v>
      </c>
    </row>
    <row r="73" spans="1:3" ht="14.25" x14ac:dyDescent="0.2">
      <c r="A73" s="56">
        <v>333</v>
      </c>
      <c r="B73" s="5" t="s">
        <v>397</v>
      </c>
      <c r="C73" s="6" t="s">
        <v>1329</v>
      </c>
    </row>
    <row r="74" spans="1:3" ht="14.25" x14ac:dyDescent="0.2">
      <c r="A74" s="56">
        <v>76</v>
      </c>
      <c r="B74" s="5" t="s">
        <v>1163</v>
      </c>
      <c r="C74" s="6" t="s">
        <v>1330</v>
      </c>
    </row>
    <row r="75" spans="1:3" ht="14.25" x14ac:dyDescent="0.2">
      <c r="A75" s="56">
        <v>77</v>
      </c>
      <c r="B75" s="5" t="s">
        <v>1331</v>
      </c>
      <c r="C75" s="6" t="s">
        <v>1332</v>
      </c>
    </row>
    <row r="76" spans="1:3" ht="14.25" x14ac:dyDescent="0.2">
      <c r="A76" s="56">
        <v>78</v>
      </c>
      <c r="B76" s="5" t="s">
        <v>322</v>
      </c>
      <c r="C76" s="6" t="s">
        <v>1333</v>
      </c>
    </row>
    <row r="77" spans="1:3" ht="14.25" x14ac:dyDescent="0.2">
      <c r="A77" s="56">
        <v>79</v>
      </c>
      <c r="B77" s="5" t="s">
        <v>398</v>
      </c>
      <c r="C77" s="6" t="s">
        <v>1334</v>
      </c>
    </row>
    <row r="78" spans="1:3" ht="14.25" x14ac:dyDescent="0.2">
      <c r="A78" s="56">
        <v>80</v>
      </c>
      <c r="B78" s="5" t="s">
        <v>1164</v>
      </c>
      <c r="C78" s="6" t="s">
        <v>1335</v>
      </c>
    </row>
    <row r="79" spans="1:3" ht="14.25" x14ac:dyDescent="0.2">
      <c r="A79" s="56">
        <v>519</v>
      </c>
      <c r="B79" s="5" t="s">
        <v>1336</v>
      </c>
      <c r="C79" s="6" t="s">
        <v>1337</v>
      </c>
    </row>
    <row r="80" spans="1:3" ht="28.5" x14ac:dyDescent="0.2">
      <c r="A80" s="56">
        <v>81</v>
      </c>
      <c r="B80" s="5" t="s">
        <v>1338</v>
      </c>
      <c r="C80" s="7" t="s">
        <v>1339</v>
      </c>
    </row>
    <row r="81" spans="1:3" ht="14.25" x14ac:dyDescent="0.2">
      <c r="A81" s="56">
        <v>82</v>
      </c>
      <c r="B81" s="5" t="s">
        <v>1340</v>
      </c>
      <c r="C81" s="7" t="s">
        <v>1341</v>
      </c>
    </row>
    <row r="82" spans="1:3" ht="14.25" x14ac:dyDescent="0.2">
      <c r="A82" s="56">
        <v>83</v>
      </c>
      <c r="B82" s="5" t="s">
        <v>235</v>
      </c>
      <c r="C82" s="6" t="s">
        <v>236</v>
      </c>
    </row>
    <row r="83" spans="1:3" ht="14.25" x14ac:dyDescent="0.2">
      <c r="A83" s="56">
        <v>85</v>
      </c>
      <c r="B83" s="5" t="s">
        <v>1342</v>
      </c>
      <c r="C83" s="6" t="s">
        <v>1343</v>
      </c>
    </row>
    <row r="84" spans="1:3" ht="14.25" x14ac:dyDescent="0.2">
      <c r="A84" s="56">
        <v>86</v>
      </c>
      <c r="B84" s="5" t="s">
        <v>399</v>
      </c>
      <c r="C84" s="6" t="s">
        <v>400</v>
      </c>
    </row>
    <row r="85" spans="1:3" ht="14.25" x14ac:dyDescent="0.2">
      <c r="A85" s="56">
        <v>87</v>
      </c>
      <c r="B85" s="8" t="s">
        <v>1344</v>
      </c>
      <c r="C85" s="6" t="s">
        <v>1345</v>
      </c>
    </row>
    <row r="86" spans="1:3" ht="14.25" x14ac:dyDescent="0.2">
      <c r="A86" s="56">
        <v>88</v>
      </c>
      <c r="B86" s="5" t="s">
        <v>1346</v>
      </c>
      <c r="C86" s="6" t="s">
        <v>1347</v>
      </c>
    </row>
    <row r="87" spans="1:3" ht="14.25" x14ac:dyDescent="0.2">
      <c r="A87" s="56">
        <v>89</v>
      </c>
      <c r="B87" s="5">
        <v>89</v>
      </c>
      <c r="C87" s="6" t="s">
        <v>1348</v>
      </c>
    </row>
    <row r="88" spans="1:3" ht="14.25" x14ac:dyDescent="0.2">
      <c r="A88" s="56">
        <v>90</v>
      </c>
      <c r="B88" s="5" t="s">
        <v>401</v>
      </c>
      <c r="C88" s="6" t="s">
        <v>402</v>
      </c>
    </row>
    <row r="89" spans="1:3" ht="14.25" x14ac:dyDescent="0.2">
      <c r="A89" s="56">
        <v>91</v>
      </c>
      <c r="B89" s="5" t="s">
        <v>403</v>
      </c>
      <c r="C89" s="6" t="s">
        <v>404</v>
      </c>
    </row>
    <row r="90" spans="1:3" ht="14.25" x14ac:dyDescent="0.2">
      <c r="A90" s="56">
        <v>92</v>
      </c>
      <c r="B90" s="5" t="s">
        <v>405</v>
      </c>
      <c r="C90" s="6" t="s">
        <v>406</v>
      </c>
    </row>
    <row r="91" spans="1:3" ht="14.25" x14ac:dyDescent="0.2">
      <c r="A91" s="56">
        <v>93</v>
      </c>
      <c r="B91" s="8" t="s">
        <v>1349</v>
      </c>
      <c r="C91" s="6" t="s">
        <v>1350</v>
      </c>
    </row>
    <row r="92" spans="1:3" ht="14.25" x14ac:dyDescent="0.2">
      <c r="A92" s="56">
        <v>94</v>
      </c>
      <c r="B92" s="5" t="s">
        <v>343</v>
      </c>
      <c r="C92" s="6" t="s">
        <v>1023</v>
      </c>
    </row>
    <row r="93" spans="1:3" ht="14.25" x14ac:dyDescent="0.2">
      <c r="A93" s="56">
        <v>351</v>
      </c>
      <c r="B93" s="5">
        <v>351</v>
      </c>
      <c r="C93" s="6" t="s">
        <v>1351</v>
      </c>
    </row>
    <row r="94" spans="1:3" ht="14.25" x14ac:dyDescent="0.2">
      <c r="A94" s="56">
        <v>95</v>
      </c>
      <c r="B94" s="5" t="s">
        <v>1352</v>
      </c>
      <c r="C94" s="6" t="s">
        <v>1353</v>
      </c>
    </row>
    <row r="95" spans="1:3" ht="14.25" x14ac:dyDescent="0.2">
      <c r="A95" s="56">
        <v>96</v>
      </c>
      <c r="B95" s="5" t="s">
        <v>1354</v>
      </c>
      <c r="C95" s="7" t="s">
        <v>1355</v>
      </c>
    </row>
    <row r="96" spans="1:3" ht="14.25" x14ac:dyDescent="0.2">
      <c r="A96" s="56">
        <v>97</v>
      </c>
      <c r="B96" s="5" t="s">
        <v>407</v>
      </c>
      <c r="C96" s="6" t="s">
        <v>408</v>
      </c>
    </row>
    <row r="97" spans="1:3" ht="14.25" x14ac:dyDescent="0.2">
      <c r="A97" s="56">
        <v>98</v>
      </c>
      <c r="B97" s="5" t="s">
        <v>1165</v>
      </c>
      <c r="C97" s="7" t="s">
        <v>1166</v>
      </c>
    </row>
    <row r="98" spans="1:3" ht="14.25" x14ac:dyDescent="0.2">
      <c r="A98" s="56">
        <v>99</v>
      </c>
      <c r="B98" s="5" t="s">
        <v>1356</v>
      </c>
      <c r="C98" s="7" t="s">
        <v>1357</v>
      </c>
    </row>
    <row r="99" spans="1:3" ht="28.5" x14ac:dyDescent="0.2">
      <c r="A99" s="56">
        <v>243</v>
      </c>
      <c r="B99" s="5" t="s">
        <v>1190</v>
      </c>
      <c r="C99" s="6" t="s">
        <v>1191</v>
      </c>
    </row>
    <row r="100" spans="1:3" ht="28.5" x14ac:dyDescent="0.2">
      <c r="A100" s="56">
        <v>100</v>
      </c>
      <c r="B100" s="5" t="s">
        <v>409</v>
      </c>
      <c r="C100" s="6" t="s">
        <v>410</v>
      </c>
    </row>
    <row r="101" spans="1:3" ht="14.25" x14ac:dyDescent="0.2">
      <c r="A101" s="56">
        <v>101</v>
      </c>
      <c r="B101" s="5" t="s">
        <v>330</v>
      </c>
      <c r="C101" s="6" t="s">
        <v>331</v>
      </c>
    </row>
    <row r="102" spans="1:3" ht="28.5" x14ac:dyDescent="0.2">
      <c r="A102" s="56">
        <v>102</v>
      </c>
      <c r="B102" s="5" t="s">
        <v>411</v>
      </c>
      <c r="C102" s="6" t="s">
        <v>412</v>
      </c>
    </row>
    <row r="103" spans="1:3" ht="14.25" x14ac:dyDescent="0.2">
      <c r="A103" s="56">
        <v>103</v>
      </c>
      <c r="B103" s="5" t="s">
        <v>1358</v>
      </c>
      <c r="C103" s="6" t="s">
        <v>1359</v>
      </c>
    </row>
    <row r="104" spans="1:3" ht="14.25" x14ac:dyDescent="0.2">
      <c r="A104" s="56">
        <v>104</v>
      </c>
      <c r="B104" s="5" t="s">
        <v>413</v>
      </c>
      <c r="C104" s="6" t="s">
        <v>414</v>
      </c>
    </row>
    <row r="105" spans="1:3" ht="28.5" x14ac:dyDescent="0.2">
      <c r="A105" s="56">
        <v>105</v>
      </c>
      <c r="B105" s="5" t="s">
        <v>1360</v>
      </c>
      <c r="C105" s="7" t="s">
        <v>1361</v>
      </c>
    </row>
    <row r="106" spans="1:3" ht="14.25" x14ac:dyDescent="0.2">
      <c r="A106" s="56">
        <v>106</v>
      </c>
      <c r="B106" s="5" t="s">
        <v>1362</v>
      </c>
      <c r="C106" s="6" t="s">
        <v>1363</v>
      </c>
    </row>
    <row r="107" spans="1:3" ht="14.25" x14ac:dyDescent="0.2">
      <c r="A107" s="56">
        <v>108</v>
      </c>
      <c r="B107" s="5" t="s">
        <v>415</v>
      </c>
      <c r="C107" s="6" t="s">
        <v>416</v>
      </c>
    </row>
    <row r="108" spans="1:3" ht="14.25" x14ac:dyDescent="0.2">
      <c r="A108" s="56">
        <v>114</v>
      </c>
      <c r="B108" s="5" t="s">
        <v>1364</v>
      </c>
      <c r="C108" s="6" t="s">
        <v>1365</v>
      </c>
    </row>
    <row r="109" spans="1:3" ht="14.25" x14ac:dyDescent="0.2">
      <c r="A109" s="56">
        <v>117</v>
      </c>
      <c r="B109" s="5" t="s">
        <v>417</v>
      </c>
      <c r="C109" s="7" t="s">
        <v>418</v>
      </c>
    </row>
    <row r="110" spans="1:3" ht="14.25" x14ac:dyDescent="0.2">
      <c r="A110" s="56">
        <v>246</v>
      </c>
      <c r="B110" s="5" t="s">
        <v>419</v>
      </c>
      <c r="C110" s="6" t="s">
        <v>420</v>
      </c>
    </row>
    <row r="111" spans="1:3" ht="14.25" x14ac:dyDescent="0.2">
      <c r="A111" s="56">
        <v>230</v>
      </c>
      <c r="B111" s="5" t="s">
        <v>421</v>
      </c>
      <c r="C111" s="6" t="s">
        <v>1366</v>
      </c>
    </row>
    <row r="112" spans="1:3" ht="14.25" x14ac:dyDescent="0.2">
      <c r="A112" s="56">
        <v>118</v>
      </c>
      <c r="B112" s="5" t="s">
        <v>422</v>
      </c>
      <c r="C112" s="6" t="s">
        <v>423</v>
      </c>
    </row>
    <row r="113" spans="1:3" ht="14.25" x14ac:dyDescent="0.2">
      <c r="A113" s="56">
        <v>325</v>
      </c>
      <c r="B113" s="5" t="s">
        <v>424</v>
      </c>
      <c r="C113" s="6" t="s">
        <v>1367</v>
      </c>
    </row>
    <row r="114" spans="1:3" ht="14.25" x14ac:dyDescent="0.2">
      <c r="A114" s="56">
        <v>119</v>
      </c>
      <c r="B114" s="5" t="s">
        <v>1368</v>
      </c>
      <c r="C114" s="6" t="s">
        <v>1369</v>
      </c>
    </row>
    <row r="115" spans="1:3" ht="14.25" x14ac:dyDescent="0.2">
      <c r="A115" s="56">
        <v>120</v>
      </c>
      <c r="B115" s="5" t="s">
        <v>1370</v>
      </c>
      <c r="C115" s="7" t="s">
        <v>1371</v>
      </c>
    </row>
    <row r="116" spans="1:3" ht="14.25" x14ac:dyDescent="0.2">
      <c r="A116" s="56">
        <v>122</v>
      </c>
      <c r="B116" s="5" t="s">
        <v>1372</v>
      </c>
      <c r="C116" s="6" t="s">
        <v>1373</v>
      </c>
    </row>
    <row r="117" spans="1:3" ht="14.25" x14ac:dyDescent="0.2">
      <c r="A117" s="56">
        <v>129</v>
      </c>
      <c r="B117" s="5" t="s">
        <v>425</v>
      </c>
      <c r="C117" s="6" t="s">
        <v>1374</v>
      </c>
    </row>
    <row r="118" spans="1:3" ht="14.25" x14ac:dyDescent="0.2">
      <c r="A118" s="56">
        <v>130</v>
      </c>
      <c r="B118" s="5" t="s">
        <v>426</v>
      </c>
      <c r="C118" s="6" t="s">
        <v>427</v>
      </c>
    </row>
    <row r="119" spans="1:3" ht="14.25" x14ac:dyDescent="0.2">
      <c r="A119" s="56">
        <v>131</v>
      </c>
      <c r="B119" s="5" t="s">
        <v>428</v>
      </c>
      <c r="C119" s="6" t="s">
        <v>429</v>
      </c>
    </row>
    <row r="120" spans="1:3" ht="14.25" x14ac:dyDescent="0.2">
      <c r="A120" s="56">
        <v>132</v>
      </c>
      <c r="B120" s="5" t="s">
        <v>1375</v>
      </c>
      <c r="C120" s="7" t="s">
        <v>1376</v>
      </c>
    </row>
    <row r="121" spans="1:3" ht="14.25" x14ac:dyDescent="0.2">
      <c r="A121" s="56">
        <v>133</v>
      </c>
      <c r="B121" s="5" t="s">
        <v>430</v>
      </c>
      <c r="C121" s="6" t="s">
        <v>1377</v>
      </c>
    </row>
    <row r="122" spans="1:3" ht="28.5" x14ac:dyDescent="0.2">
      <c r="A122" s="56">
        <v>134</v>
      </c>
      <c r="B122" s="5" t="s">
        <v>1378</v>
      </c>
      <c r="C122" s="7" t="s">
        <v>1379</v>
      </c>
    </row>
    <row r="123" spans="1:3" ht="14.25" x14ac:dyDescent="0.2">
      <c r="A123" s="56">
        <v>135</v>
      </c>
      <c r="B123" s="5" t="s">
        <v>431</v>
      </c>
      <c r="C123" s="7" t="s">
        <v>1380</v>
      </c>
    </row>
    <row r="124" spans="1:3" ht="28.5" x14ac:dyDescent="0.2">
      <c r="A124" s="56">
        <v>136</v>
      </c>
      <c r="B124" s="5" t="s">
        <v>239</v>
      </c>
      <c r="C124" s="9" t="s">
        <v>240</v>
      </c>
    </row>
    <row r="125" spans="1:3" ht="28.5" x14ac:dyDescent="0.2">
      <c r="A125" s="56">
        <v>140</v>
      </c>
      <c r="B125" s="5" t="s">
        <v>431</v>
      </c>
      <c r="C125" s="9" t="s">
        <v>1167</v>
      </c>
    </row>
    <row r="126" spans="1:3" ht="14.25" x14ac:dyDescent="0.2">
      <c r="A126" s="56">
        <v>144</v>
      </c>
      <c r="B126" s="5" t="s">
        <v>1381</v>
      </c>
      <c r="C126" s="7" t="s">
        <v>1382</v>
      </c>
    </row>
    <row r="127" spans="1:3" ht="14.25" x14ac:dyDescent="0.2">
      <c r="A127" s="56">
        <v>145</v>
      </c>
      <c r="B127" s="5" t="s">
        <v>1383</v>
      </c>
      <c r="C127" s="7" t="s">
        <v>1384</v>
      </c>
    </row>
    <row r="128" spans="1:3" ht="14.25" x14ac:dyDescent="0.2">
      <c r="A128" s="56">
        <v>146</v>
      </c>
      <c r="B128" s="5" t="s">
        <v>279</v>
      </c>
      <c r="C128" s="6" t="s">
        <v>280</v>
      </c>
    </row>
    <row r="129" spans="1:3" ht="14.25" x14ac:dyDescent="0.2">
      <c r="A129" s="56">
        <v>148</v>
      </c>
      <c r="B129" s="5">
        <v>148</v>
      </c>
      <c r="C129" s="6" t="s">
        <v>1385</v>
      </c>
    </row>
    <row r="130" spans="1:3" ht="14.25" x14ac:dyDescent="0.2">
      <c r="A130" s="56">
        <v>149</v>
      </c>
      <c r="B130" s="5" t="s">
        <v>253</v>
      </c>
      <c r="C130" s="6" t="s">
        <v>254</v>
      </c>
    </row>
    <row r="131" spans="1:3" ht="14.25" x14ac:dyDescent="0.2">
      <c r="A131" s="56">
        <v>150</v>
      </c>
      <c r="B131" s="5">
        <v>150</v>
      </c>
      <c r="C131" s="6" t="s">
        <v>1386</v>
      </c>
    </row>
    <row r="132" spans="1:3" ht="14.25" x14ac:dyDescent="0.2">
      <c r="A132" s="56">
        <v>151</v>
      </c>
      <c r="B132" s="5" t="s">
        <v>432</v>
      </c>
      <c r="C132" s="6" t="s">
        <v>1387</v>
      </c>
    </row>
    <row r="133" spans="1:3" ht="28.5" x14ac:dyDescent="0.2">
      <c r="A133" s="56">
        <v>152</v>
      </c>
      <c r="B133" s="5" t="s">
        <v>316</v>
      </c>
      <c r="C133" s="6" t="s">
        <v>1388</v>
      </c>
    </row>
    <row r="134" spans="1:3" ht="14.25" x14ac:dyDescent="0.2">
      <c r="A134" s="56">
        <v>153</v>
      </c>
      <c r="B134" s="5" t="s">
        <v>318</v>
      </c>
      <c r="C134" s="6" t="s">
        <v>1389</v>
      </c>
    </row>
    <row r="135" spans="1:3" ht="14.25" x14ac:dyDescent="0.2">
      <c r="A135" s="56">
        <v>154</v>
      </c>
      <c r="B135" s="5" t="s">
        <v>1390</v>
      </c>
      <c r="C135" s="6" t="s">
        <v>1391</v>
      </c>
    </row>
    <row r="136" spans="1:3" ht="14.25" x14ac:dyDescent="0.2">
      <c r="A136" s="56">
        <v>155</v>
      </c>
      <c r="B136" s="5" t="s">
        <v>1392</v>
      </c>
      <c r="C136" s="6" t="s">
        <v>1393</v>
      </c>
    </row>
    <row r="137" spans="1:3" ht="14.25" x14ac:dyDescent="0.2">
      <c r="A137" s="56">
        <v>156</v>
      </c>
      <c r="B137" s="5" t="s">
        <v>1168</v>
      </c>
      <c r="C137" s="6" t="s">
        <v>1169</v>
      </c>
    </row>
    <row r="138" spans="1:3" ht="14.25" x14ac:dyDescent="0.2">
      <c r="A138" s="56">
        <v>158</v>
      </c>
      <c r="B138" s="5" t="s">
        <v>1394</v>
      </c>
      <c r="C138" s="6" t="s">
        <v>1395</v>
      </c>
    </row>
    <row r="139" spans="1:3" ht="14.25" x14ac:dyDescent="0.2">
      <c r="A139" s="56">
        <v>159</v>
      </c>
      <c r="B139" s="5" t="s">
        <v>434</v>
      </c>
      <c r="C139" s="6" t="s">
        <v>435</v>
      </c>
    </row>
    <row r="140" spans="1:3" ht="14.25" x14ac:dyDescent="0.2">
      <c r="A140" s="56">
        <v>161</v>
      </c>
      <c r="B140" s="5" t="s">
        <v>436</v>
      </c>
      <c r="C140" s="6" t="s">
        <v>1396</v>
      </c>
    </row>
    <row r="141" spans="1:3" ht="14.25" x14ac:dyDescent="0.2">
      <c r="A141" s="56">
        <v>162</v>
      </c>
      <c r="B141" s="5" t="s">
        <v>437</v>
      </c>
      <c r="C141" s="6" t="s">
        <v>438</v>
      </c>
    </row>
    <row r="142" spans="1:3" ht="14.25" x14ac:dyDescent="0.2">
      <c r="A142" s="56">
        <v>163</v>
      </c>
      <c r="B142" s="5" t="s">
        <v>1397</v>
      </c>
      <c r="C142" s="6" t="s">
        <v>1398</v>
      </c>
    </row>
    <row r="143" spans="1:3" ht="14.25" x14ac:dyDescent="0.2">
      <c r="A143" s="56">
        <v>164</v>
      </c>
      <c r="B143" s="5" t="s">
        <v>1399</v>
      </c>
      <c r="C143" s="6" t="s">
        <v>1400</v>
      </c>
    </row>
    <row r="144" spans="1:3" ht="14.25" x14ac:dyDescent="0.2">
      <c r="A144" s="56">
        <v>165</v>
      </c>
      <c r="B144" s="5" t="s">
        <v>1401</v>
      </c>
      <c r="C144" s="7" t="s">
        <v>1402</v>
      </c>
    </row>
    <row r="145" spans="1:3" ht="14.25" x14ac:dyDescent="0.2">
      <c r="A145" s="56">
        <v>166</v>
      </c>
      <c r="B145" s="5" t="s">
        <v>1403</v>
      </c>
      <c r="C145" s="7" t="s">
        <v>1404</v>
      </c>
    </row>
    <row r="146" spans="1:3" ht="14.25" x14ac:dyDescent="0.2">
      <c r="A146" s="56">
        <v>167</v>
      </c>
      <c r="B146" s="8" t="s">
        <v>1405</v>
      </c>
      <c r="C146" s="7" t="s">
        <v>1406</v>
      </c>
    </row>
    <row r="147" spans="1:3" ht="14.25" x14ac:dyDescent="0.2">
      <c r="A147" s="56">
        <v>168</v>
      </c>
      <c r="B147" s="8" t="s">
        <v>1407</v>
      </c>
      <c r="C147" s="7" t="s">
        <v>1408</v>
      </c>
    </row>
    <row r="148" spans="1:3" ht="14.25" x14ac:dyDescent="0.2">
      <c r="A148" s="56">
        <v>169</v>
      </c>
      <c r="B148" s="5" t="s">
        <v>1409</v>
      </c>
      <c r="C148" s="7" t="s">
        <v>1410</v>
      </c>
    </row>
    <row r="149" spans="1:3" ht="14.25" x14ac:dyDescent="0.2">
      <c r="A149" s="56">
        <v>170</v>
      </c>
      <c r="B149" s="5" t="s">
        <v>1170</v>
      </c>
      <c r="C149" s="7" t="s">
        <v>1171</v>
      </c>
    </row>
    <row r="150" spans="1:3" ht="14.25" x14ac:dyDescent="0.2">
      <c r="A150" s="56">
        <v>171</v>
      </c>
      <c r="B150" s="5" t="s">
        <v>1411</v>
      </c>
      <c r="C150" s="9" t="s">
        <v>1412</v>
      </c>
    </row>
    <row r="151" spans="1:3" ht="14.25" x14ac:dyDescent="0.2">
      <c r="A151" s="56">
        <v>172</v>
      </c>
      <c r="B151" s="10" t="s">
        <v>1413</v>
      </c>
      <c r="C151" s="7" t="s">
        <v>1414</v>
      </c>
    </row>
    <row r="152" spans="1:3" ht="14.25" x14ac:dyDescent="0.2">
      <c r="A152" s="56">
        <v>637</v>
      </c>
      <c r="B152" s="10" t="s">
        <v>1415</v>
      </c>
      <c r="C152" s="7" t="s">
        <v>1416</v>
      </c>
    </row>
    <row r="153" spans="1:3" ht="14.25" x14ac:dyDescent="0.2">
      <c r="A153" s="56">
        <v>173</v>
      </c>
      <c r="B153" s="5" t="s">
        <v>1172</v>
      </c>
      <c r="C153" s="7" t="s">
        <v>1173</v>
      </c>
    </row>
    <row r="154" spans="1:3" ht="14.25" x14ac:dyDescent="0.2">
      <c r="A154" s="56">
        <v>174</v>
      </c>
      <c r="B154" s="5" t="s">
        <v>1417</v>
      </c>
      <c r="C154" s="7" t="s">
        <v>1418</v>
      </c>
    </row>
    <row r="155" spans="1:3" ht="14.25" x14ac:dyDescent="0.2">
      <c r="A155" s="56">
        <v>175</v>
      </c>
      <c r="B155" s="5" t="s">
        <v>439</v>
      </c>
      <c r="C155" s="7" t="s">
        <v>440</v>
      </c>
    </row>
    <row r="156" spans="1:3" ht="14.25" x14ac:dyDescent="0.2">
      <c r="A156" s="56">
        <v>183</v>
      </c>
      <c r="B156" s="5" t="s">
        <v>441</v>
      </c>
      <c r="C156" s="6" t="s">
        <v>442</v>
      </c>
    </row>
    <row r="157" spans="1:3" ht="28.5" x14ac:dyDescent="0.2">
      <c r="A157" s="56">
        <v>15</v>
      </c>
      <c r="B157" s="5" t="s">
        <v>1419</v>
      </c>
      <c r="C157" s="7" t="s">
        <v>1420</v>
      </c>
    </row>
    <row r="158" spans="1:3" ht="14.25" x14ac:dyDescent="0.2">
      <c r="A158" s="56">
        <v>17</v>
      </c>
      <c r="B158" s="5" t="s">
        <v>1421</v>
      </c>
      <c r="C158" s="7" t="s">
        <v>1422</v>
      </c>
    </row>
    <row r="159" spans="1:3" ht="14.25" x14ac:dyDescent="0.2">
      <c r="A159" s="56">
        <v>184</v>
      </c>
      <c r="B159" s="5" t="s">
        <v>443</v>
      </c>
      <c r="C159" s="6" t="s">
        <v>1423</v>
      </c>
    </row>
    <row r="160" spans="1:3" ht="14.25" x14ac:dyDescent="0.2">
      <c r="A160" s="56">
        <v>185</v>
      </c>
      <c r="B160" s="5" t="s">
        <v>1424</v>
      </c>
      <c r="C160" s="6" t="s">
        <v>1425</v>
      </c>
    </row>
    <row r="161" spans="1:3" ht="14.25" x14ac:dyDescent="0.2">
      <c r="A161" s="56">
        <v>186</v>
      </c>
      <c r="B161" s="5" t="s">
        <v>444</v>
      </c>
      <c r="C161" s="7" t="s">
        <v>445</v>
      </c>
    </row>
    <row r="162" spans="1:3" ht="14.25" x14ac:dyDescent="0.2">
      <c r="A162" s="56">
        <v>188</v>
      </c>
      <c r="B162" s="5" t="s">
        <v>1426</v>
      </c>
      <c r="C162" s="6" t="s">
        <v>1427</v>
      </c>
    </row>
    <row r="163" spans="1:3" ht="14.25" x14ac:dyDescent="0.2">
      <c r="A163" s="56">
        <v>189</v>
      </c>
      <c r="B163" s="5" t="s">
        <v>1428</v>
      </c>
      <c r="C163" s="7" t="s">
        <v>1429</v>
      </c>
    </row>
    <row r="164" spans="1:3" ht="14.25" x14ac:dyDescent="0.2">
      <c r="A164" s="56">
        <v>190</v>
      </c>
      <c r="B164" s="5" t="s">
        <v>446</v>
      </c>
      <c r="C164" s="6" t="s">
        <v>1180</v>
      </c>
    </row>
    <row r="165" spans="1:3" ht="14.25" x14ac:dyDescent="0.2">
      <c r="A165" s="56">
        <v>191</v>
      </c>
      <c r="B165" s="5" t="s">
        <v>1430</v>
      </c>
      <c r="C165" s="6" t="s">
        <v>1431</v>
      </c>
    </row>
    <row r="166" spans="1:3" ht="14.25" x14ac:dyDescent="0.2">
      <c r="A166" s="56">
        <v>520</v>
      </c>
      <c r="B166" s="5" t="s">
        <v>1432</v>
      </c>
      <c r="C166" s="6" t="s">
        <v>1433</v>
      </c>
    </row>
    <row r="167" spans="1:3" ht="14.25" x14ac:dyDescent="0.2">
      <c r="A167" s="56">
        <v>110</v>
      </c>
      <c r="B167" s="5" t="s">
        <v>1434</v>
      </c>
      <c r="C167" s="6" t="s">
        <v>1435</v>
      </c>
    </row>
    <row r="168" spans="1:3" ht="14.25" x14ac:dyDescent="0.2">
      <c r="A168" s="56">
        <v>111</v>
      </c>
      <c r="B168" s="5" t="s">
        <v>1436</v>
      </c>
      <c r="C168" s="6" t="s">
        <v>1437</v>
      </c>
    </row>
    <row r="169" spans="1:3" ht="14.25" x14ac:dyDescent="0.2">
      <c r="A169" s="56">
        <v>112</v>
      </c>
      <c r="B169" s="5" t="s">
        <v>447</v>
      </c>
      <c r="C169" s="6" t="s">
        <v>1438</v>
      </c>
    </row>
    <row r="170" spans="1:3" ht="14.25" x14ac:dyDescent="0.2">
      <c r="A170" s="56">
        <v>192</v>
      </c>
      <c r="B170" s="5" t="s">
        <v>448</v>
      </c>
      <c r="C170" s="6" t="s">
        <v>449</v>
      </c>
    </row>
    <row r="171" spans="1:3" ht="14.25" x14ac:dyDescent="0.2">
      <c r="A171" s="56">
        <v>247</v>
      </c>
      <c r="B171" s="5" t="s">
        <v>1192</v>
      </c>
      <c r="C171" s="6" t="s">
        <v>1193</v>
      </c>
    </row>
    <row r="172" spans="1:3" ht="14.25" x14ac:dyDescent="0.2">
      <c r="A172" s="56">
        <v>248</v>
      </c>
      <c r="B172" s="5" t="s">
        <v>1439</v>
      </c>
      <c r="C172" s="6" t="s">
        <v>1440</v>
      </c>
    </row>
    <row r="173" spans="1:3" ht="14.25" x14ac:dyDescent="0.2">
      <c r="A173" s="56">
        <v>193</v>
      </c>
      <c r="B173" s="5" t="s">
        <v>450</v>
      </c>
      <c r="C173" s="6" t="s">
        <v>1441</v>
      </c>
    </row>
    <row r="174" spans="1:3" ht="14.25" x14ac:dyDescent="0.2">
      <c r="A174" s="56">
        <v>116</v>
      </c>
      <c r="B174" s="5" t="s">
        <v>451</v>
      </c>
      <c r="C174" s="7" t="s">
        <v>1442</v>
      </c>
    </row>
    <row r="175" spans="1:3" ht="14.25" x14ac:dyDescent="0.2">
      <c r="A175" s="56">
        <v>328</v>
      </c>
      <c r="B175" s="5" t="s">
        <v>452</v>
      </c>
      <c r="C175" s="6" t="s">
        <v>1443</v>
      </c>
    </row>
    <row r="176" spans="1:3" ht="14.25" x14ac:dyDescent="0.2">
      <c r="A176" s="56">
        <v>123</v>
      </c>
      <c r="B176" s="5" t="s">
        <v>1444</v>
      </c>
      <c r="C176" s="6" t="s">
        <v>1445</v>
      </c>
    </row>
    <row r="177" spans="1:3" ht="14.25" x14ac:dyDescent="0.2">
      <c r="A177" s="56">
        <v>194</v>
      </c>
      <c r="B177" s="5" t="s">
        <v>1446</v>
      </c>
      <c r="C177" s="6" t="s">
        <v>1447</v>
      </c>
    </row>
    <row r="178" spans="1:3" ht="14.25" x14ac:dyDescent="0.2">
      <c r="A178" s="56">
        <v>195</v>
      </c>
      <c r="B178" s="5" t="s">
        <v>453</v>
      </c>
      <c r="C178" s="6" t="s">
        <v>1448</v>
      </c>
    </row>
    <row r="179" spans="1:3" ht="14.25" x14ac:dyDescent="0.2">
      <c r="A179" s="56">
        <v>196</v>
      </c>
      <c r="B179" s="5" t="s">
        <v>454</v>
      </c>
      <c r="C179" s="6" t="s">
        <v>455</v>
      </c>
    </row>
    <row r="180" spans="1:3" ht="14.25" x14ac:dyDescent="0.2">
      <c r="A180" s="56">
        <v>197</v>
      </c>
      <c r="B180" s="5" t="s">
        <v>456</v>
      </c>
      <c r="C180" s="6" t="s">
        <v>1181</v>
      </c>
    </row>
    <row r="181" spans="1:3" ht="14.25" x14ac:dyDescent="0.2">
      <c r="A181" s="56">
        <v>198</v>
      </c>
      <c r="B181" s="5" t="s">
        <v>1449</v>
      </c>
      <c r="C181" s="6" t="s">
        <v>1450</v>
      </c>
    </row>
    <row r="182" spans="1:3" ht="14.25" x14ac:dyDescent="0.2">
      <c r="A182" s="56">
        <v>521</v>
      </c>
      <c r="B182" s="5" t="s">
        <v>1451</v>
      </c>
      <c r="C182" s="9" t="s">
        <v>1452</v>
      </c>
    </row>
    <row r="183" spans="1:3" ht="14.25" x14ac:dyDescent="0.2">
      <c r="A183" s="56">
        <v>199</v>
      </c>
      <c r="B183" s="5" t="s">
        <v>457</v>
      </c>
      <c r="C183" s="7" t="s">
        <v>458</v>
      </c>
    </row>
    <row r="184" spans="1:3" ht="14.25" x14ac:dyDescent="0.2">
      <c r="A184" s="56">
        <v>200</v>
      </c>
      <c r="B184" s="5">
        <v>200</v>
      </c>
      <c r="C184" s="7" t="s">
        <v>271</v>
      </c>
    </row>
    <row r="185" spans="1:3" ht="14.25" x14ac:dyDescent="0.2">
      <c r="A185" s="56">
        <v>201</v>
      </c>
      <c r="B185" s="5" t="s">
        <v>459</v>
      </c>
      <c r="C185" s="6" t="s">
        <v>460</v>
      </c>
    </row>
    <row r="186" spans="1:3" ht="14.25" x14ac:dyDescent="0.2">
      <c r="A186" s="56">
        <v>258</v>
      </c>
      <c r="B186" s="5" t="s">
        <v>1453</v>
      </c>
      <c r="C186" s="6" t="s">
        <v>1454</v>
      </c>
    </row>
    <row r="187" spans="1:3" ht="14.25" x14ac:dyDescent="0.2">
      <c r="A187" s="56">
        <v>259</v>
      </c>
      <c r="B187" s="5" t="s">
        <v>1455</v>
      </c>
      <c r="C187" s="6" t="s">
        <v>1456</v>
      </c>
    </row>
    <row r="188" spans="1:3" ht="14.25" x14ac:dyDescent="0.2">
      <c r="A188" s="56">
        <v>260</v>
      </c>
      <c r="B188" s="5" t="s">
        <v>461</v>
      </c>
      <c r="C188" s="6" t="s">
        <v>462</v>
      </c>
    </row>
    <row r="189" spans="1:3" ht="14.25" x14ac:dyDescent="0.2">
      <c r="A189" s="56">
        <v>261</v>
      </c>
      <c r="B189" s="5" t="s">
        <v>463</v>
      </c>
      <c r="C189" s="6" t="s">
        <v>464</v>
      </c>
    </row>
    <row r="190" spans="1:3" ht="14.25" x14ac:dyDescent="0.2">
      <c r="A190" s="56">
        <v>262</v>
      </c>
      <c r="B190" s="5" t="s">
        <v>1457</v>
      </c>
      <c r="C190" s="6" t="s">
        <v>1458</v>
      </c>
    </row>
    <row r="191" spans="1:3" ht="14.25" x14ac:dyDescent="0.2">
      <c r="A191" s="56">
        <v>523</v>
      </c>
      <c r="B191" s="5" t="s">
        <v>1459</v>
      </c>
      <c r="C191" s="9" t="s">
        <v>1460</v>
      </c>
    </row>
    <row r="192" spans="1:3" ht="14.25" x14ac:dyDescent="0.2">
      <c r="A192" s="56">
        <v>202</v>
      </c>
      <c r="B192" s="5" t="s">
        <v>1461</v>
      </c>
      <c r="C192" s="6" t="s">
        <v>1462</v>
      </c>
    </row>
    <row r="193" spans="1:3" ht="14.25" x14ac:dyDescent="0.2">
      <c r="A193" s="56">
        <v>203</v>
      </c>
      <c r="B193" s="5" t="s">
        <v>1463</v>
      </c>
      <c r="C193" s="9" t="s">
        <v>1464</v>
      </c>
    </row>
    <row r="194" spans="1:3" ht="14.25" x14ac:dyDescent="0.2">
      <c r="A194" s="56">
        <v>244</v>
      </c>
      <c r="B194" s="5" t="s">
        <v>465</v>
      </c>
      <c r="C194" s="7" t="s">
        <v>466</v>
      </c>
    </row>
    <row r="195" spans="1:3" ht="14.25" x14ac:dyDescent="0.2">
      <c r="A195" s="56">
        <v>204</v>
      </c>
      <c r="B195" s="5" t="s">
        <v>1465</v>
      </c>
      <c r="C195" s="7" t="s">
        <v>1466</v>
      </c>
    </row>
    <row r="196" spans="1:3" ht="14.25" x14ac:dyDescent="0.2">
      <c r="A196" s="56">
        <v>205</v>
      </c>
      <c r="B196" s="5" t="s">
        <v>1467</v>
      </c>
      <c r="C196" s="7" t="s">
        <v>1468</v>
      </c>
    </row>
    <row r="197" spans="1:3" ht="14.25" x14ac:dyDescent="0.2">
      <c r="A197" s="56">
        <v>206</v>
      </c>
      <c r="B197" s="5" t="s">
        <v>1469</v>
      </c>
      <c r="C197" s="6" t="s">
        <v>1470</v>
      </c>
    </row>
    <row r="198" spans="1:3" ht="14.25" x14ac:dyDescent="0.2">
      <c r="A198" s="56">
        <v>207</v>
      </c>
      <c r="B198" s="5" t="s">
        <v>467</v>
      </c>
      <c r="C198" s="6" t="s">
        <v>468</v>
      </c>
    </row>
    <row r="199" spans="1:3" ht="14.25" x14ac:dyDescent="0.2">
      <c r="A199" s="56">
        <v>208</v>
      </c>
      <c r="B199" s="5" t="s">
        <v>1471</v>
      </c>
      <c r="C199" s="6" t="s">
        <v>1472</v>
      </c>
    </row>
    <row r="200" spans="1:3" ht="14.25" x14ac:dyDescent="0.2">
      <c r="A200" s="56">
        <v>209</v>
      </c>
      <c r="B200" s="5" t="s">
        <v>1473</v>
      </c>
      <c r="C200" s="6" t="s">
        <v>1474</v>
      </c>
    </row>
    <row r="201" spans="1:3" ht="14.25" x14ac:dyDescent="0.2">
      <c r="A201" s="56">
        <v>210</v>
      </c>
      <c r="B201" s="5" t="s">
        <v>1475</v>
      </c>
      <c r="C201" s="6" t="s">
        <v>1476</v>
      </c>
    </row>
    <row r="202" spans="1:3" ht="14.25" x14ac:dyDescent="0.2">
      <c r="A202" s="56">
        <v>211</v>
      </c>
      <c r="B202" s="5" t="s">
        <v>469</v>
      </c>
      <c r="C202" s="6" t="s">
        <v>470</v>
      </c>
    </row>
    <row r="203" spans="1:3" ht="14.25" x14ac:dyDescent="0.2">
      <c r="A203" s="56">
        <v>212</v>
      </c>
      <c r="B203" s="5" t="s">
        <v>471</v>
      </c>
      <c r="C203" s="6" t="s">
        <v>472</v>
      </c>
    </row>
    <row r="204" spans="1:3" ht="14.25" x14ac:dyDescent="0.2">
      <c r="A204" s="56">
        <v>524</v>
      </c>
      <c r="B204" s="5" t="s">
        <v>1477</v>
      </c>
      <c r="C204" s="6" t="s">
        <v>1478</v>
      </c>
    </row>
    <row r="205" spans="1:3" ht="14.25" x14ac:dyDescent="0.2">
      <c r="A205" s="56">
        <v>213</v>
      </c>
      <c r="B205" s="5" t="s">
        <v>1479</v>
      </c>
      <c r="C205" s="6" t="s">
        <v>1480</v>
      </c>
    </row>
    <row r="206" spans="1:3" ht="14.25" x14ac:dyDescent="0.2">
      <c r="A206" s="56">
        <v>214</v>
      </c>
      <c r="B206" s="5" t="s">
        <v>1481</v>
      </c>
      <c r="C206" s="7" t="s">
        <v>1482</v>
      </c>
    </row>
    <row r="207" spans="1:3" ht="14.25" x14ac:dyDescent="0.2">
      <c r="A207" s="56">
        <v>215</v>
      </c>
      <c r="B207" s="5" t="s">
        <v>1483</v>
      </c>
      <c r="C207" s="6" t="s">
        <v>1484</v>
      </c>
    </row>
    <row r="208" spans="1:3" ht="14.25" x14ac:dyDescent="0.2">
      <c r="A208" s="56">
        <v>216</v>
      </c>
      <c r="B208" s="5" t="s">
        <v>1485</v>
      </c>
      <c r="C208" s="6" t="s">
        <v>1486</v>
      </c>
    </row>
    <row r="209" spans="1:3" ht="14.25" x14ac:dyDescent="0.2">
      <c r="A209" s="56">
        <v>218</v>
      </c>
      <c r="B209" s="5" t="s">
        <v>473</v>
      </c>
      <c r="C209" s="6" t="s">
        <v>474</v>
      </c>
    </row>
    <row r="210" spans="1:3" ht="14.25" x14ac:dyDescent="0.2">
      <c r="A210" s="56">
        <v>219</v>
      </c>
      <c r="B210" s="5" t="s">
        <v>1487</v>
      </c>
      <c r="C210" s="6" t="s">
        <v>1488</v>
      </c>
    </row>
    <row r="211" spans="1:3" ht="14.25" x14ac:dyDescent="0.2">
      <c r="A211" s="56">
        <v>220</v>
      </c>
      <c r="B211" s="5" t="s">
        <v>320</v>
      </c>
      <c r="C211" s="6" t="s">
        <v>321</v>
      </c>
    </row>
    <row r="212" spans="1:3" ht="14.25" x14ac:dyDescent="0.2">
      <c r="A212" s="56">
        <v>221</v>
      </c>
      <c r="B212" s="5" t="s">
        <v>1489</v>
      </c>
      <c r="C212" s="6" t="s">
        <v>1490</v>
      </c>
    </row>
    <row r="213" spans="1:3" ht="14.25" x14ac:dyDescent="0.2">
      <c r="A213" s="56">
        <v>222</v>
      </c>
      <c r="B213" s="5" t="s">
        <v>475</v>
      </c>
      <c r="C213" s="6" t="s">
        <v>1491</v>
      </c>
    </row>
    <row r="214" spans="1:3" ht="28.5" x14ac:dyDescent="0.2">
      <c r="A214" s="56">
        <v>263</v>
      </c>
      <c r="B214" s="5" t="s">
        <v>1492</v>
      </c>
      <c r="C214" s="6" t="s">
        <v>1493</v>
      </c>
    </row>
    <row r="215" spans="1:3" ht="28.5" x14ac:dyDescent="0.2">
      <c r="A215" s="56">
        <v>264</v>
      </c>
      <c r="B215" s="5" t="s">
        <v>1494</v>
      </c>
      <c r="C215" s="6" t="s">
        <v>1495</v>
      </c>
    </row>
    <row r="216" spans="1:3" ht="14.25" x14ac:dyDescent="0.2">
      <c r="A216" s="56">
        <v>49</v>
      </c>
      <c r="B216" s="5" t="s">
        <v>476</v>
      </c>
      <c r="C216" s="6" t="s">
        <v>477</v>
      </c>
    </row>
    <row r="217" spans="1:3" ht="14.25" x14ac:dyDescent="0.2">
      <c r="A217" s="56">
        <v>50</v>
      </c>
      <c r="B217" s="5" t="s">
        <v>478</v>
      </c>
      <c r="C217" s="6" t="s">
        <v>479</v>
      </c>
    </row>
    <row r="218" spans="1:3" ht="28.5" x14ac:dyDescent="0.2">
      <c r="A218" s="56">
        <v>51</v>
      </c>
      <c r="B218" s="5" t="s">
        <v>480</v>
      </c>
      <c r="C218" s="6" t="s">
        <v>481</v>
      </c>
    </row>
    <row r="219" spans="1:3" ht="14.25" x14ac:dyDescent="0.2">
      <c r="A219" s="56">
        <v>223</v>
      </c>
      <c r="B219" s="5" t="s">
        <v>1496</v>
      </c>
      <c r="C219" s="7" t="s">
        <v>1497</v>
      </c>
    </row>
    <row r="220" spans="1:3" ht="14.25" x14ac:dyDescent="0.2">
      <c r="A220" s="56">
        <v>224</v>
      </c>
      <c r="B220" s="5" t="s">
        <v>482</v>
      </c>
      <c r="C220" s="7" t="s">
        <v>483</v>
      </c>
    </row>
    <row r="221" spans="1:3" ht="14.25" x14ac:dyDescent="0.2">
      <c r="A221" s="56">
        <v>225</v>
      </c>
      <c r="B221" s="5" t="s">
        <v>484</v>
      </c>
      <c r="C221" s="6" t="s">
        <v>485</v>
      </c>
    </row>
    <row r="222" spans="1:3" ht="14.25" x14ac:dyDescent="0.2">
      <c r="A222" s="56">
        <v>226</v>
      </c>
      <c r="B222" s="5" t="s">
        <v>486</v>
      </c>
      <c r="C222" s="6" t="s">
        <v>487</v>
      </c>
    </row>
    <row r="223" spans="1:3" ht="14.25" x14ac:dyDescent="0.2">
      <c r="A223" s="56">
        <v>227</v>
      </c>
      <c r="B223" s="5">
        <v>227</v>
      </c>
      <c r="C223" s="6" t="s">
        <v>1498</v>
      </c>
    </row>
    <row r="224" spans="1:3" ht="28.5" x14ac:dyDescent="0.2">
      <c r="A224" s="56">
        <v>357</v>
      </c>
      <c r="B224" s="5" t="s">
        <v>1499</v>
      </c>
      <c r="C224" s="6" t="s">
        <v>1500</v>
      </c>
    </row>
    <row r="225" spans="1:3" ht="14.25" x14ac:dyDescent="0.2">
      <c r="A225" s="56">
        <v>228</v>
      </c>
      <c r="B225" s="5" t="s">
        <v>488</v>
      </c>
      <c r="C225" s="6" t="s">
        <v>489</v>
      </c>
    </row>
    <row r="226" spans="1:3" ht="14.25" x14ac:dyDescent="0.2">
      <c r="A226" s="56">
        <v>229</v>
      </c>
      <c r="B226" s="5" t="s">
        <v>255</v>
      </c>
      <c r="C226" s="6" t="s">
        <v>256</v>
      </c>
    </row>
    <row r="227" spans="1:3" ht="14.25" x14ac:dyDescent="0.2">
      <c r="A227" s="56">
        <v>231</v>
      </c>
      <c r="B227" s="5" t="s">
        <v>1188</v>
      </c>
      <c r="C227" s="6" t="s">
        <v>1189</v>
      </c>
    </row>
    <row r="228" spans="1:3" ht="14.25" x14ac:dyDescent="0.2">
      <c r="A228" s="56">
        <v>232</v>
      </c>
      <c r="B228" s="5" t="s">
        <v>490</v>
      </c>
      <c r="C228" s="6" t="s">
        <v>1501</v>
      </c>
    </row>
    <row r="229" spans="1:3" ht="14.25" x14ac:dyDescent="0.2">
      <c r="A229" s="56">
        <v>233</v>
      </c>
      <c r="B229" s="5" t="s">
        <v>491</v>
      </c>
      <c r="C229" s="6" t="s">
        <v>1502</v>
      </c>
    </row>
    <row r="230" spans="1:3" ht="14.25" x14ac:dyDescent="0.2">
      <c r="A230" s="56">
        <v>234</v>
      </c>
      <c r="B230" s="5" t="s">
        <v>324</v>
      </c>
      <c r="C230" s="6" t="s">
        <v>325</v>
      </c>
    </row>
    <row r="231" spans="1:3" ht="14.25" x14ac:dyDescent="0.2">
      <c r="A231" s="56">
        <v>265</v>
      </c>
      <c r="B231" s="5" t="s">
        <v>1503</v>
      </c>
      <c r="C231" s="6" t="s">
        <v>1504</v>
      </c>
    </row>
    <row r="232" spans="1:3" ht="14.25" x14ac:dyDescent="0.2">
      <c r="A232" s="56">
        <v>266</v>
      </c>
      <c r="B232" s="5" t="s">
        <v>1505</v>
      </c>
      <c r="C232" s="6" t="s">
        <v>1506</v>
      </c>
    </row>
    <row r="233" spans="1:3" ht="14.25" x14ac:dyDescent="0.2">
      <c r="A233" s="56">
        <v>267</v>
      </c>
      <c r="B233" s="5" t="s">
        <v>492</v>
      </c>
      <c r="C233" s="6" t="s">
        <v>493</v>
      </c>
    </row>
    <row r="234" spans="1:3" ht="14.25" x14ac:dyDescent="0.2">
      <c r="A234" s="56">
        <v>268</v>
      </c>
      <c r="B234" s="5" t="s">
        <v>494</v>
      </c>
      <c r="C234" s="6" t="s">
        <v>495</v>
      </c>
    </row>
    <row r="235" spans="1:3" ht="14.25" x14ac:dyDescent="0.2">
      <c r="A235" s="56">
        <v>269</v>
      </c>
      <c r="B235" s="5" t="s">
        <v>496</v>
      </c>
      <c r="C235" s="6" t="s">
        <v>497</v>
      </c>
    </row>
    <row r="236" spans="1:3" ht="14.25" x14ac:dyDescent="0.2">
      <c r="A236" s="56">
        <v>270</v>
      </c>
      <c r="B236" s="5" t="s">
        <v>498</v>
      </c>
      <c r="C236" s="6" t="s">
        <v>499</v>
      </c>
    </row>
    <row r="237" spans="1:3" ht="14.25" x14ac:dyDescent="0.2">
      <c r="A237" s="56">
        <v>271</v>
      </c>
      <c r="B237" s="5" t="s">
        <v>500</v>
      </c>
      <c r="C237" s="6" t="s">
        <v>501</v>
      </c>
    </row>
    <row r="238" spans="1:3" ht="14.25" x14ac:dyDescent="0.2">
      <c r="A238" s="56">
        <v>272</v>
      </c>
      <c r="B238" s="5" t="s">
        <v>1507</v>
      </c>
      <c r="C238" s="6" t="s">
        <v>1508</v>
      </c>
    </row>
    <row r="239" spans="1:3" ht="14.25" x14ac:dyDescent="0.2">
      <c r="A239" s="56">
        <v>235</v>
      </c>
      <c r="B239" s="5" t="s">
        <v>1509</v>
      </c>
      <c r="C239" s="6" t="s">
        <v>1510</v>
      </c>
    </row>
    <row r="240" spans="1:3" ht="14.25" x14ac:dyDescent="0.2">
      <c r="A240" s="56">
        <v>236</v>
      </c>
      <c r="B240" s="5" t="s">
        <v>502</v>
      </c>
      <c r="C240" s="6" t="s">
        <v>503</v>
      </c>
    </row>
    <row r="241" spans="1:3" ht="14.25" x14ac:dyDescent="0.2">
      <c r="A241" s="56">
        <v>237</v>
      </c>
      <c r="B241" s="5" t="s">
        <v>504</v>
      </c>
      <c r="C241" s="6" t="s">
        <v>505</v>
      </c>
    </row>
    <row r="242" spans="1:3" ht="28.5" x14ac:dyDescent="0.2">
      <c r="A242" s="56">
        <v>238</v>
      </c>
      <c r="B242" s="5" t="s">
        <v>1511</v>
      </c>
      <c r="C242" s="7" t="s">
        <v>1512</v>
      </c>
    </row>
    <row r="243" spans="1:3" ht="14.25" x14ac:dyDescent="0.2">
      <c r="A243" s="56">
        <v>239</v>
      </c>
      <c r="B243" s="5">
        <v>239</v>
      </c>
      <c r="C243" s="6" t="s">
        <v>1</v>
      </c>
    </row>
    <row r="244" spans="1:3" ht="14.25" x14ac:dyDescent="0.2">
      <c r="A244" s="56">
        <v>241</v>
      </c>
      <c r="B244" s="5" t="s">
        <v>332</v>
      </c>
      <c r="C244" s="7" t="s">
        <v>506</v>
      </c>
    </row>
    <row r="245" spans="1:3" ht="14.25" x14ac:dyDescent="0.2">
      <c r="A245" s="56">
        <v>250</v>
      </c>
      <c r="B245" s="5" t="s">
        <v>237</v>
      </c>
      <c r="C245" s="6" t="s">
        <v>238</v>
      </c>
    </row>
    <row r="246" spans="1:3" ht="14.25" x14ac:dyDescent="0.2">
      <c r="A246" s="56">
        <v>251</v>
      </c>
      <c r="B246" s="5" t="s">
        <v>1513</v>
      </c>
      <c r="C246" s="6" t="s">
        <v>1514</v>
      </c>
    </row>
    <row r="247" spans="1:3" ht="28.5" x14ac:dyDescent="0.2">
      <c r="A247" s="56">
        <v>252</v>
      </c>
      <c r="B247" s="5" t="s">
        <v>1515</v>
      </c>
      <c r="C247" s="7" t="s">
        <v>1516</v>
      </c>
    </row>
    <row r="248" spans="1:3" ht="14.25" x14ac:dyDescent="0.2">
      <c r="A248" s="56">
        <v>253</v>
      </c>
      <c r="B248" s="5" t="s">
        <v>1517</v>
      </c>
      <c r="C248" s="7" t="s">
        <v>1518</v>
      </c>
    </row>
    <row r="249" spans="1:3" ht="14.25" x14ac:dyDescent="0.2">
      <c r="A249" s="56">
        <v>352</v>
      </c>
      <c r="B249" s="5">
        <v>352</v>
      </c>
      <c r="C249" s="6" t="s">
        <v>1519</v>
      </c>
    </row>
    <row r="250" spans="1:3" ht="14.25" x14ac:dyDescent="0.2">
      <c r="A250" s="56">
        <v>254</v>
      </c>
      <c r="B250" s="5" t="s">
        <v>507</v>
      </c>
      <c r="C250" s="6" t="s">
        <v>508</v>
      </c>
    </row>
    <row r="251" spans="1:3" ht="28.5" x14ac:dyDescent="0.2">
      <c r="A251" s="56">
        <v>255</v>
      </c>
      <c r="B251" s="5" t="s">
        <v>1520</v>
      </c>
      <c r="C251" s="7" t="s">
        <v>1521</v>
      </c>
    </row>
    <row r="252" spans="1:3" ht="28.5" x14ac:dyDescent="0.2">
      <c r="A252" s="56">
        <v>256</v>
      </c>
      <c r="B252" s="5" t="s">
        <v>1522</v>
      </c>
      <c r="C252" s="7" t="s">
        <v>1523</v>
      </c>
    </row>
    <row r="253" spans="1:3" ht="28.5" x14ac:dyDescent="0.2">
      <c r="A253" s="56">
        <v>276</v>
      </c>
      <c r="B253" s="5" t="s">
        <v>1524</v>
      </c>
      <c r="C253" s="7" t="s">
        <v>1525</v>
      </c>
    </row>
    <row r="254" spans="1:3" ht="14.25" x14ac:dyDescent="0.2">
      <c r="A254" s="56">
        <v>277</v>
      </c>
      <c r="B254" s="5" t="s">
        <v>1526</v>
      </c>
      <c r="C254" s="7" t="s">
        <v>1527</v>
      </c>
    </row>
    <row r="255" spans="1:3" ht="14.25" x14ac:dyDescent="0.2">
      <c r="A255" s="56">
        <v>278</v>
      </c>
      <c r="B255" s="5" t="s">
        <v>509</v>
      </c>
      <c r="C255" s="6" t="s">
        <v>510</v>
      </c>
    </row>
    <row r="256" spans="1:3" ht="14.25" x14ac:dyDescent="0.2">
      <c r="A256" s="56">
        <v>279</v>
      </c>
      <c r="B256" s="5" t="s">
        <v>511</v>
      </c>
      <c r="C256" s="7" t="s">
        <v>512</v>
      </c>
    </row>
    <row r="257" spans="1:3" ht="14.25" x14ac:dyDescent="0.2">
      <c r="A257" s="56">
        <v>280</v>
      </c>
      <c r="B257" s="5" t="s">
        <v>513</v>
      </c>
      <c r="C257" s="6" t="s">
        <v>514</v>
      </c>
    </row>
    <row r="258" spans="1:3" ht="14.25" x14ac:dyDescent="0.2">
      <c r="A258" s="56">
        <v>281</v>
      </c>
      <c r="B258" s="5" t="s">
        <v>515</v>
      </c>
      <c r="C258" s="6" t="s">
        <v>516</v>
      </c>
    </row>
    <row r="259" spans="1:3" ht="28.5" x14ac:dyDescent="0.2">
      <c r="A259" s="56">
        <v>282</v>
      </c>
      <c r="B259" s="5" t="s">
        <v>517</v>
      </c>
      <c r="C259" s="6" t="s">
        <v>518</v>
      </c>
    </row>
    <row r="260" spans="1:3" ht="14.25" x14ac:dyDescent="0.2">
      <c r="A260" s="56">
        <v>283</v>
      </c>
      <c r="B260" s="5" t="s">
        <v>519</v>
      </c>
      <c r="C260" s="6" t="s">
        <v>1528</v>
      </c>
    </row>
    <row r="261" spans="1:3" ht="14.25" x14ac:dyDescent="0.2">
      <c r="A261" s="56">
        <v>284</v>
      </c>
      <c r="B261" s="5" t="s">
        <v>520</v>
      </c>
      <c r="C261" s="6" t="s">
        <v>1529</v>
      </c>
    </row>
    <row r="262" spans="1:3" ht="14.25" x14ac:dyDescent="0.2">
      <c r="A262" s="56">
        <v>285</v>
      </c>
      <c r="B262" s="5" t="s">
        <v>521</v>
      </c>
      <c r="C262" s="6" t="s">
        <v>1530</v>
      </c>
    </row>
    <row r="263" spans="1:3" ht="14.25" x14ac:dyDescent="0.2">
      <c r="A263" s="56">
        <v>286</v>
      </c>
      <c r="B263" s="5" t="s">
        <v>522</v>
      </c>
      <c r="C263" s="6" t="s">
        <v>523</v>
      </c>
    </row>
    <row r="264" spans="1:3" ht="14.25" x14ac:dyDescent="0.2">
      <c r="A264" s="56">
        <v>287</v>
      </c>
      <c r="B264" s="5" t="s">
        <v>524</v>
      </c>
      <c r="C264" s="6" t="s">
        <v>525</v>
      </c>
    </row>
    <row r="265" spans="1:3" ht="14.25" x14ac:dyDescent="0.2">
      <c r="A265" s="56">
        <v>288</v>
      </c>
      <c r="B265" s="5" t="s">
        <v>1531</v>
      </c>
      <c r="C265" s="6" t="s">
        <v>1532</v>
      </c>
    </row>
    <row r="266" spans="1:3" ht="14.25" x14ac:dyDescent="0.2">
      <c r="A266" s="56">
        <v>297</v>
      </c>
      <c r="B266" s="5" t="s">
        <v>526</v>
      </c>
      <c r="C266" s="6" t="s">
        <v>1194</v>
      </c>
    </row>
    <row r="267" spans="1:3" ht="14.25" x14ac:dyDescent="0.2">
      <c r="A267" s="56">
        <v>289</v>
      </c>
      <c r="B267" s="5" t="s">
        <v>257</v>
      </c>
      <c r="C267" s="6" t="s">
        <v>258</v>
      </c>
    </row>
    <row r="268" spans="1:3" ht="14.25" x14ac:dyDescent="0.2">
      <c r="A268" s="56">
        <v>290</v>
      </c>
      <c r="B268" s="5" t="s">
        <v>527</v>
      </c>
      <c r="C268" s="6" t="s">
        <v>528</v>
      </c>
    </row>
    <row r="269" spans="1:3" ht="28.5" x14ac:dyDescent="0.2">
      <c r="A269" s="56">
        <v>291</v>
      </c>
      <c r="B269" s="5" t="s">
        <v>1533</v>
      </c>
      <c r="C269" s="7" t="s">
        <v>1534</v>
      </c>
    </row>
    <row r="270" spans="1:3" ht="14.25" x14ac:dyDescent="0.2">
      <c r="A270" s="56">
        <v>292</v>
      </c>
      <c r="B270" s="5" t="s">
        <v>259</v>
      </c>
      <c r="C270" s="6" t="s">
        <v>260</v>
      </c>
    </row>
    <row r="271" spans="1:3" ht="28.5" x14ac:dyDescent="0.2">
      <c r="A271" s="56">
        <v>69</v>
      </c>
      <c r="B271" s="5" t="s">
        <v>334</v>
      </c>
      <c r="C271" s="6" t="s">
        <v>335</v>
      </c>
    </row>
    <row r="272" spans="1:3" ht="14.25" x14ac:dyDescent="0.2">
      <c r="A272" s="56">
        <v>240</v>
      </c>
      <c r="B272" s="5" t="s">
        <v>292</v>
      </c>
      <c r="C272" s="6" t="s">
        <v>529</v>
      </c>
    </row>
    <row r="273" spans="1:3" ht="14.25" x14ac:dyDescent="0.2">
      <c r="A273" s="56">
        <v>293</v>
      </c>
      <c r="B273" s="8" t="s">
        <v>530</v>
      </c>
      <c r="C273" s="6" t="s">
        <v>531</v>
      </c>
    </row>
    <row r="274" spans="1:3" ht="14.25" x14ac:dyDescent="0.2">
      <c r="A274" s="56">
        <v>294</v>
      </c>
      <c r="B274" s="5" t="s">
        <v>1535</v>
      </c>
      <c r="C274" s="6" t="s">
        <v>1536</v>
      </c>
    </row>
    <row r="275" spans="1:3" ht="28.5" x14ac:dyDescent="0.2">
      <c r="A275" s="56">
        <v>570</v>
      </c>
      <c r="B275" s="5" t="s">
        <v>1537</v>
      </c>
      <c r="C275" s="6" t="s">
        <v>1538</v>
      </c>
    </row>
    <row r="276" spans="1:3" ht="28.5" x14ac:dyDescent="0.2">
      <c r="A276" s="56">
        <v>295</v>
      </c>
      <c r="B276" s="5" t="s">
        <v>1539</v>
      </c>
      <c r="C276" s="6" t="s">
        <v>1540</v>
      </c>
    </row>
    <row r="277" spans="1:3" ht="14.25" x14ac:dyDescent="0.2">
      <c r="A277" s="56">
        <v>300</v>
      </c>
      <c r="B277" s="5" t="s">
        <v>532</v>
      </c>
      <c r="C277" s="6" t="s">
        <v>533</v>
      </c>
    </row>
    <row r="278" spans="1:3" ht="14.25" x14ac:dyDescent="0.2">
      <c r="A278" s="56">
        <v>301</v>
      </c>
      <c r="B278" s="5" t="s">
        <v>1195</v>
      </c>
      <c r="C278" s="6" t="s">
        <v>1196</v>
      </c>
    </row>
    <row r="279" spans="1:3" ht="14.25" x14ac:dyDescent="0.2">
      <c r="A279" s="56">
        <v>302</v>
      </c>
      <c r="B279" s="5" t="s">
        <v>294</v>
      </c>
      <c r="C279" s="6" t="s">
        <v>295</v>
      </c>
    </row>
    <row r="280" spans="1:3" ht="14.25" x14ac:dyDescent="0.2">
      <c r="A280" s="56">
        <v>157</v>
      </c>
      <c r="B280" s="5" t="s">
        <v>534</v>
      </c>
      <c r="C280" s="6" t="s">
        <v>1541</v>
      </c>
    </row>
    <row r="281" spans="1:3" ht="14.25" x14ac:dyDescent="0.2">
      <c r="A281" s="56">
        <v>303</v>
      </c>
      <c r="B281" s="5" t="s">
        <v>1542</v>
      </c>
      <c r="C281" s="6" t="s">
        <v>1543</v>
      </c>
    </row>
    <row r="282" spans="1:3" ht="14.25" x14ac:dyDescent="0.2">
      <c r="A282" s="56">
        <v>304</v>
      </c>
      <c r="B282" s="5" t="s">
        <v>1544</v>
      </c>
      <c r="C282" s="7" t="s">
        <v>1545</v>
      </c>
    </row>
    <row r="283" spans="1:3" ht="14.25" x14ac:dyDescent="0.2">
      <c r="A283" s="56">
        <v>305</v>
      </c>
      <c r="B283" s="5" t="s">
        <v>241</v>
      </c>
      <c r="C283" s="6" t="s">
        <v>242</v>
      </c>
    </row>
    <row r="284" spans="1:3" ht="28.5" x14ac:dyDescent="0.2">
      <c r="A284" s="56">
        <v>306</v>
      </c>
      <c r="B284" s="5" t="s">
        <v>1546</v>
      </c>
      <c r="C284" s="7" t="s">
        <v>1547</v>
      </c>
    </row>
    <row r="285" spans="1:3" ht="14.25" x14ac:dyDescent="0.2">
      <c r="A285" s="56">
        <v>311</v>
      </c>
      <c r="B285" s="5" t="s">
        <v>535</v>
      </c>
      <c r="C285" s="6" t="s">
        <v>536</v>
      </c>
    </row>
    <row r="286" spans="1:3" ht="14.25" x14ac:dyDescent="0.2">
      <c r="A286" s="56">
        <v>312</v>
      </c>
      <c r="B286" s="5" t="s">
        <v>261</v>
      </c>
      <c r="C286" s="6" t="s">
        <v>262</v>
      </c>
    </row>
    <row r="287" spans="1:3" ht="14.25" x14ac:dyDescent="0.2">
      <c r="A287" s="56">
        <v>314</v>
      </c>
      <c r="B287" s="5" t="s">
        <v>1548</v>
      </c>
      <c r="C287" s="7" t="s">
        <v>1549</v>
      </c>
    </row>
    <row r="288" spans="1:3" ht="14.25" x14ac:dyDescent="0.2">
      <c r="A288" s="56">
        <v>315</v>
      </c>
      <c r="B288" s="8" t="s">
        <v>1550</v>
      </c>
      <c r="C288" s="7" t="s">
        <v>1551</v>
      </c>
    </row>
    <row r="289" spans="1:3" ht="14.25" x14ac:dyDescent="0.2">
      <c r="A289" s="56">
        <v>316</v>
      </c>
      <c r="B289" s="5" t="s">
        <v>263</v>
      </c>
      <c r="C289" s="6" t="s">
        <v>264</v>
      </c>
    </row>
    <row r="290" spans="1:3" ht="14.25" x14ac:dyDescent="0.2">
      <c r="A290" s="56">
        <v>320</v>
      </c>
      <c r="B290" s="5" t="s">
        <v>1552</v>
      </c>
      <c r="C290" s="7" t="s">
        <v>1553</v>
      </c>
    </row>
    <row r="291" spans="1:3" ht="14.25" x14ac:dyDescent="0.2">
      <c r="A291" s="56">
        <v>319</v>
      </c>
      <c r="B291" s="5" t="s">
        <v>1554</v>
      </c>
      <c r="C291" s="6" t="s">
        <v>1555</v>
      </c>
    </row>
    <row r="292" spans="1:3" ht="28.5" x14ac:dyDescent="0.2">
      <c r="A292" s="56">
        <v>638</v>
      </c>
      <c r="B292" s="5" t="s">
        <v>1556</v>
      </c>
      <c r="C292" s="6" t="s">
        <v>1557</v>
      </c>
    </row>
    <row r="293" spans="1:3" ht="14.25" x14ac:dyDescent="0.2">
      <c r="A293" s="56">
        <v>321</v>
      </c>
      <c r="B293" s="5" t="s">
        <v>326</v>
      </c>
      <c r="C293" s="6" t="s">
        <v>327</v>
      </c>
    </row>
    <row r="294" spans="1:3" ht="14.25" x14ac:dyDescent="0.2">
      <c r="A294" s="56">
        <v>322</v>
      </c>
      <c r="B294" s="5" t="s">
        <v>1558</v>
      </c>
      <c r="C294" s="6" t="s">
        <v>1559</v>
      </c>
    </row>
    <row r="295" spans="1:3" ht="28.5" x14ac:dyDescent="0.2">
      <c r="A295" s="5">
        <v>323</v>
      </c>
      <c r="B295" s="5" t="s">
        <v>1560</v>
      </c>
      <c r="C295" s="7" t="s">
        <v>1561</v>
      </c>
    </row>
    <row r="296" spans="1:3" ht="14.25" x14ac:dyDescent="0.2">
      <c r="A296" s="56">
        <v>327</v>
      </c>
      <c r="B296" s="5" t="s">
        <v>537</v>
      </c>
      <c r="C296" s="6" t="s">
        <v>1562</v>
      </c>
    </row>
    <row r="297" spans="1:3" ht="14.25" x14ac:dyDescent="0.2">
      <c r="A297" s="56">
        <v>329</v>
      </c>
      <c r="B297" s="5" t="s">
        <v>538</v>
      </c>
      <c r="C297" s="6" t="s">
        <v>539</v>
      </c>
    </row>
    <row r="298" spans="1:3" ht="28.5" x14ac:dyDescent="0.2">
      <c r="A298" s="56">
        <v>330</v>
      </c>
      <c r="B298" s="5" t="s">
        <v>1563</v>
      </c>
      <c r="C298" s="7" t="s">
        <v>1564</v>
      </c>
    </row>
    <row r="299" spans="1:3" ht="14.25" x14ac:dyDescent="0.2">
      <c r="A299" s="56">
        <v>331</v>
      </c>
      <c r="B299" s="5" t="s">
        <v>1565</v>
      </c>
      <c r="C299" s="7" t="s">
        <v>1566</v>
      </c>
    </row>
    <row r="300" spans="1:3" ht="14.25" x14ac:dyDescent="0.2">
      <c r="A300" s="56">
        <v>332</v>
      </c>
      <c r="B300" s="5" t="s">
        <v>1567</v>
      </c>
      <c r="C300" s="7" t="s">
        <v>1568</v>
      </c>
    </row>
    <row r="301" spans="1:3" ht="14.25" x14ac:dyDescent="0.2">
      <c r="A301" s="56">
        <v>298</v>
      </c>
      <c r="B301" s="5" t="s">
        <v>540</v>
      </c>
      <c r="C301" s="6" t="s">
        <v>541</v>
      </c>
    </row>
    <row r="302" spans="1:3" ht="14.25" x14ac:dyDescent="0.2">
      <c r="A302" s="56">
        <v>334</v>
      </c>
      <c r="B302" s="5" t="s">
        <v>1199</v>
      </c>
      <c r="C302" s="6" t="s">
        <v>1200</v>
      </c>
    </row>
    <row r="303" spans="1:3" ht="14.25" x14ac:dyDescent="0.2">
      <c r="A303" s="56">
        <v>335</v>
      </c>
      <c r="B303" s="5" t="s">
        <v>1569</v>
      </c>
      <c r="C303" s="7" t="s">
        <v>1570</v>
      </c>
    </row>
    <row r="304" spans="1:3" ht="14.25" x14ac:dyDescent="0.2">
      <c r="A304" s="56">
        <v>336</v>
      </c>
      <c r="B304" s="5" t="s">
        <v>1571</v>
      </c>
      <c r="C304" s="6" t="s">
        <v>1572</v>
      </c>
    </row>
    <row r="305" spans="1:3" ht="14.25" x14ac:dyDescent="0.2">
      <c r="A305" s="56">
        <v>337</v>
      </c>
      <c r="B305" s="5" t="s">
        <v>542</v>
      </c>
      <c r="C305" s="6" t="s">
        <v>1573</v>
      </c>
    </row>
    <row r="306" spans="1:3" ht="14.25" x14ac:dyDescent="0.2">
      <c r="A306" s="56">
        <v>299</v>
      </c>
      <c r="B306" s="5" t="s">
        <v>543</v>
      </c>
      <c r="C306" s="6" t="s">
        <v>544</v>
      </c>
    </row>
    <row r="307" spans="1:3" ht="14.25" x14ac:dyDescent="0.2">
      <c r="A307" s="56">
        <v>338</v>
      </c>
      <c r="B307" s="5" t="s">
        <v>1201</v>
      </c>
      <c r="C307" s="6" t="s">
        <v>1202</v>
      </c>
    </row>
    <row r="308" spans="1:3" ht="14.25" x14ac:dyDescent="0.2">
      <c r="A308" s="56">
        <v>339</v>
      </c>
      <c r="B308" s="5" t="s">
        <v>545</v>
      </c>
      <c r="C308" s="6" t="s">
        <v>546</v>
      </c>
    </row>
    <row r="309" spans="1:3" ht="14.25" x14ac:dyDescent="0.2">
      <c r="A309" s="56">
        <v>340</v>
      </c>
      <c r="B309" s="5" t="s">
        <v>1574</v>
      </c>
      <c r="C309" s="7" t="s">
        <v>1575</v>
      </c>
    </row>
    <row r="310" spans="1:3" ht="14.25" x14ac:dyDescent="0.2">
      <c r="A310" s="56">
        <v>341</v>
      </c>
      <c r="B310" s="5" t="s">
        <v>1576</v>
      </c>
      <c r="C310" s="7" t="s">
        <v>1577</v>
      </c>
    </row>
    <row r="311" spans="1:3" ht="14.25" x14ac:dyDescent="0.2">
      <c r="A311" s="56">
        <v>342</v>
      </c>
      <c r="B311" s="5" t="s">
        <v>1578</v>
      </c>
      <c r="C311" s="7" t="s">
        <v>1579</v>
      </c>
    </row>
    <row r="312" spans="1:3" ht="14.25" x14ac:dyDescent="0.2">
      <c r="A312" s="56">
        <v>343</v>
      </c>
      <c r="B312" s="5" t="s">
        <v>1580</v>
      </c>
      <c r="C312" s="11" t="s">
        <v>1581</v>
      </c>
    </row>
    <row r="313" spans="1:3" ht="14.25" x14ac:dyDescent="0.2">
      <c r="A313" s="56">
        <v>344</v>
      </c>
      <c r="B313" s="5" t="s">
        <v>1582</v>
      </c>
      <c r="C313" s="11" t="s">
        <v>1583</v>
      </c>
    </row>
    <row r="314" spans="1:3" ht="14.25" x14ac:dyDescent="0.2">
      <c r="A314" s="56">
        <v>345</v>
      </c>
      <c r="B314" s="5" t="s">
        <v>1584</v>
      </c>
      <c r="C314" s="6" t="s">
        <v>1585</v>
      </c>
    </row>
    <row r="315" spans="1:3" ht="14.25" x14ac:dyDescent="0.2">
      <c r="A315" s="56">
        <v>346</v>
      </c>
      <c r="B315" s="5" t="s">
        <v>547</v>
      </c>
      <c r="C315" s="6" t="s">
        <v>1586</v>
      </c>
    </row>
    <row r="316" spans="1:3" ht="14.25" x14ac:dyDescent="0.2">
      <c r="A316" s="56">
        <v>347</v>
      </c>
      <c r="B316" s="5" t="s">
        <v>1587</v>
      </c>
      <c r="C316" s="7" t="s">
        <v>1588</v>
      </c>
    </row>
    <row r="317" spans="1:3" ht="14.25" x14ac:dyDescent="0.2">
      <c r="A317" s="56">
        <v>348</v>
      </c>
      <c r="B317" s="5" t="s">
        <v>548</v>
      </c>
      <c r="C317" s="6" t="s">
        <v>549</v>
      </c>
    </row>
    <row r="318" spans="1:3" ht="57" x14ac:dyDescent="0.2">
      <c r="A318" s="5">
        <v>349</v>
      </c>
      <c r="B318" s="5">
        <v>349</v>
      </c>
      <c r="C318" s="6" t="s">
        <v>1589</v>
      </c>
    </row>
    <row r="319" spans="1:3" ht="71.25" x14ac:dyDescent="0.2">
      <c r="A319" s="5">
        <v>350</v>
      </c>
      <c r="B319" s="5">
        <v>350</v>
      </c>
      <c r="C319" s="6" t="s">
        <v>1590</v>
      </c>
    </row>
    <row r="320" spans="1:3" ht="14.25" x14ac:dyDescent="0.2">
      <c r="A320" s="56">
        <v>359</v>
      </c>
      <c r="B320" s="5" t="s">
        <v>1203</v>
      </c>
      <c r="C320" s="7" t="s">
        <v>1204</v>
      </c>
    </row>
    <row r="321" spans="1:3" ht="14.25" x14ac:dyDescent="0.2">
      <c r="A321" s="56">
        <v>360</v>
      </c>
      <c r="B321" s="5" t="s">
        <v>1591</v>
      </c>
      <c r="C321" s="7" t="s">
        <v>1592</v>
      </c>
    </row>
    <row r="322" spans="1:3" ht="14.25" x14ac:dyDescent="0.2">
      <c r="A322" s="56">
        <v>361</v>
      </c>
      <c r="B322" s="5" t="s">
        <v>281</v>
      </c>
      <c r="C322" s="6" t="s">
        <v>282</v>
      </c>
    </row>
    <row r="323" spans="1:3" ht="14.25" x14ac:dyDescent="0.2">
      <c r="A323" s="56">
        <v>362</v>
      </c>
      <c r="B323" s="5" t="s">
        <v>1593</v>
      </c>
      <c r="C323" s="7" t="s">
        <v>1594</v>
      </c>
    </row>
    <row r="324" spans="1:3" ht="14.25" x14ac:dyDescent="0.2">
      <c r="A324" s="56">
        <v>363</v>
      </c>
      <c r="B324" s="5" t="s">
        <v>1595</v>
      </c>
      <c r="C324" s="7" t="s">
        <v>1596</v>
      </c>
    </row>
    <row r="325" spans="1:3" ht="14.25" x14ac:dyDescent="0.2">
      <c r="A325" s="56">
        <v>428</v>
      </c>
      <c r="B325" s="5" t="s">
        <v>244</v>
      </c>
      <c r="C325" s="6" t="s">
        <v>245</v>
      </c>
    </row>
    <row r="326" spans="1:3" ht="14.25" x14ac:dyDescent="0.2">
      <c r="A326" s="56">
        <v>364</v>
      </c>
      <c r="B326" s="5" t="s">
        <v>550</v>
      </c>
      <c r="C326" s="6" t="s">
        <v>1119</v>
      </c>
    </row>
    <row r="327" spans="1:3" ht="14.25" x14ac:dyDescent="0.2">
      <c r="A327" s="56">
        <v>365</v>
      </c>
      <c r="B327" s="5">
        <v>365</v>
      </c>
      <c r="C327" s="6" t="s">
        <v>243</v>
      </c>
    </row>
    <row r="328" spans="1:3" ht="14.25" x14ac:dyDescent="0.2">
      <c r="A328" s="56">
        <v>366</v>
      </c>
      <c r="B328" s="5" t="s">
        <v>1205</v>
      </c>
      <c r="C328" s="6" t="s">
        <v>1206</v>
      </c>
    </row>
    <row r="329" spans="1:3" ht="28.5" x14ac:dyDescent="0.2">
      <c r="A329" s="56">
        <v>367</v>
      </c>
      <c r="B329" s="5" t="s">
        <v>1597</v>
      </c>
      <c r="C329" s="6" t="s">
        <v>1598</v>
      </c>
    </row>
    <row r="330" spans="1:3" ht="28.5" x14ac:dyDescent="0.2">
      <c r="A330" s="56">
        <v>639</v>
      </c>
      <c r="B330" s="5" t="s">
        <v>1599</v>
      </c>
      <c r="C330" s="6" t="s">
        <v>1600</v>
      </c>
    </row>
    <row r="331" spans="1:3" ht="14.25" x14ac:dyDescent="0.2">
      <c r="A331" s="56">
        <v>368</v>
      </c>
      <c r="B331" s="5">
        <v>368</v>
      </c>
      <c r="C331" s="6" t="s">
        <v>551</v>
      </c>
    </row>
    <row r="332" spans="1:3" ht="14.25" x14ac:dyDescent="0.2">
      <c r="A332" s="56">
        <v>369</v>
      </c>
      <c r="B332" s="5" t="s">
        <v>1601</v>
      </c>
      <c r="C332" s="6" t="s">
        <v>1602</v>
      </c>
    </row>
    <row r="333" spans="1:3" ht="14.25" x14ac:dyDescent="0.2">
      <c r="A333" s="56">
        <v>370</v>
      </c>
      <c r="B333" s="5" t="s">
        <v>1603</v>
      </c>
      <c r="C333" s="6" t="s">
        <v>1604</v>
      </c>
    </row>
    <row r="334" spans="1:3" ht="28.5" x14ac:dyDescent="0.2">
      <c r="A334" s="56">
        <v>640</v>
      </c>
      <c r="B334" s="5" t="s">
        <v>1605</v>
      </c>
      <c r="C334" s="6" t="s">
        <v>1606</v>
      </c>
    </row>
    <row r="335" spans="1:3" ht="28.5" x14ac:dyDescent="0.2">
      <c r="A335" s="56">
        <v>371</v>
      </c>
      <c r="B335" s="5" t="s">
        <v>1607</v>
      </c>
      <c r="C335" s="6" t="s">
        <v>1608</v>
      </c>
    </row>
    <row r="336" spans="1:3" ht="14.25" x14ac:dyDescent="0.2">
      <c r="A336" s="56">
        <v>641</v>
      </c>
      <c r="B336" s="5" t="s">
        <v>1609</v>
      </c>
      <c r="C336" s="6" t="s">
        <v>1610</v>
      </c>
    </row>
    <row r="337" spans="1:3" ht="28.5" x14ac:dyDescent="0.2">
      <c r="A337" s="56">
        <v>372</v>
      </c>
      <c r="B337" s="5" t="s">
        <v>1611</v>
      </c>
      <c r="C337" s="6" t="s">
        <v>1612</v>
      </c>
    </row>
    <row r="338" spans="1:3" ht="14.25" x14ac:dyDescent="0.2">
      <c r="A338" s="56">
        <v>642</v>
      </c>
      <c r="B338" s="5" t="s">
        <v>1613</v>
      </c>
      <c r="C338" s="6" t="s">
        <v>1614</v>
      </c>
    </row>
    <row r="339" spans="1:3" ht="28.5" x14ac:dyDescent="0.2">
      <c r="A339" s="56">
        <v>643</v>
      </c>
      <c r="B339" s="5" t="s">
        <v>1615</v>
      </c>
      <c r="C339" s="6" t="s">
        <v>1616</v>
      </c>
    </row>
    <row r="340" spans="1:3" ht="28.5" x14ac:dyDescent="0.2">
      <c r="A340" s="56">
        <v>644</v>
      </c>
      <c r="B340" s="5" t="s">
        <v>1617</v>
      </c>
      <c r="C340" s="6" t="s">
        <v>1618</v>
      </c>
    </row>
    <row r="341" spans="1:3" ht="14.25" x14ac:dyDescent="0.2">
      <c r="A341" s="56">
        <v>373</v>
      </c>
      <c r="B341" s="5" t="s">
        <v>1619</v>
      </c>
      <c r="C341" s="6" t="s">
        <v>1620</v>
      </c>
    </row>
    <row r="342" spans="1:3" ht="14.25" x14ac:dyDescent="0.2">
      <c r="A342" s="56">
        <v>376</v>
      </c>
      <c r="B342" s="5" t="s">
        <v>1621</v>
      </c>
      <c r="C342" s="7" t="s">
        <v>1622</v>
      </c>
    </row>
    <row r="343" spans="1:3" ht="14.25" x14ac:dyDescent="0.2">
      <c r="A343" s="56">
        <v>377</v>
      </c>
      <c r="B343" s="5" t="s">
        <v>297</v>
      </c>
      <c r="C343" s="6" t="s">
        <v>552</v>
      </c>
    </row>
    <row r="344" spans="1:3" ht="14.25" x14ac:dyDescent="0.2">
      <c r="A344" s="56">
        <v>378</v>
      </c>
      <c r="B344" s="5" t="s">
        <v>1623</v>
      </c>
      <c r="C344" s="6" t="s">
        <v>1624</v>
      </c>
    </row>
    <row r="345" spans="1:3" ht="28.5" x14ac:dyDescent="0.2">
      <c r="A345" s="56">
        <v>379</v>
      </c>
      <c r="B345" s="5" t="s">
        <v>1625</v>
      </c>
      <c r="C345" s="7" t="s">
        <v>1626</v>
      </c>
    </row>
    <row r="346" spans="1:3" ht="14.25" x14ac:dyDescent="0.2">
      <c r="A346" s="56">
        <v>380</v>
      </c>
      <c r="B346" s="5" t="s">
        <v>1627</v>
      </c>
      <c r="C346" s="7" t="s">
        <v>1628</v>
      </c>
    </row>
    <row r="347" spans="1:3" ht="14.25" x14ac:dyDescent="0.2">
      <c r="A347" s="56">
        <v>381</v>
      </c>
      <c r="B347" s="5" t="s">
        <v>553</v>
      </c>
      <c r="C347" s="6" t="s">
        <v>554</v>
      </c>
    </row>
    <row r="348" spans="1:3" ht="14.25" x14ac:dyDescent="0.2">
      <c r="A348" s="56">
        <v>382</v>
      </c>
      <c r="B348" s="5" t="s">
        <v>1629</v>
      </c>
      <c r="C348" s="6" t="s">
        <v>1630</v>
      </c>
    </row>
    <row r="349" spans="1:3" ht="14.25" x14ac:dyDescent="0.2">
      <c r="A349" s="56">
        <v>383</v>
      </c>
      <c r="B349" s="5" t="s">
        <v>1631</v>
      </c>
      <c r="C349" s="7" t="s">
        <v>1632</v>
      </c>
    </row>
    <row r="350" spans="1:3" ht="14.25" x14ac:dyDescent="0.2">
      <c r="A350" s="56">
        <v>384</v>
      </c>
      <c r="B350" s="5" t="s">
        <v>1633</v>
      </c>
      <c r="C350" s="7" t="s">
        <v>1634</v>
      </c>
    </row>
    <row r="351" spans="1:3" ht="14.25" x14ac:dyDescent="0.2">
      <c r="A351" s="56">
        <v>385</v>
      </c>
      <c r="B351" s="5" t="s">
        <v>1635</v>
      </c>
      <c r="C351" s="7" t="s">
        <v>1636</v>
      </c>
    </row>
    <row r="352" spans="1:3" ht="14.25" x14ac:dyDescent="0.2">
      <c r="A352" s="56">
        <v>386</v>
      </c>
      <c r="B352" s="5" t="s">
        <v>1637</v>
      </c>
      <c r="C352" s="7" t="s">
        <v>1638</v>
      </c>
    </row>
    <row r="353" spans="1:3" ht="14.25" x14ac:dyDescent="0.2">
      <c r="A353" s="56">
        <v>387</v>
      </c>
      <c r="B353" s="5" t="s">
        <v>1639</v>
      </c>
      <c r="C353" s="6" t="s">
        <v>1640</v>
      </c>
    </row>
    <row r="354" spans="1:3" ht="14.25" x14ac:dyDescent="0.2">
      <c r="A354" s="56">
        <v>388</v>
      </c>
      <c r="B354" s="5" t="s">
        <v>1641</v>
      </c>
      <c r="C354" s="6" t="s">
        <v>1642</v>
      </c>
    </row>
    <row r="355" spans="1:3" ht="14.25" x14ac:dyDescent="0.2">
      <c r="A355" s="56">
        <v>389</v>
      </c>
      <c r="B355" s="5" t="s">
        <v>555</v>
      </c>
      <c r="C355" s="6" t="s">
        <v>556</v>
      </c>
    </row>
    <row r="356" spans="1:3" ht="14.25" x14ac:dyDescent="0.2">
      <c r="A356" s="56">
        <v>177</v>
      </c>
      <c r="B356" s="5" t="s">
        <v>557</v>
      </c>
      <c r="C356" s="6" t="s">
        <v>1215</v>
      </c>
    </row>
    <row r="357" spans="1:3" ht="14.25" x14ac:dyDescent="0.2">
      <c r="A357" s="56">
        <v>178</v>
      </c>
      <c r="B357" s="5" t="s">
        <v>1643</v>
      </c>
      <c r="C357" s="6" t="s">
        <v>1644</v>
      </c>
    </row>
    <row r="358" spans="1:3" ht="14.25" x14ac:dyDescent="0.2">
      <c r="A358" s="56">
        <v>179</v>
      </c>
      <c r="B358" s="5" t="s">
        <v>558</v>
      </c>
      <c r="C358" s="6" t="s">
        <v>1216</v>
      </c>
    </row>
    <row r="359" spans="1:3" ht="14.25" x14ac:dyDescent="0.2">
      <c r="A359" s="56">
        <v>180</v>
      </c>
      <c r="B359" s="5" t="s">
        <v>559</v>
      </c>
      <c r="C359" s="6" t="s">
        <v>1217</v>
      </c>
    </row>
    <row r="360" spans="1:3" ht="14.25" x14ac:dyDescent="0.2">
      <c r="A360" s="56">
        <v>390</v>
      </c>
      <c r="B360" s="5" t="s">
        <v>560</v>
      </c>
      <c r="C360" s="6" t="s">
        <v>1219</v>
      </c>
    </row>
    <row r="361" spans="1:3" ht="14.25" x14ac:dyDescent="0.2">
      <c r="A361" s="56">
        <v>391</v>
      </c>
      <c r="B361" s="5" t="s">
        <v>561</v>
      </c>
      <c r="C361" s="6" t="s">
        <v>1645</v>
      </c>
    </row>
    <row r="362" spans="1:3" ht="14.25" x14ac:dyDescent="0.2">
      <c r="A362" s="56">
        <v>181</v>
      </c>
      <c r="B362" s="5" t="s">
        <v>562</v>
      </c>
      <c r="C362" s="6" t="s">
        <v>1646</v>
      </c>
    </row>
    <row r="363" spans="1:3" ht="28.5" x14ac:dyDescent="0.2">
      <c r="A363" s="56">
        <v>182</v>
      </c>
      <c r="B363" s="5" t="s">
        <v>563</v>
      </c>
      <c r="C363" s="6" t="s">
        <v>1218</v>
      </c>
    </row>
    <row r="364" spans="1:3" ht="14.25" x14ac:dyDescent="0.2">
      <c r="A364" s="56">
        <v>392</v>
      </c>
      <c r="B364" s="5" t="s">
        <v>1647</v>
      </c>
      <c r="C364" s="7" t="s">
        <v>1648</v>
      </c>
    </row>
    <row r="365" spans="1:3" ht="14.25" x14ac:dyDescent="0.2">
      <c r="A365" s="56">
        <v>393</v>
      </c>
      <c r="B365" s="5" t="s">
        <v>1649</v>
      </c>
      <c r="C365" s="7" t="s">
        <v>1650</v>
      </c>
    </row>
    <row r="366" spans="1:3" ht="14.25" x14ac:dyDescent="0.2">
      <c r="A366" s="56">
        <v>394</v>
      </c>
      <c r="B366" s="5" t="s">
        <v>1651</v>
      </c>
      <c r="C366" s="6" t="s">
        <v>1652</v>
      </c>
    </row>
    <row r="367" spans="1:3" ht="14.25" x14ac:dyDescent="0.2">
      <c r="A367" s="56">
        <v>395</v>
      </c>
      <c r="B367" s="5" t="s">
        <v>564</v>
      </c>
      <c r="C367" s="6" t="s">
        <v>1220</v>
      </c>
    </row>
    <row r="368" spans="1:3" ht="28.5" x14ac:dyDescent="0.2">
      <c r="A368" s="56">
        <v>396</v>
      </c>
      <c r="B368" s="5" t="s">
        <v>1653</v>
      </c>
      <c r="C368" s="7" t="s">
        <v>1654</v>
      </c>
    </row>
    <row r="369" spans="1:3" ht="14.25" x14ac:dyDescent="0.2">
      <c r="A369" s="56">
        <v>397</v>
      </c>
      <c r="B369" s="5" t="s">
        <v>565</v>
      </c>
      <c r="C369" s="6" t="s">
        <v>1221</v>
      </c>
    </row>
    <row r="370" spans="1:3" ht="14.25" x14ac:dyDescent="0.2">
      <c r="A370" s="56">
        <v>398</v>
      </c>
      <c r="B370" s="5" t="s">
        <v>566</v>
      </c>
      <c r="C370" s="6" t="s">
        <v>1222</v>
      </c>
    </row>
    <row r="371" spans="1:3" ht="28.5" x14ac:dyDescent="0.2">
      <c r="A371" s="56">
        <v>399</v>
      </c>
      <c r="B371" s="5" t="s">
        <v>1655</v>
      </c>
      <c r="C371" s="9" t="s">
        <v>1656</v>
      </c>
    </row>
    <row r="372" spans="1:3" ht="14.25" x14ac:dyDescent="0.2">
      <c r="A372" s="56">
        <v>400</v>
      </c>
      <c r="B372" s="5" t="s">
        <v>1657</v>
      </c>
      <c r="C372" s="9" t="s">
        <v>1658</v>
      </c>
    </row>
    <row r="373" spans="1:3" ht="14.25" x14ac:dyDescent="0.2">
      <c r="A373" s="56">
        <v>589</v>
      </c>
      <c r="B373" s="5" t="s">
        <v>567</v>
      </c>
      <c r="C373" s="6" t="s">
        <v>568</v>
      </c>
    </row>
    <row r="374" spans="1:3" ht="14.25" x14ac:dyDescent="0.2">
      <c r="A374" s="56">
        <v>446</v>
      </c>
      <c r="B374" s="5" t="s">
        <v>569</v>
      </c>
      <c r="C374" s="6" t="s">
        <v>570</v>
      </c>
    </row>
    <row r="375" spans="1:3" ht="14.25" x14ac:dyDescent="0.2">
      <c r="A375" s="56">
        <v>124</v>
      </c>
      <c r="B375" s="5" t="s">
        <v>571</v>
      </c>
      <c r="C375" s="6" t="s">
        <v>572</v>
      </c>
    </row>
    <row r="376" spans="1:3" ht="28.5" x14ac:dyDescent="0.2">
      <c r="A376" s="56">
        <v>485</v>
      </c>
      <c r="B376" s="5" t="s">
        <v>1659</v>
      </c>
      <c r="C376" s="7" t="s">
        <v>1660</v>
      </c>
    </row>
    <row r="377" spans="1:3" ht="14.25" x14ac:dyDescent="0.2">
      <c r="A377" s="56">
        <v>486</v>
      </c>
      <c r="B377" s="5" t="s">
        <v>1661</v>
      </c>
      <c r="C377" s="6" t="s">
        <v>1662</v>
      </c>
    </row>
    <row r="378" spans="1:3" ht="14.25" x14ac:dyDescent="0.2">
      <c r="A378" s="56">
        <v>487</v>
      </c>
      <c r="B378" s="5" t="s">
        <v>1663</v>
      </c>
      <c r="C378" s="6" t="s">
        <v>1664</v>
      </c>
    </row>
    <row r="379" spans="1:3" ht="14.25" x14ac:dyDescent="0.2">
      <c r="A379" s="56">
        <v>489</v>
      </c>
      <c r="B379" s="5">
        <v>489</v>
      </c>
      <c r="C379" s="6" t="s">
        <v>1665</v>
      </c>
    </row>
    <row r="380" spans="1:3" ht="14.25" x14ac:dyDescent="0.2">
      <c r="A380" s="56">
        <v>490</v>
      </c>
      <c r="B380" s="5" t="s">
        <v>1247</v>
      </c>
      <c r="C380" s="6" t="s">
        <v>1248</v>
      </c>
    </row>
    <row r="381" spans="1:3" ht="14.25" x14ac:dyDescent="0.2">
      <c r="A381" s="56">
        <v>491</v>
      </c>
      <c r="B381" s="5" t="s">
        <v>1245</v>
      </c>
      <c r="C381" s="6" t="s">
        <v>1246</v>
      </c>
    </row>
    <row r="382" spans="1:3" ht="14.25" x14ac:dyDescent="0.2">
      <c r="A382" s="56">
        <v>492</v>
      </c>
      <c r="B382" s="5" t="s">
        <v>1666</v>
      </c>
      <c r="C382" s="7" t="s">
        <v>1667</v>
      </c>
    </row>
    <row r="383" spans="1:3" ht="14.25" x14ac:dyDescent="0.2">
      <c r="A383" s="56">
        <v>493</v>
      </c>
      <c r="B383" s="5" t="s">
        <v>1668</v>
      </c>
      <c r="C383" s="7" t="s">
        <v>1669</v>
      </c>
    </row>
    <row r="384" spans="1:3" ht="14.25" x14ac:dyDescent="0.2">
      <c r="A384" s="56">
        <v>494</v>
      </c>
      <c r="B384" s="5" t="s">
        <v>1670</v>
      </c>
      <c r="C384" s="7" t="s">
        <v>1671</v>
      </c>
    </row>
    <row r="385" spans="1:3" ht="14.25" x14ac:dyDescent="0.2">
      <c r="A385" s="56">
        <v>495</v>
      </c>
      <c r="B385" s="8" t="s">
        <v>1672</v>
      </c>
      <c r="C385" s="7" t="s">
        <v>1673</v>
      </c>
    </row>
    <row r="386" spans="1:3" ht="14.25" x14ac:dyDescent="0.2">
      <c r="A386" s="56">
        <v>496</v>
      </c>
      <c r="B386" s="5" t="s">
        <v>1674</v>
      </c>
      <c r="C386" s="7" t="s">
        <v>1675</v>
      </c>
    </row>
    <row r="387" spans="1:3" ht="14.25" x14ac:dyDescent="0.2">
      <c r="A387" s="56">
        <v>497</v>
      </c>
      <c r="B387" s="5" t="s">
        <v>573</v>
      </c>
      <c r="C387" s="6" t="s">
        <v>574</v>
      </c>
    </row>
    <row r="388" spans="1:3" ht="14.25" x14ac:dyDescent="0.2">
      <c r="A388" s="56">
        <v>498</v>
      </c>
      <c r="B388" s="5" t="s">
        <v>1676</v>
      </c>
      <c r="C388" s="7" t="s">
        <v>1677</v>
      </c>
    </row>
    <row r="389" spans="1:3" ht="14.25" x14ac:dyDescent="0.2">
      <c r="A389" s="56">
        <v>499</v>
      </c>
      <c r="B389" s="5" t="s">
        <v>1678</v>
      </c>
      <c r="C389" s="7" t="s">
        <v>1679</v>
      </c>
    </row>
    <row r="390" spans="1:3" ht="14.25" x14ac:dyDescent="0.2">
      <c r="A390" s="56">
        <v>500</v>
      </c>
      <c r="B390" s="5" t="s">
        <v>1680</v>
      </c>
      <c r="C390" s="6" t="s">
        <v>1681</v>
      </c>
    </row>
    <row r="391" spans="1:3" ht="14.25" x14ac:dyDescent="0.2">
      <c r="A391" s="56">
        <v>501</v>
      </c>
      <c r="B391" s="5" t="s">
        <v>1682</v>
      </c>
      <c r="C391" s="7" t="s">
        <v>1683</v>
      </c>
    </row>
    <row r="392" spans="1:3" ht="14.25" x14ac:dyDescent="0.2">
      <c r="A392" s="56">
        <v>502</v>
      </c>
      <c r="B392" s="5" t="s">
        <v>1684</v>
      </c>
      <c r="C392" s="6" t="s">
        <v>1685</v>
      </c>
    </row>
    <row r="393" spans="1:3" ht="14.25" x14ac:dyDescent="0.2">
      <c r="A393" s="56">
        <v>503</v>
      </c>
      <c r="B393" s="5" t="s">
        <v>575</v>
      </c>
      <c r="C393" s="6" t="s">
        <v>576</v>
      </c>
    </row>
    <row r="394" spans="1:3" ht="14.25" x14ac:dyDescent="0.2">
      <c r="A394" s="56">
        <v>506</v>
      </c>
      <c r="B394" s="5" t="s">
        <v>311</v>
      </c>
      <c r="C394" s="6" t="s">
        <v>312</v>
      </c>
    </row>
    <row r="395" spans="1:3" ht="14.25" x14ac:dyDescent="0.2">
      <c r="A395" s="56">
        <v>507</v>
      </c>
      <c r="B395" s="5" t="s">
        <v>299</v>
      </c>
      <c r="C395" s="6" t="s">
        <v>300</v>
      </c>
    </row>
    <row r="396" spans="1:3" ht="14.25" x14ac:dyDescent="0.2">
      <c r="A396" s="56">
        <v>504</v>
      </c>
      <c r="B396" s="56">
        <v>504</v>
      </c>
      <c r="C396" s="6" t="s">
        <v>1686</v>
      </c>
    </row>
    <row r="397" spans="1:3" ht="28.5" x14ac:dyDescent="0.2">
      <c r="A397" s="56">
        <v>508</v>
      </c>
      <c r="B397" s="5" t="s">
        <v>1687</v>
      </c>
      <c r="C397" s="6" t="s">
        <v>1688</v>
      </c>
    </row>
    <row r="398" spans="1:3" ht="28.5" x14ac:dyDescent="0.2">
      <c r="A398" s="56">
        <v>509</v>
      </c>
      <c r="B398" s="5" t="s">
        <v>1689</v>
      </c>
      <c r="C398" s="6" t="s">
        <v>1690</v>
      </c>
    </row>
    <row r="399" spans="1:3" ht="14.25" x14ac:dyDescent="0.2">
      <c r="A399" s="56">
        <v>510</v>
      </c>
      <c r="B399" s="5" t="s">
        <v>313</v>
      </c>
      <c r="C399" s="6" t="s">
        <v>363</v>
      </c>
    </row>
    <row r="400" spans="1:3" ht="14.25" x14ac:dyDescent="0.2">
      <c r="A400" s="56">
        <v>511</v>
      </c>
      <c r="B400" s="8" t="s">
        <v>1691</v>
      </c>
      <c r="C400" s="6" t="s">
        <v>1692</v>
      </c>
    </row>
    <row r="401" spans="1:3" ht="28.5" x14ac:dyDescent="0.2">
      <c r="A401" s="56">
        <v>636</v>
      </c>
      <c r="B401" s="5" t="s">
        <v>577</v>
      </c>
      <c r="C401" s="6" t="s">
        <v>578</v>
      </c>
    </row>
    <row r="402" spans="1:3" ht="14.25" x14ac:dyDescent="0.2">
      <c r="A402" s="56">
        <v>518</v>
      </c>
      <c r="B402" s="5">
        <v>518</v>
      </c>
      <c r="C402" s="6" t="s">
        <v>1693</v>
      </c>
    </row>
    <row r="403" spans="1:3" ht="14.25" x14ac:dyDescent="0.2">
      <c r="A403" s="56">
        <v>525</v>
      </c>
      <c r="B403" s="5" t="s">
        <v>579</v>
      </c>
      <c r="C403" s="6" t="s">
        <v>580</v>
      </c>
    </row>
    <row r="404" spans="1:3" ht="14.25" x14ac:dyDescent="0.2">
      <c r="A404" s="56">
        <v>447</v>
      </c>
      <c r="B404" s="5">
        <v>447</v>
      </c>
      <c r="C404" s="6" t="s">
        <v>581</v>
      </c>
    </row>
    <row r="405" spans="1:3" ht="14.25" x14ac:dyDescent="0.2">
      <c r="A405" s="56">
        <v>448</v>
      </c>
      <c r="B405" s="5" t="s">
        <v>1694</v>
      </c>
      <c r="C405" s="9" t="s">
        <v>1695</v>
      </c>
    </row>
    <row r="406" spans="1:3" ht="28.5" x14ac:dyDescent="0.2">
      <c r="A406" s="56">
        <v>449</v>
      </c>
      <c r="B406" s="5" t="s">
        <v>1696</v>
      </c>
      <c r="C406" s="9" t="s">
        <v>1697</v>
      </c>
    </row>
    <row r="407" spans="1:3" ht="28.5" x14ac:dyDescent="0.2">
      <c r="A407" s="56">
        <v>450</v>
      </c>
      <c r="B407" s="5" t="s">
        <v>1698</v>
      </c>
      <c r="C407" s="9" t="s">
        <v>1699</v>
      </c>
    </row>
    <row r="408" spans="1:3" ht="28.5" x14ac:dyDescent="0.2">
      <c r="A408" s="56">
        <v>451</v>
      </c>
      <c r="B408" s="5" t="s">
        <v>1700</v>
      </c>
      <c r="C408" s="9" t="s">
        <v>1701</v>
      </c>
    </row>
    <row r="409" spans="1:3" ht="28.5" x14ac:dyDescent="0.2">
      <c r="A409" s="56">
        <v>452</v>
      </c>
      <c r="B409" s="5" t="s">
        <v>1702</v>
      </c>
      <c r="C409" s="9" t="s">
        <v>1703</v>
      </c>
    </row>
    <row r="410" spans="1:3" ht="28.5" x14ac:dyDescent="0.2">
      <c r="A410" s="56">
        <v>453</v>
      </c>
      <c r="B410" s="5" t="s">
        <v>1704</v>
      </c>
      <c r="C410" s="9" t="s">
        <v>1705</v>
      </c>
    </row>
    <row r="411" spans="1:3" ht="28.5" x14ac:dyDescent="0.2">
      <c r="A411" s="56">
        <v>454</v>
      </c>
      <c r="B411" s="5" t="s">
        <v>1706</v>
      </c>
      <c r="C411" s="9" t="s">
        <v>1707</v>
      </c>
    </row>
    <row r="412" spans="1:3" ht="14.25" x14ac:dyDescent="0.2">
      <c r="A412" s="56">
        <v>455</v>
      </c>
      <c r="B412" s="5" t="s">
        <v>1708</v>
      </c>
      <c r="C412" s="9" t="s">
        <v>1709</v>
      </c>
    </row>
    <row r="413" spans="1:3" ht="14.25" x14ac:dyDescent="0.2">
      <c r="A413" s="56">
        <v>456</v>
      </c>
      <c r="B413" s="5" t="s">
        <v>582</v>
      </c>
      <c r="C413" s="6" t="s">
        <v>583</v>
      </c>
    </row>
    <row r="414" spans="1:3" ht="14.25" x14ac:dyDescent="0.2">
      <c r="A414" s="56">
        <v>645</v>
      </c>
      <c r="B414" s="5">
        <v>645</v>
      </c>
      <c r="C414" s="6" t="s">
        <v>584</v>
      </c>
    </row>
    <row r="415" spans="1:3" ht="28.5" x14ac:dyDescent="0.2">
      <c r="A415" s="56">
        <v>457</v>
      </c>
      <c r="B415" s="5" t="s">
        <v>1710</v>
      </c>
      <c r="C415" s="9" t="s">
        <v>1711</v>
      </c>
    </row>
    <row r="416" spans="1:3" ht="28.5" x14ac:dyDescent="0.2">
      <c r="A416" s="56">
        <v>458</v>
      </c>
      <c r="B416" s="5" t="s">
        <v>1712</v>
      </c>
      <c r="C416" s="9" t="s">
        <v>1713</v>
      </c>
    </row>
    <row r="417" spans="1:3" ht="14.25" x14ac:dyDescent="0.2">
      <c r="A417" s="56">
        <v>459</v>
      </c>
      <c r="B417" s="5" t="s">
        <v>1714</v>
      </c>
      <c r="C417" s="9" t="s">
        <v>1715</v>
      </c>
    </row>
    <row r="418" spans="1:3" ht="28.5" x14ac:dyDescent="0.2">
      <c r="A418" s="56">
        <v>460</v>
      </c>
      <c r="B418" s="5" t="s">
        <v>1716</v>
      </c>
      <c r="C418" s="9" t="s">
        <v>1717</v>
      </c>
    </row>
    <row r="419" spans="1:3" ht="28.5" x14ac:dyDescent="0.2">
      <c r="A419" s="56">
        <v>461</v>
      </c>
      <c r="B419" s="5" t="s">
        <v>1718</v>
      </c>
      <c r="C419" s="9" t="s">
        <v>1719</v>
      </c>
    </row>
    <row r="420" spans="1:3" ht="28.5" x14ac:dyDescent="0.2">
      <c r="A420" s="56">
        <v>462</v>
      </c>
      <c r="B420" s="5" t="s">
        <v>1720</v>
      </c>
      <c r="C420" s="9" t="s">
        <v>1721</v>
      </c>
    </row>
    <row r="421" spans="1:3" ht="28.5" x14ac:dyDescent="0.2">
      <c r="A421" s="56">
        <v>463</v>
      </c>
      <c r="B421" s="5" t="s">
        <v>585</v>
      </c>
      <c r="C421" s="12" t="s">
        <v>1225</v>
      </c>
    </row>
    <row r="422" spans="1:3" ht="28.5" x14ac:dyDescent="0.2">
      <c r="A422" s="56">
        <v>464</v>
      </c>
      <c r="B422" s="5" t="s">
        <v>586</v>
      </c>
      <c r="C422" s="12" t="s">
        <v>1226</v>
      </c>
    </row>
    <row r="423" spans="1:3" ht="28.5" x14ac:dyDescent="0.2">
      <c r="A423" s="56">
        <v>465</v>
      </c>
      <c r="B423" s="5" t="s">
        <v>1722</v>
      </c>
      <c r="C423" s="9" t="s">
        <v>1723</v>
      </c>
    </row>
    <row r="424" spans="1:3" ht="28.5" x14ac:dyDescent="0.2">
      <c r="A424" s="56">
        <v>466</v>
      </c>
      <c r="B424" s="5" t="s">
        <v>587</v>
      </c>
      <c r="C424" s="12" t="s">
        <v>1227</v>
      </c>
    </row>
    <row r="425" spans="1:3" ht="28.5" x14ac:dyDescent="0.2">
      <c r="A425" s="56">
        <v>467</v>
      </c>
      <c r="B425" s="5" t="s">
        <v>588</v>
      </c>
      <c r="C425" s="12" t="s">
        <v>1228</v>
      </c>
    </row>
    <row r="426" spans="1:3" ht="28.5" x14ac:dyDescent="0.2">
      <c r="A426" s="56">
        <v>468</v>
      </c>
      <c r="B426" s="5" t="s">
        <v>589</v>
      </c>
      <c r="C426" s="12" t="s">
        <v>1229</v>
      </c>
    </row>
    <row r="427" spans="1:3" ht="28.5" x14ac:dyDescent="0.2">
      <c r="A427" s="56">
        <v>469</v>
      </c>
      <c r="B427" s="5" t="s">
        <v>590</v>
      </c>
      <c r="C427" s="12" t="s">
        <v>1230</v>
      </c>
    </row>
    <row r="428" spans="1:3" ht="28.5" x14ac:dyDescent="0.2">
      <c r="A428" s="56">
        <v>470</v>
      </c>
      <c r="B428" s="5" t="s">
        <v>591</v>
      </c>
      <c r="C428" s="12" t="s">
        <v>1231</v>
      </c>
    </row>
    <row r="429" spans="1:3" ht="28.5" x14ac:dyDescent="0.2">
      <c r="A429" s="56">
        <v>471</v>
      </c>
      <c r="B429" s="5" t="s">
        <v>1724</v>
      </c>
      <c r="C429" s="9" t="s">
        <v>1725</v>
      </c>
    </row>
    <row r="430" spans="1:3" ht="28.5" x14ac:dyDescent="0.2">
      <c r="A430" s="56">
        <v>472</v>
      </c>
      <c r="B430" s="5" t="s">
        <v>1726</v>
      </c>
      <c r="C430" s="9" t="s">
        <v>1727</v>
      </c>
    </row>
    <row r="431" spans="1:3" ht="28.5" x14ac:dyDescent="0.2">
      <c r="A431" s="56">
        <v>473</v>
      </c>
      <c r="B431" s="5" t="s">
        <v>1728</v>
      </c>
      <c r="C431" s="9" t="s">
        <v>1729</v>
      </c>
    </row>
    <row r="432" spans="1:3" ht="28.5" x14ac:dyDescent="0.2">
      <c r="A432" s="56">
        <v>474</v>
      </c>
      <c r="B432" s="5" t="s">
        <v>592</v>
      </c>
      <c r="C432" s="12" t="s">
        <v>1232</v>
      </c>
    </row>
    <row r="433" spans="1:3" ht="28.5" x14ac:dyDescent="0.2">
      <c r="A433" s="56">
        <v>475</v>
      </c>
      <c r="B433" s="5" t="s">
        <v>593</v>
      </c>
      <c r="C433" s="12" t="s">
        <v>1233</v>
      </c>
    </row>
    <row r="434" spans="1:3" ht="28.5" x14ac:dyDescent="0.2">
      <c r="A434" s="56">
        <v>476</v>
      </c>
      <c r="B434" s="5" t="s">
        <v>594</v>
      </c>
      <c r="C434" s="12" t="s">
        <v>1234</v>
      </c>
    </row>
    <row r="435" spans="1:3" ht="28.5" x14ac:dyDescent="0.2">
      <c r="A435" s="56">
        <v>477</v>
      </c>
      <c r="B435" s="5" t="s">
        <v>595</v>
      </c>
      <c r="C435" s="12" t="s">
        <v>1235</v>
      </c>
    </row>
    <row r="436" spans="1:3" ht="28.5" x14ac:dyDescent="0.2">
      <c r="A436" s="56">
        <v>478</v>
      </c>
      <c r="B436" s="5" t="s">
        <v>1730</v>
      </c>
      <c r="C436" s="9" t="s">
        <v>1731</v>
      </c>
    </row>
    <row r="437" spans="1:3" ht="28.5" x14ac:dyDescent="0.2">
      <c r="A437" s="56">
        <v>479</v>
      </c>
      <c r="B437" s="5" t="s">
        <v>1732</v>
      </c>
      <c r="C437" s="9" t="s">
        <v>1733</v>
      </c>
    </row>
    <row r="438" spans="1:3" ht="28.5" x14ac:dyDescent="0.2">
      <c r="A438" s="56">
        <v>480</v>
      </c>
      <c r="B438" s="5" t="s">
        <v>1734</v>
      </c>
      <c r="C438" s="9" t="s">
        <v>1735</v>
      </c>
    </row>
    <row r="439" spans="1:3" ht="28.5" x14ac:dyDescent="0.2">
      <c r="A439" s="56">
        <v>481</v>
      </c>
      <c r="B439" s="5" t="s">
        <v>596</v>
      </c>
      <c r="C439" s="12" t="s">
        <v>1236</v>
      </c>
    </row>
    <row r="440" spans="1:3" ht="28.5" x14ac:dyDescent="0.2">
      <c r="A440" s="56">
        <v>482</v>
      </c>
      <c r="B440" s="5" t="s">
        <v>1736</v>
      </c>
      <c r="C440" s="9" t="s">
        <v>1737</v>
      </c>
    </row>
    <row r="441" spans="1:3" ht="28.5" x14ac:dyDescent="0.2">
      <c r="A441" s="56">
        <v>483</v>
      </c>
      <c r="B441" s="5" t="s">
        <v>1738</v>
      </c>
      <c r="C441" s="9" t="s">
        <v>1739</v>
      </c>
    </row>
    <row r="442" spans="1:3" ht="14.25" x14ac:dyDescent="0.2">
      <c r="A442" s="56">
        <v>484</v>
      </c>
      <c r="B442" s="5" t="s">
        <v>1740</v>
      </c>
      <c r="C442" s="9" t="s">
        <v>1741</v>
      </c>
    </row>
    <row r="443" spans="1:3" ht="28.5" x14ac:dyDescent="0.2">
      <c r="A443" s="56">
        <v>646</v>
      </c>
      <c r="B443" s="5">
        <v>646</v>
      </c>
      <c r="C443" s="6" t="s">
        <v>1742</v>
      </c>
    </row>
    <row r="444" spans="1:3" ht="14.25" x14ac:dyDescent="0.2">
      <c r="A444" s="56">
        <v>527</v>
      </c>
      <c r="B444" s="5" t="s">
        <v>597</v>
      </c>
      <c r="C444" s="6" t="s">
        <v>1743</v>
      </c>
    </row>
    <row r="445" spans="1:3" ht="28.5" x14ac:dyDescent="0.2">
      <c r="A445" s="56">
        <v>528</v>
      </c>
      <c r="B445" s="5" t="s">
        <v>598</v>
      </c>
      <c r="C445" s="6" t="s">
        <v>1744</v>
      </c>
    </row>
    <row r="446" spans="1:3" ht="28.5" x14ac:dyDescent="0.2">
      <c r="A446" s="56">
        <v>529</v>
      </c>
      <c r="B446" s="5" t="s">
        <v>599</v>
      </c>
      <c r="C446" s="6" t="s">
        <v>1745</v>
      </c>
    </row>
    <row r="447" spans="1:3" ht="28.5" x14ac:dyDescent="0.2">
      <c r="A447" s="56">
        <v>530</v>
      </c>
      <c r="B447" s="5" t="s">
        <v>600</v>
      </c>
      <c r="C447" s="6" t="s">
        <v>1746</v>
      </c>
    </row>
    <row r="448" spans="1:3" ht="28.5" x14ac:dyDescent="0.2">
      <c r="A448" s="56">
        <v>531</v>
      </c>
      <c r="B448" s="5" t="s">
        <v>601</v>
      </c>
      <c r="C448" s="6" t="s">
        <v>1747</v>
      </c>
    </row>
    <row r="449" spans="1:3" ht="28.5" x14ac:dyDescent="0.2">
      <c r="A449" s="56">
        <v>532</v>
      </c>
      <c r="B449" s="5" t="s">
        <v>602</v>
      </c>
      <c r="C449" s="6" t="s">
        <v>1748</v>
      </c>
    </row>
    <row r="450" spans="1:3" ht="14.25" x14ac:dyDescent="0.2">
      <c r="A450" s="56">
        <v>533</v>
      </c>
      <c r="B450" s="5" t="s">
        <v>603</v>
      </c>
      <c r="C450" s="6" t="s">
        <v>1749</v>
      </c>
    </row>
    <row r="451" spans="1:3" ht="28.5" x14ac:dyDescent="0.2">
      <c r="A451" s="56">
        <v>539</v>
      </c>
      <c r="B451" s="5" t="s">
        <v>604</v>
      </c>
      <c r="C451" s="6" t="s">
        <v>1237</v>
      </c>
    </row>
    <row r="452" spans="1:3" ht="28.5" x14ac:dyDescent="0.2">
      <c r="A452" s="56">
        <v>540</v>
      </c>
      <c r="B452" s="5" t="s">
        <v>605</v>
      </c>
      <c r="C452" s="6" t="s">
        <v>1238</v>
      </c>
    </row>
    <row r="453" spans="1:3" ht="28.5" x14ac:dyDescent="0.2">
      <c r="A453" s="56">
        <v>541</v>
      </c>
      <c r="B453" s="5" t="s">
        <v>606</v>
      </c>
      <c r="C453" s="6" t="s">
        <v>1239</v>
      </c>
    </row>
    <row r="454" spans="1:3" ht="28.5" x14ac:dyDescent="0.2">
      <c r="A454" s="56">
        <v>542</v>
      </c>
      <c r="B454" s="5" t="s">
        <v>607</v>
      </c>
      <c r="C454" s="6" t="s">
        <v>1240</v>
      </c>
    </row>
    <row r="455" spans="1:3" ht="28.5" x14ac:dyDescent="0.2">
      <c r="A455" s="56">
        <v>543</v>
      </c>
      <c r="B455" s="5" t="s">
        <v>608</v>
      </c>
      <c r="C455" s="6" t="s">
        <v>1241</v>
      </c>
    </row>
    <row r="456" spans="1:3" ht="28.5" x14ac:dyDescent="0.2">
      <c r="A456" s="56">
        <v>544</v>
      </c>
      <c r="B456" s="5" t="s">
        <v>609</v>
      </c>
      <c r="C456" s="6" t="s">
        <v>1242</v>
      </c>
    </row>
    <row r="457" spans="1:3" ht="28.5" x14ac:dyDescent="0.2">
      <c r="A457" s="56">
        <v>545</v>
      </c>
      <c r="B457" s="5" t="s">
        <v>610</v>
      </c>
      <c r="C457" s="6" t="s">
        <v>1750</v>
      </c>
    </row>
    <row r="458" spans="1:3" ht="28.5" x14ac:dyDescent="0.2">
      <c r="A458" s="56">
        <v>546</v>
      </c>
      <c r="B458" s="5" t="s">
        <v>611</v>
      </c>
      <c r="C458" s="6" t="s">
        <v>1243</v>
      </c>
    </row>
    <row r="459" spans="1:3" ht="28.5" x14ac:dyDescent="0.2">
      <c r="A459" s="56">
        <v>547</v>
      </c>
      <c r="B459" s="5" t="s">
        <v>612</v>
      </c>
      <c r="C459" s="6" t="s">
        <v>1244</v>
      </c>
    </row>
    <row r="460" spans="1:3" ht="28.5" x14ac:dyDescent="0.2">
      <c r="A460" s="56">
        <v>548</v>
      </c>
      <c r="B460" s="5" t="s">
        <v>613</v>
      </c>
      <c r="C460" s="6" t="s">
        <v>614</v>
      </c>
    </row>
    <row r="461" spans="1:3" ht="14.25" x14ac:dyDescent="0.2">
      <c r="A461" s="56">
        <v>401</v>
      </c>
      <c r="B461" s="5">
        <v>401</v>
      </c>
      <c r="C461" s="6" t="s">
        <v>246</v>
      </c>
    </row>
    <row r="462" spans="1:3" ht="14.25" x14ac:dyDescent="0.2">
      <c r="A462" s="56">
        <v>402</v>
      </c>
      <c r="B462" s="5" t="s">
        <v>1078</v>
      </c>
      <c r="C462" s="6" t="s">
        <v>1751</v>
      </c>
    </row>
    <row r="463" spans="1:3" ht="14.25" x14ac:dyDescent="0.2">
      <c r="A463" s="56">
        <v>403</v>
      </c>
      <c r="B463" s="5" t="s">
        <v>1081</v>
      </c>
      <c r="C463" s="6" t="s">
        <v>1752</v>
      </c>
    </row>
    <row r="464" spans="1:3" ht="14.25" x14ac:dyDescent="0.2">
      <c r="A464" s="56">
        <v>404</v>
      </c>
      <c r="B464" s="5" t="s">
        <v>1087</v>
      </c>
      <c r="C464" s="6" t="s">
        <v>1753</v>
      </c>
    </row>
    <row r="465" spans="1:3" ht="14.25" x14ac:dyDescent="0.2">
      <c r="A465" s="56">
        <v>635</v>
      </c>
      <c r="B465" s="5" t="s">
        <v>615</v>
      </c>
      <c r="C465" s="6" t="s">
        <v>616</v>
      </c>
    </row>
    <row r="466" spans="1:3" ht="14.25" x14ac:dyDescent="0.2">
      <c r="A466" s="56">
        <v>405</v>
      </c>
      <c r="B466" s="5" t="s">
        <v>617</v>
      </c>
      <c r="C466" s="6" t="s">
        <v>618</v>
      </c>
    </row>
    <row r="467" spans="1:3" ht="14.25" x14ac:dyDescent="0.2">
      <c r="A467" s="56">
        <v>406</v>
      </c>
      <c r="B467" s="5" t="s">
        <v>273</v>
      </c>
      <c r="C467" s="6" t="s">
        <v>274</v>
      </c>
    </row>
    <row r="468" spans="1:3" ht="14.25" x14ac:dyDescent="0.2">
      <c r="A468" s="56">
        <v>407</v>
      </c>
      <c r="B468" s="5" t="s">
        <v>619</v>
      </c>
      <c r="C468" s="6" t="s">
        <v>620</v>
      </c>
    </row>
    <row r="469" spans="1:3" ht="14.25" x14ac:dyDescent="0.2">
      <c r="A469" s="56">
        <v>408</v>
      </c>
      <c r="B469" s="5" t="s">
        <v>621</v>
      </c>
      <c r="C469" s="6" t="s">
        <v>622</v>
      </c>
    </row>
    <row r="470" spans="1:3" ht="14.25" x14ac:dyDescent="0.2">
      <c r="A470" s="56">
        <v>409</v>
      </c>
      <c r="B470" s="5" t="s">
        <v>1096</v>
      </c>
      <c r="C470" s="6" t="s">
        <v>1223</v>
      </c>
    </row>
    <row r="471" spans="1:3" ht="14.25" x14ac:dyDescent="0.2">
      <c r="A471" s="56">
        <v>410</v>
      </c>
      <c r="B471" s="5" t="s">
        <v>623</v>
      </c>
      <c r="C471" s="6" t="s">
        <v>624</v>
      </c>
    </row>
    <row r="472" spans="1:3" ht="14.25" x14ac:dyDescent="0.2">
      <c r="A472" s="56">
        <v>411</v>
      </c>
      <c r="B472" s="5" t="s">
        <v>625</v>
      </c>
      <c r="C472" s="6" t="s">
        <v>626</v>
      </c>
    </row>
    <row r="473" spans="1:3" ht="14.25" x14ac:dyDescent="0.2">
      <c r="A473" s="56">
        <v>412</v>
      </c>
      <c r="B473" s="5" t="s">
        <v>627</v>
      </c>
      <c r="C473" s="6" t="s">
        <v>628</v>
      </c>
    </row>
    <row r="474" spans="1:3" ht="14.25" x14ac:dyDescent="0.2">
      <c r="A474" s="56">
        <v>413</v>
      </c>
      <c r="B474" s="5" t="s">
        <v>1754</v>
      </c>
      <c r="C474" s="6" t="s">
        <v>1755</v>
      </c>
    </row>
    <row r="475" spans="1:3" ht="14.25" x14ac:dyDescent="0.2">
      <c r="A475" s="56">
        <v>414</v>
      </c>
      <c r="B475" s="5" t="s">
        <v>629</v>
      </c>
      <c r="C475" s="6" t="s">
        <v>630</v>
      </c>
    </row>
    <row r="476" spans="1:3" ht="28.5" x14ac:dyDescent="0.2">
      <c r="A476" s="56">
        <v>415</v>
      </c>
      <c r="B476" s="5" t="s">
        <v>631</v>
      </c>
      <c r="C476" s="6" t="s">
        <v>632</v>
      </c>
    </row>
    <row r="477" spans="1:3" ht="14.25" x14ac:dyDescent="0.2">
      <c r="A477" s="56">
        <v>416</v>
      </c>
      <c r="B477" s="5" t="s">
        <v>1174</v>
      </c>
      <c r="C477" s="6" t="s">
        <v>1175</v>
      </c>
    </row>
    <row r="478" spans="1:3" ht="14.25" x14ac:dyDescent="0.2">
      <c r="A478" s="56">
        <v>417</v>
      </c>
      <c r="B478" s="5" t="s">
        <v>1176</v>
      </c>
      <c r="C478" s="6" t="s">
        <v>1177</v>
      </c>
    </row>
    <row r="479" spans="1:3" ht="14.25" x14ac:dyDescent="0.2">
      <c r="A479" s="56">
        <v>418</v>
      </c>
      <c r="B479" s="5" t="s">
        <v>1178</v>
      </c>
      <c r="C479" s="6" t="s">
        <v>1179</v>
      </c>
    </row>
    <row r="480" spans="1:3" ht="14.25" x14ac:dyDescent="0.2">
      <c r="A480" s="56">
        <v>419</v>
      </c>
      <c r="B480" s="5" t="s">
        <v>633</v>
      </c>
      <c r="C480" s="6" t="s">
        <v>634</v>
      </c>
    </row>
    <row r="481" spans="1:3" ht="14.25" x14ac:dyDescent="0.2">
      <c r="A481" s="56">
        <v>187</v>
      </c>
      <c r="B481" s="5" t="s">
        <v>1756</v>
      </c>
      <c r="C481" s="11" t="s">
        <v>1757</v>
      </c>
    </row>
    <row r="482" spans="1:3" ht="14.25" x14ac:dyDescent="0.2">
      <c r="A482" s="56">
        <v>420</v>
      </c>
      <c r="B482" s="5" t="s">
        <v>635</v>
      </c>
      <c r="C482" s="6" t="s">
        <v>636</v>
      </c>
    </row>
    <row r="483" spans="1:3" ht="14.25" x14ac:dyDescent="0.2">
      <c r="A483" s="56">
        <v>421</v>
      </c>
      <c r="B483" s="5" t="s">
        <v>637</v>
      </c>
      <c r="C483" s="6" t="s">
        <v>638</v>
      </c>
    </row>
    <row r="484" spans="1:3" ht="14.25" x14ac:dyDescent="0.2">
      <c r="A484" s="56">
        <v>422</v>
      </c>
      <c r="B484" s="5" t="s">
        <v>639</v>
      </c>
      <c r="C484" s="6" t="s">
        <v>640</v>
      </c>
    </row>
    <row r="485" spans="1:3" ht="14.25" x14ac:dyDescent="0.2">
      <c r="A485" s="56">
        <v>423</v>
      </c>
      <c r="B485" s="5" t="s">
        <v>641</v>
      </c>
      <c r="C485" s="6" t="s">
        <v>642</v>
      </c>
    </row>
    <row r="486" spans="1:3" ht="14.25" x14ac:dyDescent="0.2">
      <c r="A486" s="56">
        <v>424</v>
      </c>
      <c r="B486" s="5" t="s">
        <v>643</v>
      </c>
      <c r="C486" s="6" t="s">
        <v>644</v>
      </c>
    </row>
    <row r="487" spans="1:3" ht="14.25" x14ac:dyDescent="0.2">
      <c r="A487" s="56">
        <v>425</v>
      </c>
      <c r="B487" s="5" t="s">
        <v>1108</v>
      </c>
      <c r="C487" s="6" t="s">
        <v>1758</v>
      </c>
    </row>
    <row r="488" spans="1:3" ht="14.25" x14ac:dyDescent="0.2">
      <c r="A488" s="56">
        <v>426</v>
      </c>
      <c r="B488" s="5" t="s">
        <v>645</v>
      </c>
      <c r="C488" s="6" t="s">
        <v>646</v>
      </c>
    </row>
    <row r="489" spans="1:3" ht="14.25" x14ac:dyDescent="0.2">
      <c r="A489" s="56">
        <v>427</v>
      </c>
      <c r="B489" s="5" t="s">
        <v>1117</v>
      </c>
      <c r="C489" s="6" t="s">
        <v>1759</v>
      </c>
    </row>
    <row r="490" spans="1:3" ht="14.25" x14ac:dyDescent="0.2">
      <c r="A490" s="56">
        <v>429</v>
      </c>
      <c r="B490" s="5" t="s">
        <v>1121</v>
      </c>
      <c r="C490" s="6" t="s">
        <v>1224</v>
      </c>
    </row>
    <row r="491" spans="1:3" ht="14.25" x14ac:dyDescent="0.2">
      <c r="A491" s="56">
        <v>430</v>
      </c>
      <c r="B491" s="5" t="s">
        <v>1123</v>
      </c>
      <c r="C491" s="6" t="s">
        <v>1760</v>
      </c>
    </row>
    <row r="492" spans="1:3" ht="14.25" x14ac:dyDescent="0.2">
      <c r="A492" s="56">
        <v>431</v>
      </c>
      <c r="B492" s="5" t="s">
        <v>1126</v>
      </c>
      <c r="C492" s="6" t="s">
        <v>1125</v>
      </c>
    </row>
    <row r="493" spans="1:3" ht="28.5" x14ac:dyDescent="0.2">
      <c r="A493" s="56">
        <v>432</v>
      </c>
      <c r="B493" s="5">
        <v>432</v>
      </c>
      <c r="C493" s="6" t="s">
        <v>1761</v>
      </c>
    </row>
    <row r="494" spans="1:3" ht="14.25" x14ac:dyDescent="0.2">
      <c r="A494" s="56">
        <v>433</v>
      </c>
      <c r="B494" s="5" t="s">
        <v>1762</v>
      </c>
      <c r="C494" s="6" t="s">
        <v>1763</v>
      </c>
    </row>
    <row r="495" spans="1:3" ht="14.25" x14ac:dyDescent="0.2">
      <c r="A495" s="56">
        <v>434</v>
      </c>
      <c r="B495" s="5" t="s">
        <v>1157</v>
      </c>
      <c r="C495" s="6" t="s">
        <v>1158</v>
      </c>
    </row>
    <row r="496" spans="1:3" ht="14.25" x14ac:dyDescent="0.2">
      <c r="A496" s="56">
        <v>435</v>
      </c>
      <c r="B496" s="5" t="s">
        <v>1764</v>
      </c>
      <c r="C496" s="6" t="s">
        <v>1765</v>
      </c>
    </row>
    <row r="497" spans="1:3" ht="14.25" x14ac:dyDescent="0.2">
      <c r="A497" s="56">
        <v>436</v>
      </c>
      <c r="B497" s="5" t="s">
        <v>1182</v>
      </c>
      <c r="C497" s="6" t="s">
        <v>1183</v>
      </c>
    </row>
    <row r="498" spans="1:3" ht="28.5" x14ac:dyDescent="0.2">
      <c r="A498" s="56">
        <v>437</v>
      </c>
      <c r="B498" s="5" t="s">
        <v>1184</v>
      </c>
      <c r="C498" s="6" t="s">
        <v>1185</v>
      </c>
    </row>
    <row r="499" spans="1:3" ht="28.5" x14ac:dyDescent="0.2">
      <c r="A499" s="56">
        <v>438</v>
      </c>
      <c r="B499" s="5" t="s">
        <v>1186</v>
      </c>
      <c r="C499" s="6" t="s">
        <v>1187</v>
      </c>
    </row>
    <row r="500" spans="1:3" ht="14.25" x14ac:dyDescent="0.2">
      <c r="A500" s="56">
        <v>439</v>
      </c>
      <c r="B500" s="5" t="s">
        <v>1197</v>
      </c>
      <c r="C500" s="6" t="s">
        <v>1198</v>
      </c>
    </row>
    <row r="501" spans="1:3" ht="14.25" x14ac:dyDescent="0.2">
      <c r="A501" s="56">
        <v>440</v>
      </c>
      <c r="B501" s="5" t="s">
        <v>647</v>
      </c>
      <c r="C501" s="6" t="s">
        <v>648</v>
      </c>
    </row>
    <row r="502" spans="1:3" ht="14.25" x14ac:dyDescent="0.2">
      <c r="A502" s="56">
        <v>441</v>
      </c>
      <c r="B502" s="5" t="s">
        <v>1207</v>
      </c>
      <c r="C502" s="6" t="s">
        <v>1208</v>
      </c>
    </row>
    <row r="503" spans="1:3" ht="14.25" x14ac:dyDescent="0.2">
      <c r="A503" s="56">
        <v>442</v>
      </c>
      <c r="B503" s="8" t="s">
        <v>649</v>
      </c>
      <c r="C503" s="6" t="s">
        <v>650</v>
      </c>
    </row>
    <row r="504" spans="1:3" ht="14.25" x14ac:dyDescent="0.2">
      <c r="A504" s="56">
        <v>443</v>
      </c>
      <c r="B504" s="5" t="s">
        <v>1209</v>
      </c>
      <c r="C504" s="6" t="s">
        <v>1210</v>
      </c>
    </row>
    <row r="505" spans="1:3" ht="14.25" x14ac:dyDescent="0.2">
      <c r="A505" s="56">
        <v>444</v>
      </c>
      <c r="B505" s="5" t="s">
        <v>1211</v>
      </c>
      <c r="C505" s="6" t="s">
        <v>1212</v>
      </c>
    </row>
    <row r="506" spans="1:3" ht="28.5" x14ac:dyDescent="0.2">
      <c r="A506" s="56">
        <v>445</v>
      </c>
      <c r="B506" s="5" t="s">
        <v>1213</v>
      </c>
      <c r="C506" s="6" t="s">
        <v>1214</v>
      </c>
    </row>
    <row r="507" spans="1:3" ht="14.25" x14ac:dyDescent="0.2">
      <c r="A507" s="56">
        <v>553</v>
      </c>
      <c r="B507" s="8" t="s">
        <v>1766</v>
      </c>
      <c r="C507" s="7" t="s">
        <v>1767</v>
      </c>
    </row>
    <row r="508" spans="1:3" ht="14.25" x14ac:dyDescent="0.2">
      <c r="A508" s="56">
        <v>554</v>
      </c>
      <c r="B508" s="5" t="s">
        <v>1768</v>
      </c>
      <c r="C508" s="7" t="s">
        <v>1769</v>
      </c>
    </row>
    <row r="509" spans="1:3" ht="14.25" x14ac:dyDescent="0.2">
      <c r="A509" s="56">
        <v>70</v>
      </c>
      <c r="B509" s="8" t="s">
        <v>651</v>
      </c>
      <c r="C509" s="6" t="s">
        <v>652</v>
      </c>
    </row>
    <row r="510" spans="1:3" ht="14.25" x14ac:dyDescent="0.2">
      <c r="A510" s="56">
        <v>555</v>
      </c>
      <c r="B510" s="5" t="s">
        <v>1770</v>
      </c>
      <c r="C510" s="7" t="s">
        <v>1771</v>
      </c>
    </row>
    <row r="511" spans="1:3" ht="14.25" x14ac:dyDescent="0.2">
      <c r="A511" s="56">
        <v>556</v>
      </c>
      <c r="B511" s="5" t="s">
        <v>1772</v>
      </c>
      <c r="C511" s="7" t="s">
        <v>1773</v>
      </c>
    </row>
    <row r="512" spans="1:3" ht="14.25" x14ac:dyDescent="0.2">
      <c r="A512" s="56">
        <v>557</v>
      </c>
      <c r="B512" s="5" t="s">
        <v>653</v>
      </c>
      <c r="C512" s="6" t="s">
        <v>654</v>
      </c>
    </row>
    <row r="513" spans="1:3" ht="14.25" x14ac:dyDescent="0.2">
      <c r="A513" s="56">
        <v>558</v>
      </c>
      <c r="B513" s="5" t="s">
        <v>1774</v>
      </c>
      <c r="C513" s="6" t="s">
        <v>1775</v>
      </c>
    </row>
    <row r="514" spans="1:3" ht="14.25" x14ac:dyDescent="0.2">
      <c r="A514" s="56">
        <v>559</v>
      </c>
      <c r="B514" s="5" t="s">
        <v>655</v>
      </c>
      <c r="C514" s="6" t="s">
        <v>656</v>
      </c>
    </row>
    <row r="515" spans="1:3" ht="14.25" x14ac:dyDescent="0.2">
      <c r="A515" s="56">
        <v>560</v>
      </c>
      <c r="B515" s="5" t="s">
        <v>1776</v>
      </c>
      <c r="C515" s="6" t="s">
        <v>1777</v>
      </c>
    </row>
    <row r="516" spans="1:3" ht="14.25" x14ac:dyDescent="0.2">
      <c r="A516" s="56">
        <v>561</v>
      </c>
      <c r="B516" s="5" t="s">
        <v>657</v>
      </c>
      <c r="C516" s="6" t="s">
        <v>658</v>
      </c>
    </row>
    <row r="517" spans="1:3" ht="14.25" x14ac:dyDescent="0.2">
      <c r="A517" s="56">
        <v>562</v>
      </c>
      <c r="B517" s="5" t="s">
        <v>659</v>
      </c>
      <c r="C517" s="7" t="s">
        <v>660</v>
      </c>
    </row>
    <row r="518" spans="1:3" ht="14.25" x14ac:dyDescent="0.2">
      <c r="A518" s="56">
        <v>273</v>
      </c>
      <c r="B518" s="5" t="s">
        <v>336</v>
      </c>
      <c r="C518" s="6" t="s">
        <v>661</v>
      </c>
    </row>
    <row r="519" spans="1:3" ht="14.25" x14ac:dyDescent="0.2">
      <c r="A519" s="56">
        <v>274</v>
      </c>
      <c r="B519" s="5" t="s">
        <v>338</v>
      </c>
      <c r="C519" s="6" t="s">
        <v>1778</v>
      </c>
    </row>
    <row r="520" spans="1:3" ht="14.25" x14ac:dyDescent="0.2">
      <c r="A520" s="56">
        <v>563</v>
      </c>
      <c r="B520" s="5" t="s">
        <v>662</v>
      </c>
      <c r="C520" s="6" t="s">
        <v>663</v>
      </c>
    </row>
    <row r="521" spans="1:3" ht="14.25" x14ac:dyDescent="0.2">
      <c r="A521" s="56">
        <v>564</v>
      </c>
      <c r="B521" s="5" t="s">
        <v>1779</v>
      </c>
      <c r="C521" s="6" t="s">
        <v>1780</v>
      </c>
    </row>
    <row r="522" spans="1:3" ht="14.25" x14ac:dyDescent="0.2">
      <c r="A522" s="56">
        <v>565</v>
      </c>
      <c r="B522" s="5" t="s">
        <v>1781</v>
      </c>
      <c r="C522" s="7" t="s">
        <v>1782</v>
      </c>
    </row>
    <row r="523" spans="1:3" ht="14.25" x14ac:dyDescent="0.2">
      <c r="A523" s="56">
        <v>566</v>
      </c>
      <c r="B523" s="5" t="s">
        <v>1783</v>
      </c>
      <c r="C523" s="6" t="s">
        <v>1784</v>
      </c>
    </row>
    <row r="524" spans="1:3" ht="14.25" x14ac:dyDescent="0.2">
      <c r="A524" s="56">
        <v>567</v>
      </c>
      <c r="B524" s="5" t="s">
        <v>1785</v>
      </c>
      <c r="C524" s="6" t="s">
        <v>1786</v>
      </c>
    </row>
    <row r="525" spans="1:3" ht="14.25" x14ac:dyDescent="0.2">
      <c r="A525" s="56">
        <v>568</v>
      </c>
      <c r="B525" s="5" t="s">
        <v>1787</v>
      </c>
      <c r="C525" s="6" t="s">
        <v>1788</v>
      </c>
    </row>
    <row r="526" spans="1:3" ht="14.25" x14ac:dyDescent="0.2">
      <c r="A526" s="56">
        <v>571</v>
      </c>
      <c r="B526" s="5">
        <v>571</v>
      </c>
      <c r="C526" s="6" t="s">
        <v>1789</v>
      </c>
    </row>
    <row r="527" spans="1:3" ht="14.25" x14ac:dyDescent="0.2">
      <c r="A527" s="56">
        <v>572</v>
      </c>
      <c r="B527" s="5">
        <v>572</v>
      </c>
      <c r="C527" s="6" t="s">
        <v>1790</v>
      </c>
    </row>
    <row r="528" spans="1:3" ht="14.25" x14ac:dyDescent="0.2">
      <c r="A528" s="56">
        <v>573</v>
      </c>
      <c r="B528" s="5" t="s">
        <v>1791</v>
      </c>
      <c r="C528" s="6" t="s">
        <v>1792</v>
      </c>
    </row>
    <row r="529" spans="1:3" ht="14.25" x14ac:dyDescent="0.2">
      <c r="A529" s="56">
        <v>353</v>
      </c>
      <c r="B529" s="5">
        <v>353</v>
      </c>
      <c r="C529" s="6" t="s">
        <v>1793</v>
      </c>
    </row>
    <row r="530" spans="1:3" ht="14.25" x14ac:dyDescent="0.2">
      <c r="A530" s="56">
        <v>574</v>
      </c>
      <c r="B530" s="5" t="s">
        <v>1794</v>
      </c>
      <c r="C530" s="7" t="s">
        <v>1795</v>
      </c>
    </row>
    <row r="531" spans="1:3" ht="14.25" x14ac:dyDescent="0.2">
      <c r="A531" s="56">
        <v>577</v>
      </c>
      <c r="B531" s="8" t="s">
        <v>664</v>
      </c>
      <c r="C531" s="6" t="s">
        <v>665</v>
      </c>
    </row>
    <row r="532" spans="1:3" ht="14.25" x14ac:dyDescent="0.2">
      <c r="A532" s="56">
        <v>575</v>
      </c>
      <c r="B532" s="5" t="s">
        <v>265</v>
      </c>
      <c r="C532" s="6" t="s">
        <v>266</v>
      </c>
    </row>
    <row r="533" spans="1:3" ht="14.25" x14ac:dyDescent="0.2">
      <c r="A533" s="56">
        <v>578</v>
      </c>
      <c r="B533" s="5" t="s">
        <v>1796</v>
      </c>
      <c r="C533" s="6" t="s">
        <v>1797</v>
      </c>
    </row>
    <row r="534" spans="1:3" ht="14.25" x14ac:dyDescent="0.2">
      <c r="A534" s="56">
        <v>579</v>
      </c>
      <c r="B534" s="5" t="s">
        <v>309</v>
      </c>
      <c r="C534" s="7" t="s">
        <v>666</v>
      </c>
    </row>
    <row r="535" spans="1:3" ht="14.25" x14ac:dyDescent="0.2">
      <c r="A535" s="56">
        <v>580</v>
      </c>
      <c r="B535" s="5" t="s">
        <v>301</v>
      </c>
      <c r="C535" s="6" t="s">
        <v>1798</v>
      </c>
    </row>
    <row r="536" spans="1:3" ht="14.25" x14ac:dyDescent="0.2">
      <c r="A536" s="56">
        <v>354</v>
      </c>
      <c r="B536" s="5">
        <v>354</v>
      </c>
      <c r="C536" s="6" t="s">
        <v>1799</v>
      </c>
    </row>
    <row r="537" spans="1:3" ht="14.25" x14ac:dyDescent="0.2">
      <c r="A537" s="56">
        <v>582</v>
      </c>
      <c r="B537" s="5" t="s">
        <v>303</v>
      </c>
      <c r="C537" s="6" t="s">
        <v>304</v>
      </c>
    </row>
    <row r="538" spans="1:3" ht="28.5" x14ac:dyDescent="0.2">
      <c r="A538" s="56">
        <v>583</v>
      </c>
      <c r="B538" s="5" t="s">
        <v>1800</v>
      </c>
      <c r="C538" s="7" t="s">
        <v>1801</v>
      </c>
    </row>
    <row r="539" spans="1:3" ht="28.5" x14ac:dyDescent="0.2">
      <c r="A539" s="56">
        <v>584</v>
      </c>
      <c r="B539" s="5" t="s">
        <v>1802</v>
      </c>
      <c r="C539" s="7" t="s">
        <v>1803</v>
      </c>
    </row>
    <row r="540" spans="1:3" ht="14.25" x14ac:dyDescent="0.2">
      <c r="A540" s="56">
        <v>585</v>
      </c>
      <c r="B540" s="5" t="s">
        <v>667</v>
      </c>
      <c r="C540" s="6" t="s">
        <v>668</v>
      </c>
    </row>
    <row r="541" spans="1:3" ht="14.25" x14ac:dyDescent="0.2">
      <c r="A541" s="56">
        <v>586</v>
      </c>
      <c r="B541" s="5" t="s">
        <v>1804</v>
      </c>
      <c r="C541" s="6" t="s">
        <v>1805</v>
      </c>
    </row>
    <row r="542" spans="1:3" ht="14.25" x14ac:dyDescent="0.2">
      <c r="A542" s="56">
        <v>587</v>
      </c>
      <c r="B542" s="5" t="s">
        <v>1806</v>
      </c>
      <c r="C542" s="7" t="s">
        <v>1807</v>
      </c>
    </row>
    <row r="543" spans="1:3" ht="14.25" x14ac:dyDescent="0.2">
      <c r="A543" s="56">
        <v>591</v>
      </c>
      <c r="B543" s="5" t="s">
        <v>305</v>
      </c>
      <c r="C543" s="6" t="s">
        <v>306</v>
      </c>
    </row>
    <row r="544" spans="1:3" ht="14.25" x14ac:dyDescent="0.2">
      <c r="A544" s="56">
        <v>588</v>
      </c>
      <c r="B544" s="5" t="s">
        <v>669</v>
      </c>
      <c r="C544" s="7" t="s">
        <v>1808</v>
      </c>
    </row>
    <row r="545" spans="1:3" ht="14.25" x14ac:dyDescent="0.2">
      <c r="A545" s="56">
        <v>590</v>
      </c>
      <c r="B545" s="8" t="s">
        <v>1809</v>
      </c>
      <c r="C545" s="6" t="s">
        <v>670</v>
      </c>
    </row>
    <row r="546" spans="1:3" ht="14.25" x14ac:dyDescent="0.2">
      <c r="A546" s="56">
        <v>358</v>
      </c>
      <c r="B546" s="5">
        <v>358</v>
      </c>
      <c r="C546" s="6" t="s">
        <v>1810</v>
      </c>
    </row>
    <row r="547" spans="1:3" ht="14.25" x14ac:dyDescent="0.2">
      <c r="A547" s="56">
        <v>592</v>
      </c>
      <c r="B547" s="5" t="s">
        <v>1811</v>
      </c>
      <c r="C547" s="6" t="s">
        <v>1812</v>
      </c>
    </row>
    <row r="548" spans="1:3" ht="28.5" x14ac:dyDescent="0.2">
      <c r="A548" s="56">
        <v>593</v>
      </c>
      <c r="B548" s="5" t="s">
        <v>1813</v>
      </c>
      <c r="C548" s="7" t="s">
        <v>1814</v>
      </c>
    </row>
    <row r="549" spans="1:3" ht="14.25" x14ac:dyDescent="0.2">
      <c r="A549" s="56">
        <v>115</v>
      </c>
      <c r="B549" s="5" t="s">
        <v>671</v>
      </c>
      <c r="C549" s="7" t="s">
        <v>672</v>
      </c>
    </row>
    <row r="550" spans="1:3" ht="14.25" x14ac:dyDescent="0.2">
      <c r="A550" s="56">
        <v>594</v>
      </c>
      <c r="B550" s="5" t="s">
        <v>673</v>
      </c>
      <c r="C550" s="6" t="s">
        <v>674</v>
      </c>
    </row>
    <row r="551" spans="1:3" ht="14.25" x14ac:dyDescent="0.2">
      <c r="A551" s="56">
        <v>488</v>
      </c>
      <c r="B551" s="5" t="s">
        <v>675</v>
      </c>
      <c r="C551" s="6" t="s">
        <v>1815</v>
      </c>
    </row>
    <row r="552" spans="1:3" ht="14.25" x14ac:dyDescent="0.2">
      <c r="A552" s="56">
        <v>128</v>
      </c>
      <c r="B552" s="5" t="s">
        <v>1816</v>
      </c>
      <c r="C552" s="6" t="s">
        <v>1817</v>
      </c>
    </row>
    <row r="553" spans="1:3" ht="14.25" x14ac:dyDescent="0.2">
      <c r="A553" s="56">
        <v>245</v>
      </c>
      <c r="B553" s="5" t="s">
        <v>676</v>
      </c>
      <c r="C553" s="7" t="s">
        <v>677</v>
      </c>
    </row>
    <row r="554" spans="1:3" ht="14.25" x14ac:dyDescent="0.2">
      <c r="A554" s="56">
        <v>595</v>
      </c>
      <c r="B554" s="5" t="s">
        <v>1131</v>
      </c>
      <c r="C554" s="6" t="s">
        <v>1818</v>
      </c>
    </row>
    <row r="555" spans="1:3" ht="14.25" x14ac:dyDescent="0.2">
      <c r="A555" s="56">
        <v>596</v>
      </c>
      <c r="B555" s="5" t="s">
        <v>678</v>
      </c>
      <c r="C555" s="6" t="s">
        <v>679</v>
      </c>
    </row>
    <row r="556" spans="1:3" ht="14.25" x14ac:dyDescent="0.2">
      <c r="A556" s="56">
        <v>597</v>
      </c>
      <c r="B556" s="5" t="s">
        <v>1819</v>
      </c>
      <c r="C556" s="7" t="s">
        <v>1820</v>
      </c>
    </row>
    <row r="557" spans="1:3" ht="14.25" x14ac:dyDescent="0.2">
      <c r="A557" s="56">
        <v>598</v>
      </c>
      <c r="B557" s="5" t="s">
        <v>1821</v>
      </c>
      <c r="C557" s="6" t="s">
        <v>1822</v>
      </c>
    </row>
    <row r="558" spans="1:3" ht="14.25" x14ac:dyDescent="0.2">
      <c r="A558" s="56">
        <v>599</v>
      </c>
      <c r="B558" s="5" t="s">
        <v>680</v>
      </c>
      <c r="C558" s="6" t="s">
        <v>681</v>
      </c>
    </row>
    <row r="559" spans="1:3" ht="14.25" x14ac:dyDescent="0.2">
      <c r="A559" s="56">
        <v>600</v>
      </c>
      <c r="B559" s="5" t="s">
        <v>267</v>
      </c>
      <c r="C559" s="6" t="s">
        <v>268</v>
      </c>
    </row>
    <row r="560" spans="1:3" ht="28.5" x14ac:dyDescent="0.2">
      <c r="A560" s="56">
        <v>601</v>
      </c>
      <c r="B560" s="5" t="s">
        <v>682</v>
      </c>
      <c r="C560" s="6" t="s">
        <v>1249</v>
      </c>
    </row>
    <row r="561" spans="1:3" ht="14.25" x14ac:dyDescent="0.2">
      <c r="A561" s="56">
        <v>602</v>
      </c>
      <c r="B561" s="5" t="s">
        <v>1823</v>
      </c>
      <c r="C561" s="6" t="s">
        <v>1824</v>
      </c>
    </row>
    <row r="562" spans="1:3" ht="14.25" x14ac:dyDescent="0.2">
      <c r="A562" s="56">
        <v>603</v>
      </c>
      <c r="B562" s="5" t="s">
        <v>1825</v>
      </c>
      <c r="C562" s="6" t="s">
        <v>1826</v>
      </c>
    </row>
    <row r="563" spans="1:3" ht="14.25" x14ac:dyDescent="0.2">
      <c r="A563" s="56">
        <v>604</v>
      </c>
      <c r="B563" s="5" t="s">
        <v>1827</v>
      </c>
      <c r="C563" s="6" t="s">
        <v>1828</v>
      </c>
    </row>
    <row r="564" spans="1:3" ht="14.25" x14ac:dyDescent="0.2">
      <c r="A564" s="56">
        <v>605</v>
      </c>
      <c r="B564" s="5" t="s">
        <v>1829</v>
      </c>
      <c r="C564" s="7" t="s">
        <v>1830</v>
      </c>
    </row>
    <row r="565" spans="1:3" ht="28.5" x14ac:dyDescent="0.2">
      <c r="A565" s="56">
        <v>534</v>
      </c>
      <c r="B565" s="5" t="s">
        <v>1831</v>
      </c>
      <c r="C565" s="6" t="s">
        <v>1832</v>
      </c>
    </row>
    <row r="566" spans="1:3" ht="28.5" x14ac:dyDescent="0.2">
      <c r="A566" s="56">
        <v>535</v>
      </c>
      <c r="B566" s="5" t="s">
        <v>1833</v>
      </c>
      <c r="C566" s="6" t="s">
        <v>1834</v>
      </c>
    </row>
    <row r="567" spans="1:3" ht="28.5" x14ac:dyDescent="0.2">
      <c r="A567" s="56">
        <v>536</v>
      </c>
      <c r="B567" s="5" t="s">
        <v>1835</v>
      </c>
      <c r="C567" s="6" t="s">
        <v>1836</v>
      </c>
    </row>
    <row r="568" spans="1:3" ht="28.5" x14ac:dyDescent="0.2">
      <c r="A568" s="56">
        <v>537</v>
      </c>
      <c r="B568" s="5" t="s">
        <v>1837</v>
      </c>
      <c r="C568" s="6" t="s">
        <v>1838</v>
      </c>
    </row>
    <row r="569" spans="1:3" ht="28.5" x14ac:dyDescent="0.2">
      <c r="A569" s="56">
        <v>549</v>
      </c>
      <c r="B569" s="5" t="s">
        <v>1839</v>
      </c>
      <c r="C569" s="6" t="s">
        <v>1840</v>
      </c>
    </row>
    <row r="570" spans="1:3" ht="28.5" x14ac:dyDescent="0.2">
      <c r="A570" s="56">
        <v>550</v>
      </c>
      <c r="B570" s="5" t="s">
        <v>1841</v>
      </c>
      <c r="C570" s="6" t="s">
        <v>1842</v>
      </c>
    </row>
    <row r="571" spans="1:3" ht="28.5" x14ac:dyDescent="0.2">
      <c r="A571" s="56">
        <v>551</v>
      </c>
      <c r="B571" s="5" t="s">
        <v>1843</v>
      </c>
      <c r="C571" s="6" t="s">
        <v>1844</v>
      </c>
    </row>
    <row r="572" spans="1:3" ht="28.5" x14ac:dyDescent="0.2">
      <c r="A572" s="56">
        <v>552</v>
      </c>
      <c r="B572" s="5" t="s">
        <v>1845</v>
      </c>
      <c r="C572" s="6" t="s">
        <v>1846</v>
      </c>
    </row>
    <row r="573" spans="1:3" ht="14.25" x14ac:dyDescent="0.2">
      <c r="A573" s="56">
        <v>606</v>
      </c>
      <c r="B573" s="5" t="s">
        <v>683</v>
      </c>
      <c r="C573" s="6" t="s">
        <v>1847</v>
      </c>
    </row>
    <row r="574" spans="1:3" ht="14.25" x14ac:dyDescent="0.2">
      <c r="A574" s="56">
        <v>512</v>
      </c>
      <c r="B574" s="5" t="s">
        <v>1848</v>
      </c>
      <c r="C574" s="6" t="s">
        <v>1849</v>
      </c>
    </row>
    <row r="575" spans="1:3" ht="14.25" x14ac:dyDescent="0.2">
      <c r="A575" s="56">
        <v>113</v>
      </c>
      <c r="B575" s="5" t="s">
        <v>1250</v>
      </c>
      <c r="C575" s="6" t="s">
        <v>1251</v>
      </c>
    </row>
    <row r="576" spans="1:3" ht="14.25" x14ac:dyDescent="0.2">
      <c r="A576" s="56">
        <v>326</v>
      </c>
      <c r="B576" s="5" t="s">
        <v>684</v>
      </c>
      <c r="C576" s="6" t="s">
        <v>1850</v>
      </c>
    </row>
    <row r="577" spans="1:3" ht="14.25" x14ac:dyDescent="0.2">
      <c r="A577" s="56">
        <v>607</v>
      </c>
      <c r="B577" s="5" t="s">
        <v>685</v>
      </c>
      <c r="C577" s="6" t="s">
        <v>1851</v>
      </c>
    </row>
    <row r="578" spans="1:3" ht="14.25" x14ac:dyDescent="0.2">
      <c r="A578" s="56">
        <v>608</v>
      </c>
      <c r="B578" s="5" t="s">
        <v>686</v>
      </c>
      <c r="C578" s="6" t="s">
        <v>1852</v>
      </c>
    </row>
    <row r="579" spans="1:3" ht="14.25" x14ac:dyDescent="0.2">
      <c r="A579" s="56">
        <v>249</v>
      </c>
      <c r="B579" s="5" t="s">
        <v>1853</v>
      </c>
      <c r="C579" s="6" t="s">
        <v>1854</v>
      </c>
    </row>
    <row r="580" spans="1:3" ht="14.25" x14ac:dyDescent="0.2">
      <c r="A580" s="56">
        <v>125</v>
      </c>
      <c r="B580" s="5" t="s">
        <v>1855</v>
      </c>
      <c r="C580" s="6" t="s">
        <v>1856</v>
      </c>
    </row>
    <row r="581" spans="1:3" ht="14.25" x14ac:dyDescent="0.2">
      <c r="A581" s="56">
        <v>126</v>
      </c>
      <c r="B581" s="5" t="s">
        <v>687</v>
      </c>
      <c r="C581" s="6" t="s">
        <v>688</v>
      </c>
    </row>
    <row r="582" spans="1:3" ht="14.25" x14ac:dyDescent="0.2">
      <c r="A582" s="56">
        <v>609</v>
      </c>
      <c r="B582" s="5" t="s">
        <v>689</v>
      </c>
      <c r="C582" s="6" t="s">
        <v>690</v>
      </c>
    </row>
    <row r="583" spans="1:3" ht="14.25" x14ac:dyDescent="0.2">
      <c r="A583" s="56">
        <v>513</v>
      </c>
      <c r="B583" s="5" t="s">
        <v>1857</v>
      </c>
      <c r="C583" s="6" t="s">
        <v>1858</v>
      </c>
    </row>
    <row r="584" spans="1:3" ht="14.25" x14ac:dyDescent="0.2">
      <c r="A584" s="56">
        <v>610</v>
      </c>
      <c r="B584" s="5" t="s">
        <v>691</v>
      </c>
      <c r="C584" s="6" t="s">
        <v>692</v>
      </c>
    </row>
    <row r="585" spans="1:3" ht="14.25" x14ac:dyDescent="0.2">
      <c r="A585" s="56">
        <v>275</v>
      </c>
      <c r="B585" s="5" t="s">
        <v>1859</v>
      </c>
      <c r="C585" s="6" t="s">
        <v>1860</v>
      </c>
    </row>
    <row r="586" spans="1:3" ht="14.25" x14ac:dyDescent="0.2">
      <c r="A586" s="56">
        <v>514</v>
      </c>
      <c r="B586" s="5" t="s">
        <v>1861</v>
      </c>
      <c r="C586" s="6" t="s">
        <v>1862</v>
      </c>
    </row>
    <row r="587" spans="1:3" ht="14.25" x14ac:dyDescent="0.2">
      <c r="A587" s="56">
        <v>515</v>
      </c>
      <c r="B587" s="5" t="s">
        <v>1863</v>
      </c>
      <c r="C587" s="6" t="s">
        <v>1864</v>
      </c>
    </row>
    <row r="588" spans="1:3" ht="14.25" x14ac:dyDescent="0.2">
      <c r="A588" s="56">
        <v>516</v>
      </c>
      <c r="B588" s="5" t="s">
        <v>1865</v>
      </c>
      <c r="C588" s="6" t="s">
        <v>1866</v>
      </c>
    </row>
    <row r="589" spans="1:3" ht="14.25" x14ac:dyDescent="0.2">
      <c r="A589" s="56">
        <v>517</v>
      </c>
      <c r="B589" s="5" t="s">
        <v>1867</v>
      </c>
      <c r="C589" s="6" t="s">
        <v>1868</v>
      </c>
    </row>
    <row r="590" spans="1:3" ht="14.25" x14ac:dyDescent="0.2">
      <c r="A590" s="56">
        <v>611</v>
      </c>
      <c r="B590" s="5" t="s">
        <v>1869</v>
      </c>
      <c r="C590" s="6" t="s">
        <v>1870</v>
      </c>
    </row>
    <row r="591" spans="1:3" ht="14.25" x14ac:dyDescent="0.2">
      <c r="A591" s="56">
        <v>613</v>
      </c>
      <c r="B591" s="5" t="s">
        <v>1871</v>
      </c>
      <c r="C591" s="6" t="s">
        <v>693</v>
      </c>
    </row>
    <row r="592" spans="1:3" ht="14.25" x14ac:dyDescent="0.2">
      <c r="A592" s="56">
        <v>614</v>
      </c>
      <c r="B592" s="5" t="s">
        <v>1872</v>
      </c>
      <c r="C592" s="6" t="s">
        <v>694</v>
      </c>
    </row>
    <row r="593" spans="1:3" ht="14.25" x14ac:dyDescent="0.2">
      <c r="A593" s="56">
        <v>615</v>
      </c>
      <c r="B593" s="5" t="s">
        <v>1873</v>
      </c>
      <c r="C593" s="6" t="s">
        <v>695</v>
      </c>
    </row>
    <row r="594" spans="1:3" ht="14.25" x14ac:dyDescent="0.2">
      <c r="A594" s="56">
        <v>616</v>
      </c>
      <c r="B594" s="5" t="s">
        <v>1874</v>
      </c>
      <c r="C594" s="6" t="s">
        <v>1875</v>
      </c>
    </row>
    <row r="595" spans="1:3" ht="28.5" x14ac:dyDescent="0.2">
      <c r="A595" s="56">
        <v>617</v>
      </c>
      <c r="B595" s="5" t="s">
        <v>1876</v>
      </c>
      <c r="C595" s="7" t="s">
        <v>1877</v>
      </c>
    </row>
    <row r="596" spans="1:3" ht="28.5" x14ac:dyDescent="0.2">
      <c r="A596" s="56">
        <v>618</v>
      </c>
      <c r="B596" s="5" t="s">
        <v>1878</v>
      </c>
      <c r="C596" s="7" t="s">
        <v>1879</v>
      </c>
    </row>
    <row r="597" spans="1:3" ht="14.25" x14ac:dyDescent="0.2">
      <c r="A597" s="56">
        <v>619</v>
      </c>
      <c r="B597" s="5" t="s">
        <v>696</v>
      </c>
      <c r="C597" s="6" t="s">
        <v>1880</v>
      </c>
    </row>
    <row r="598" spans="1:3" ht="14.25" x14ac:dyDescent="0.2">
      <c r="A598" s="56">
        <v>620</v>
      </c>
      <c r="B598" s="5" t="s">
        <v>283</v>
      </c>
      <c r="C598" s="6" t="s">
        <v>284</v>
      </c>
    </row>
    <row r="599" spans="1:3" ht="14.25" x14ac:dyDescent="0.2">
      <c r="A599" s="56">
        <v>621</v>
      </c>
      <c r="B599" s="5" t="s">
        <v>1881</v>
      </c>
      <c r="C599" s="6" t="s">
        <v>697</v>
      </c>
    </row>
    <row r="600" spans="1:3" ht="14.25" x14ac:dyDescent="0.2">
      <c r="A600" s="56">
        <v>622</v>
      </c>
      <c r="B600" s="5" t="s">
        <v>698</v>
      </c>
      <c r="C600" s="6" t="s">
        <v>699</v>
      </c>
    </row>
    <row r="601" spans="1:3" ht="14.25" x14ac:dyDescent="0.2">
      <c r="A601" s="56">
        <v>623</v>
      </c>
      <c r="B601" s="5" t="s">
        <v>700</v>
      </c>
      <c r="C601" s="6" t="s">
        <v>701</v>
      </c>
    </row>
    <row r="602" spans="1:3" ht="14.25" x14ac:dyDescent="0.2">
      <c r="A602" s="56">
        <v>624</v>
      </c>
      <c r="B602" s="5" t="s">
        <v>702</v>
      </c>
      <c r="C602" s="6" t="s">
        <v>703</v>
      </c>
    </row>
    <row r="603" spans="1:3" ht="14.25" x14ac:dyDescent="0.2">
      <c r="A603" s="56">
        <v>625</v>
      </c>
      <c r="B603" s="5" t="s">
        <v>1252</v>
      </c>
      <c r="C603" s="6" t="s">
        <v>1253</v>
      </c>
    </row>
    <row r="604" spans="1:3" ht="14.25" x14ac:dyDescent="0.2">
      <c r="A604" s="56">
        <v>626</v>
      </c>
      <c r="B604" s="5" t="s">
        <v>1882</v>
      </c>
      <c r="C604" s="6" t="s">
        <v>1883</v>
      </c>
    </row>
    <row r="605" spans="1:3" ht="14.25" x14ac:dyDescent="0.2">
      <c r="A605" s="56">
        <v>627</v>
      </c>
      <c r="B605" s="5" t="s">
        <v>704</v>
      </c>
      <c r="C605" s="6" t="s">
        <v>705</v>
      </c>
    </row>
    <row r="606" spans="1:3" ht="28.5" x14ac:dyDescent="0.2">
      <c r="A606" s="56">
        <v>628</v>
      </c>
      <c r="B606" s="5" t="s">
        <v>269</v>
      </c>
      <c r="C606" s="6" t="s">
        <v>1884</v>
      </c>
    </row>
    <row r="607" spans="1:3" ht="14.25" x14ac:dyDescent="0.2">
      <c r="A607" s="56">
        <v>629</v>
      </c>
      <c r="B607" s="5" t="s">
        <v>1885</v>
      </c>
      <c r="C607" s="6" t="s">
        <v>1886</v>
      </c>
    </row>
    <row r="608" spans="1:3" ht="14.25" x14ac:dyDescent="0.2">
      <c r="A608" s="56">
        <v>630</v>
      </c>
      <c r="B608" s="5" t="s">
        <v>1887</v>
      </c>
      <c r="C608" s="6" t="s">
        <v>1888</v>
      </c>
    </row>
    <row r="609" spans="1:3" ht="14.25" x14ac:dyDescent="0.2">
      <c r="A609" s="56">
        <v>631</v>
      </c>
      <c r="B609" s="5" t="s">
        <v>1889</v>
      </c>
      <c r="C609" s="6" t="s">
        <v>1890</v>
      </c>
    </row>
    <row r="610" spans="1:3" ht="14.25" x14ac:dyDescent="0.2">
      <c r="A610" s="56">
        <v>632</v>
      </c>
      <c r="B610" s="5" t="s">
        <v>285</v>
      </c>
      <c r="C610" s="6" t="s">
        <v>286</v>
      </c>
    </row>
    <row r="611" spans="1:3" ht="14.25" x14ac:dyDescent="0.2">
      <c r="A611" s="56">
        <v>633</v>
      </c>
      <c r="B611" s="5" t="s">
        <v>1891</v>
      </c>
      <c r="C611" s="6" t="s">
        <v>1892</v>
      </c>
    </row>
  </sheetData>
  <mergeCells count="2">
    <mergeCell ref="B2:C2"/>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159"/>
  <sheetViews>
    <sheetView topLeftCell="A15" zoomScale="40" zoomScaleNormal="40" workbookViewId="0">
      <selection activeCell="B1" sqref="B1"/>
    </sheetView>
  </sheetViews>
  <sheetFormatPr defaultColWidth="9.140625" defaultRowHeight="12.75" x14ac:dyDescent="0.2"/>
  <cols>
    <col min="1" max="1" width="4.7109375" style="16" customWidth="1"/>
    <col min="2" max="2" width="67.7109375" style="16" bestFit="1" customWidth="1"/>
    <col min="3" max="3" width="39.42578125" style="16" customWidth="1"/>
    <col min="4" max="4" width="19.42578125" style="16" customWidth="1"/>
    <col min="5" max="5" width="14.42578125" style="16" customWidth="1"/>
    <col min="6" max="6" width="35.42578125" style="16" customWidth="1"/>
    <col min="7" max="7" width="14.42578125" style="86" customWidth="1"/>
    <col min="8" max="8" width="14.42578125" style="16" customWidth="1"/>
    <col min="9" max="9" width="34.28515625" style="16" customWidth="1"/>
    <col min="10" max="10" width="14.42578125" style="16" customWidth="1"/>
    <col min="11" max="11" width="69.140625" style="16" customWidth="1"/>
    <col min="12" max="12" width="9.140625" style="16" customWidth="1"/>
    <col min="13" max="18" width="17.28515625" style="16" customWidth="1"/>
    <col min="19" max="19" width="57.85546875" style="16" customWidth="1"/>
    <col min="20" max="16384" width="9.140625" style="16"/>
  </cols>
  <sheetData>
    <row r="1" spans="2:19" ht="18.75" thickBot="1" x14ac:dyDescent="0.25">
      <c r="B1" s="52"/>
      <c r="C1" s="87"/>
      <c r="D1" s="87"/>
      <c r="E1" s="525" t="s">
        <v>2</v>
      </c>
      <c r="F1" s="526"/>
      <c r="G1" s="526"/>
      <c r="H1" s="526"/>
      <c r="I1" s="526"/>
      <c r="J1" s="527"/>
      <c r="M1" s="528" t="s">
        <v>3</v>
      </c>
      <c r="N1" s="529"/>
      <c r="O1" s="529"/>
      <c r="P1" s="529"/>
      <c r="Q1" s="529"/>
      <c r="R1" s="530"/>
    </row>
    <row r="2" spans="2:19" ht="18.75" thickBot="1" x14ac:dyDescent="0.25">
      <c r="B2" s="525" t="s">
        <v>4</v>
      </c>
      <c r="C2" s="526"/>
      <c r="D2" s="526"/>
      <c r="E2" s="525" t="s">
        <v>5</v>
      </c>
      <c r="F2" s="526"/>
      <c r="G2" s="527"/>
      <c r="H2" s="525" t="s">
        <v>6</v>
      </c>
      <c r="I2" s="526"/>
      <c r="J2" s="527"/>
      <c r="K2" s="531" t="s">
        <v>7</v>
      </c>
      <c r="M2" s="528" t="s">
        <v>5</v>
      </c>
      <c r="N2" s="529"/>
      <c r="O2" s="530"/>
      <c r="P2" s="528" t="s">
        <v>6</v>
      </c>
      <c r="Q2" s="529"/>
      <c r="R2" s="530"/>
      <c r="S2" s="534" t="s">
        <v>7</v>
      </c>
    </row>
    <row r="3" spans="2:19" ht="32.25" thickBot="1" x14ac:dyDescent="0.25">
      <c r="B3" s="17" t="s">
        <v>8</v>
      </c>
      <c r="C3" s="18" t="s">
        <v>9</v>
      </c>
      <c r="D3" s="19" t="s">
        <v>10</v>
      </c>
      <c r="E3" s="20" t="s">
        <v>11</v>
      </c>
      <c r="F3" s="21" t="s">
        <v>12</v>
      </c>
      <c r="G3" s="58" t="s">
        <v>13</v>
      </c>
      <c r="H3" s="59" t="s">
        <v>11</v>
      </c>
      <c r="I3" s="60" t="s">
        <v>12</v>
      </c>
      <c r="J3" s="58" t="s">
        <v>14</v>
      </c>
      <c r="K3" s="532"/>
      <c r="M3" s="96" t="s">
        <v>11</v>
      </c>
      <c r="N3" s="97" t="s">
        <v>12</v>
      </c>
      <c r="O3" s="98" t="s">
        <v>13</v>
      </c>
      <c r="P3" s="96" t="s">
        <v>11</v>
      </c>
      <c r="Q3" s="97" t="s">
        <v>12</v>
      </c>
      <c r="R3" s="98" t="s">
        <v>14</v>
      </c>
      <c r="S3" s="535"/>
    </row>
    <row r="4" spans="2:19" ht="15" thickTop="1" x14ac:dyDescent="0.2">
      <c r="B4" s="22" t="s">
        <v>15</v>
      </c>
      <c r="C4" s="23" t="s">
        <v>16</v>
      </c>
      <c r="D4" s="24" t="s">
        <v>17</v>
      </c>
      <c r="E4" s="25" t="s">
        <v>18</v>
      </c>
      <c r="F4" s="498" t="s">
        <v>19</v>
      </c>
      <c r="G4" s="49">
        <v>100</v>
      </c>
      <c r="H4" s="25" t="s">
        <v>18</v>
      </c>
      <c r="I4" s="498" t="s">
        <v>19</v>
      </c>
      <c r="J4" s="49">
        <v>100</v>
      </c>
      <c r="K4" s="532"/>
      <c r="M4" s="25"/>
      <c r="N4" s="50"/>
      <c r="O4" s="49"/>
      <c r="P4" s="25"/>
      <c r="Q4" s="50"/>
      <c r="R4" s="49"/>
      <c r="S4" s="535"/>
    </row>
    <row r="5" spans="2:19" ht="14.25" x14ac:dyDescent="0.2">
      <c r="B5" s="22" t="s">
        <v>20</v>
      </c>
      <c r="C5" s="23" t="s">
        <v>21</v>
      </c>
      <c r="D5" s="24" t="s">
        <v>22</v>
      </c>
      <c r="E5" s="22" t="s">
        <v>23</v>
      </c>
      <c r="F5" s="498" t="s">
        <v>24</v>
      </c>
      <c r="G5" s="49">
        <v>900</v>
      </c>
      <c r="H5" s="22" t="s">
        <v>23</v>
      </c>
      <c r="I5" s="498" t="s">
        <v>24</v>
      </c>
      <c r="J5" s="49">
        <v>900</v>
      </c>
      <c r="K5" s="532"/>
      <c r="M5" s="22"/>
      <c r="N5" s="50"/>
      <c r="O5" s="49"/>
      <c r="P5" s="22"/>
      <c r="Q5" s="50"/>
      <c r="R5" s="49"/>
      <c r="S5" s="535"/>
    </row>
    <row r="6" spans="2:19" ht="16.5" customHeight="1" thickBot="1" x14ac:dyDescent="0.25">
      <c r="B6" s="67" t="s">
        <v>25</v>
      </c>
      <c r="C6" s="68" t="s">
        <v>9</v>
      </c>
      <c r="D6" s="69" t="s">
        <v>26</v>
      </c>
      <c r="E6" s="70" t="s">
        <v>27</v>
      </c>
      <c r="F6" s="71" t="s">
        <v>28</v>
      </c>
      <c r="G6" s="72" t="s">
        <v>29</v>
      </c>
      <c r="H6" s="72" t="s">
        <v>29</v>
      </c>
      <c r="I6" s="72" t="s">
        <v>29</v>
      </c>
      <c r="J6" s="72" t="s">
        <v>29</v>
      </c>
      <c r="K6" s="533"/>
      <c r="M6" s="70" t="s">
        <v>27</v>
      </c>
      <c r="N6" s="71" t="s">
        <v>28</v>
      </c>
      <c r="O6" s="72" t="s">
        <v>29</v>
      </c>
      <c r="P6" s="72" t="s">
        <v>29</v>
      </c>
      <c r="Q6" s="72" t="s">
        <v>29</v>
      </c>
      <c r="R6" s="72" t="s">
        <v>29</v>
      </c>
      <c r="S6" s="536"/>
    </row>
    <row r="7" spans="2:19" ht="25.5" x14ac:dyDescent="0.2">
      <c r="B7" s="26" t="s">
        <v>30</v>
      </c>
      <c r="C7" s="27" t="s">
        <v>31</v>
      </c>
      <c r="D7" s="28" t="s">
        <v>32</v>
      </c>
      <c r="E7" s="99" t="s">
        <v>33</v>
      </c>
      <c r="F7" s="27" t="s">
        <v>34</v>
      </c>
      <c r="G7" s="482">
        <f>(59.28*30)/1000</f>
        <v>1.7784</v>
      </c>
      <c r="H7" s="99" t="s">
        <v>33</v>
      </c>
      <c r="I7" s="27" t="s">
        <v>34</v>
      </c>
      <c r="J7" s="100">
        <f>59.28*8/1000</f>
        <v>0.47423999999999999</v>
      </c>
      <c r="K7" s="483" t="s">
        <v>35</v>
      </c>
      <c r="M7" s="99" t="s">
        <v>33</v>
      </c>
      <c r="N7" s="27" t="s">
        <v>34</v>
      </c>
      <c r="O7" s="66">
        <v>0.77063999999999999</v>
      </c>
      <c r="P7" s="99" t="s">
        <v>33</v>
      </c>
      <c r="Q7" s="27" t="s">
        <v>34</v>
      </c>
      <c r="R7" s="100">
        <v>6.4219999999999999E-2</v>
      </c>
      <c r="S7" s="101" t="s">
        <v>36</v>
      </c>
    </row>
    <row r="8" spans="2:19" ht="25.5" x14ac:dyDescent="0.2">
      <c r="B8" s="29" t="s">
        <v>37</v>
      </c>
      <c r="C8" s="30" t="s">
        <v>31</v>
      </c>
      <c r="D8" s="484" t="s">
        <v>32</v>
      </c>
      <c r="E8" s="32" t="s">
        <v>33</v>
      </c>
      <c r="F8" s="30" t="s">
        <v>34</v>
      </c>
      <c r="G8" s="61">
        <f>(59.28*30)/1000</f>
        <v>1.7784</v>
      </c>
      <c r="H8" s="32" t="s">
        <v>33</v>
      </c>
      <c r="I8" s="30" t="s">
        <v>34</v>
      </c>
      <c r="J8" s="102">
        <f>59.28*8/1000</f>
        <v>0.47423999999999999</v>
      </c>
      <c r="K8" s="63" t="s">
        <v>38</v>
      </c>
      <c r="M8" s="32" t="s">
        <v>33</v>
      </c>
      <c r="N8" s="30" t="s">
        <v>34</v>
      </c>
      <c r="O8" s="66">
        <v>0.47423999999999999</v>
      </c>
      <c r="P8" s="32" t="s">
        <v>33</v>
      </c>
      <c r="Q8" s="30" t="s">
        <v>34</v>
      </c>
      <c r="R8" s="102">
        <v>3.952E-2</v>
      </c>
      <c r="S8" s="103" t="s">
        <v>36</v>
      </c>
    </row>
    <row r="9" spans="2:19" ht="25.5" x14ac:dyDescent="0.2">
      <c r="B9" s="29" t="s">
        <v>39</v>
      </c>
      <c r="C9" s="30" t="s">
        <v>40</v>
      </c>
      <c r="D9" s="484" t="s">
        <v>32</v>
      </c>
      <c r="E9" s="32" t="s">
        <v>33</v>
      </c>
      <c r="F9" s="30" t="s">
        <v>34</v>
      </c>
      <c r="G9" s="61">
        <f>(74.42*30)/1000</f>
        <v>2.2325999999999997</v>
      </c>
      <c r="H9" s="32" t="s">
        <v>33</v>
      </c>
      <c r="I9" s="30" t="s">
        <v>34</v>
      </c>
      <c r="J9" s="102">
        <f>74.42*8/1000</f>
        <v>0.59536</v>
      </c>
      <c r="K9" s="63" t="s">
        <v>41</v>
      </c>
      <c r="M9" s="32" t="s">
        <v>33</v>
      </c>
      <c r="N9" s="30" t="s">
        <v>34</v>
      </c>
      <c r="O9" s="66">
        <v>1.37677</v>
      </c>
      <c r="P9" s="32" t="s">
        <v>33</v>
      </c>
      <c r="Q9" s="30" t="s">
        <v>34</v>
      </c>
      <c r="R9" s="102">
        <v>0.11473083333333334</v>
      </c>
      <c r="S9" s="103" t="s">
        <v>36</v>
      </c>
    </row>
    <row r="10" spans="2:19" ht="25.5" x14ac:dyDescent="0.2">
      <c r="B10" s="29" t="s">
        <v>42</v>
      </c>
      <c r="C10" s="30" t="s">
        <v>40</v>
      </c>
      <c r="D10" s="484" t="s">
        <v>32</v>
      </c>
      <c r="E10" s="32" t="s">
        <v>33</v>
      </c>
      <c r="F10" s="30" t="s">
        <v>34</v>
      </c>
      <c r="G10" s="61">
        <f>(74.42*30)/1000</f>
        <v>2.2325999999999997</v>
      </c>
      <c r="H10" s="32" t="s">
        <v>33</v>
      </c>
      <c r="I10" s="30" t="s">
        <v>34</v>
      </c>
      <c r="J10" s="102">
        <f>74.42*8/1000</f>
        <v>0.59536</v>
      </c>
      <c r="K10" s="63" t="s">
        <v>43</v>
      </c>
      <c r="M10" s="32" t="s">
        <v>33</v>
      </c>
      <c r="N10" s="30" t="s">
        <v>34</v>
      </c>
      <c r="O10" s="66">
        <v>1.1609520000000018</v>
      </c>
      <c r="P10" s="32" t="s">
        <v>33</v>
      </c>
      <c r="Q10" s="30" t="s">
        <v>34</v>
      </c>
      <c r="R10" s="102">
        <v>9.6746000000000151E-2</v>
      </c>
      <c r="S10" s="103" t="s">
        <v>36</v>
      </c>
    </row>
    <row r="11" spans="2:19" ht="25.5" x14ac:dyDescent="0.2">
      <c r="B11" s="29" t="s">
        <v>44</v>
      </c>
      <c r="C11" s="30" t="s">
        <v>40</v>
      </c>
      <c r="D11" s="484" t="s">
        <v>32</v>
      </c>
      <c r="E11" s="32" t="s">
        <v>33</v>
      </c>
      <c r="F11" s="30" t="s">
        <v>34</v>
      </c>
      <c r="G11" s="61">
        <f>(74.42*30)/1000</f>
        <v>2.2325999999999997</v>
      </c>
      <c r="H11" s="32" t="s">
        <v>33</v>
      </c>
      <c r="I11" s="30" t="s">
        <v>34</v>
      </c>
      <c r="J11" s="102">
        <f>74.42*8/1000</f>
        <v>0.59536</v>
      </c>
      <c r="K11" s="63" t="s">
        <v>45</v>
      </c>
      <c r="M11" s="32" t="s">
        <v>33</v>
      </c>
      <c r="N11" s="30" t="s">
        <v>34</v>
      </c>
      <c r="O11" s="66">
        <v>1.1088579999999983</v>
      </c>
      <c r="P11" s="32" t="s">
        <v>33</v>
      </c>
      <c r="Q11" s="30" t="s">
        <v>34</v>
      </c>
      <c r="R11" s="102">
        <v>9.24048333333332E-2</v>
      </c>
      <c r="S11" s="103" t="s">
        <v>36</v>
      </c>
    </row>
    <row r="12" spans="2:19" ht="25.5" x14ac:dyDescent="0.2">
      <c r="B12" s="29" t="s">
        <v>46</v>
      </c>
      <c r="C12" s="30" t="s">
        <v>47</v>
      </c>
      <c r="D12" s="484" t="s">
        <v>32</v>
      </c>
      <c r="E12" s="32" t="s">
        <v>33</v>
      </c>
      <c r="F12" s="30" t="s">
        <v>34</v>
      </c>
      <c r="G12" s="64">
        <f>(6.5*30)/1000</f>
        <v>0.19500000000000001</v>
      </c>
      <c r="H12" s="32" t="s">
        <v>33</v>
      </c>
      <c r="I12" s="30" t="s">
        <v>34</v>
      </c>
      <c r="J12" s="102">
        <f>6.5*8/1000</f>
        <v>5.1999999999999998E-2</v>
      </c>
      <c r="K12" s="63" t="s">
        <v>48</v>
      </c>
      <c r="M12" s="32" t="s">
        <v>33</v>
      </c>
      <c r="N12" s="30" t="s">
        <v>34</v>
      </c>
      <c r="O12" s="62">
        <v>0.18265000000000015</v>
      </c>
      <c r="P12" s="32" t="s">
        <v>33</v>
      </c>
      <c r="Q12" s="30" t="s">
        <v>34</v>
      </c>
      <c r="R12" s="102">
        <v>1.5220833333333345E-2</v>
      </c>
      <c r="S12" s="103" t="s">
        <v>36</v>
      </c>
    </row>
    <row r="13" spans="2:19" ht="14.25" x14ac:dyDescent="0.2">
      <c r="B13" s="29" t="s">
        <v>49</v>
      </c>
      <c r="C13" s="30" t="s">
        <v>50</v>
      </c>
      <c r="D13" s="484" t="s">
        <v>32</v>
      </c>
      <c r="E13" s="32" t="s">
        <v>23</v>
      </c>
      <c r="F13" s="30" t="s">
        <v>24</v>
      </c>
      <c r="G13" s="65">
        <f>(12.565/1020)*8760</f>
        <v>107.91117647058823</v>
      </c>
      <c r="H13" s="32" t="s">
        <v>23</v>
      </c>
      <c r="I13" s="30" t="s">
        <v>24</v>
      </c>
      <c r="J13" s="102">
        <f>(12.565/1020)*24</f>
        <v>0.29564705882352943</v>
      </c>
      <c r="K13" s="63" t="s">
        <v>51</v>
      </c>
      <c r="M13" s="32" t="s">
        <v>23</v>
      </c>
      <c r="N13" s="30" t="s">
        <v>24</v>
      </c>
      <c r="O13" s="62">
        <v>18.013000000000002</v>
      </c>
      <c r="P13" s="32" t="s">
        <v>23</v>
      </c>
      <c r="Q13" s="30" t="s">
        <v>24</v>
      </c>
      <c r="R13" s="102">
        <v>4.9350684931506857E-2</v>
      </c>
      <c r="S13" s="103" t="s">
        <v>52</v>
      </c>
    </row>
    <row r="14" spans="2:19" ht="14.25" x14ac:dyDescent="0.2">
      <c r="B14" s="29" t="s">
        <v>53</v>
      </c>
      <c r="C14" s="30" t="s">
        <v>50</v>
      </c>
      <c r="D14" s="484" t="s">
        <v>32</v>
      </c>
      <c r="E14" s="32" t="s">
        <v>23</v>
      </c>
      <c r="F14" s="30" t="s">
        <v>24</v>
      </c>
      <c r="G14" s="65">
        <f>(12.565/1020)*8760</f>
        <v>107.91117647058823</v>
      </c>
      <c r="H14" s="32" t="s">
        <v>23</v>
      </c>
      <c r="I14" s="30" t="s">
        <v>24</v>
      </c>
      <c r="J14" s="102">
        <f t="shared" ref="J14:J15" si="0">(12.565/1020)*24</f>
        <v>0.29564705882352943</v>
      </c>
      <c r="K14" s="63" t="s">
        <v>51</v>
      </c>
      <c r="M14" s="32" t="s">
        <v>23</v>
      </c>
      <c r="N14" s="30" t="s">
        <v>24</v>
      </c>
      <c r="O14" s="62">
        <v>18.121700000000001</v>
      </c>
      <c r="P14" s="32" t="s">
        <v>23</v>
      </c>
      <c r="Q14" s="30" t="s">
        <v>24</v>
      </c>
      <c r="R14" s="102">
        <v>4.9648493150684932E-2</v>
      </c>
      <c r="S14" s="103" t="s">
        <v>52</v>
      </c>
    </row>
    <row r="15" spans="2:19" ht="14.25" x14ac:dyDescent="0.2">
      <c r="B15" s="29" t="s">
        <v>54</v>
      </c>
      <c r="C15" s="30" t="s">
        <v>50</v>
      </c>
      <c r="D15" s="484" t="s">
        <v>32</v>
      </c>
      <c r="E15" s="32" t="s">
        <v>23</v>
      </c>
      <c r="F15" s="30" t="s">
        <v>24</v>
      </c>
      <c r="G15" s="65">
        <f>(12.565/1020)*8760</f>
        <v>107.91117647058823</v>
      </c>
      <c r="H15" s="32" t="s">
        <v>23</v>
      </c>
      <c r="I15" s="30" t="s">
        <v>24</v>
      </c>
      <c r="J15" s="102">
        <f t="shared" si="0"/>
        <v>0.29564705882352943</v>
      </c>
      <c r="K15" s="63" t="s">
        <v>51</v>
      </c>
      <c r="M15" s="32" t="s">
        <v>23</v>
      </c>
      <c r="N15" s="30" t="s">
        <v>24</v>
      </c>
      <c r="O15" s="62">
        <v>15.415900000000001</v>
      </c>
      <c r="P15" s="32" t="s">
        <v>23</v>
      </c>
      <c r="Q15" s="30" t="s">
        <v>24</v>
      </c>
      <c r="R15" s="102">
        <v>4.2235342465753424E-2</v>
      </c>
      <c r="S15" s="103" t="s">
        <v>52</v>
      </c>
    </row>
    <row r="16" spans="2:19" ht="14.25" x14ac:dyDescent="0.2">
      <c r="B16" s="29" t="s">
        <v>55</v>
      </c>
      <c r="C16" s="30" t="s">
        <v>50</v>
      </c>
      <c r="D16" s="484" t="s">
        <v>32</v>
      </c>
      <c r="E16" s="32" t="s">
        <v>23</v>
      </c>
      <c r="F16" s="30" t="s">
        <v>24</v>
      </c>
      <c r="G16" s="66">
        <f>10.04/1020*8760</f>
        <v>86.22588235294117</v>
      </c>
      <c r="H16" s="32" t="s">
        <v>23</v>
      </c>
      <c r="I16" s="30" t="s">
        <v>24</v>
      </c>
      <c r="J16" s="102">
        <f>10.04/1020*24</f>
        <v>0.23623529411764704</v>
      </c>
      <c r="K16" s="63" t="s">
        <v>51</v>
      </c>
      <c r="M16" s="32" t="s">
        <v>23</v>
      </c>
      <c r="N16" s="30" t="s">
        <v>24</v>
      </c>
      <c r="O16" s="62">
        <v>11.324748000000001</v>
      </c>
      <c r="P16" s="32" t="s">
        <v>23</v>
      </c>
      <c r="Q16" s="30" t="s">
        <v>24</v>
      </c>
      <c r="R16" s="102">
        <v>3.1026706849315071E-2</v>
      </c>
      <c r="S16" s="103" t="s">
        <v>52</v>
      </c>
    </row>
    <row r="17" spans="2:19" ht="14.25" x14ac:dyDescent="0.2">
      <c r="B17" s="29" t="s">
        <v>56</v>
      </c>
      <c r="C17" s="30" t="s">
        <v>50</v>
      </c>
      <c r="D17" s="484" t="s">
        <v>32</v>
      </c>
      <c r="E17" s="32" t="s">
        <v>23</v>
      </c>
      <c r="F17" s="30" t="s">
        <v>24</v>
      </c>
      <c r="G17" s="66">
        <f>10.04/1020*8760</f>
        <v>86.22588235294117</v>
      </c>
      <c r="H17" s="32" t="s">
        <v>23</v>
      </c>
      <c r="I17" s="30" t="s">
        <v>24</v>
      </c>
      <c r="J17" s="102">
        <f>10.04/1020*24</f>
        <v>0.23623529411764704</v>
      </c>
      <c r="K17" s="63" t="s">
        <v>51</v>
      </c>
      <c r="M17" s="32" t="s">
        <v>23</v>
      </c>
      <c r="N17" s="30" t="s">
        <v>24</v>
      </c>
      <c r="O17" s="62">
        <v>16.263583000000001</v>
      </c>
      <c r="P17" s="32" t="s">
        <v>23</v>
      </c>
      <c r="Q17" s="30" t="s">
        <v>24</v>
      </c>
      <c r="R17" s="102">
        <v>4.4557761643835618E-2</v>
      </c>
      <c r="S17" s="103" t="s">
        <v>52</v>
      </c>
    </row>
    <row r="18" spans="2:19" ht="14.25" x14ac:dyDescent="0.2">
      <c r="B18" s="29" t="s">
        <v>57</v>
      </c>
      <c r="C18" s="30" t="s">
        <v>50</v>
      </c>
      <c r="D18" s="484" t="s">
        <v>32</v>
      </c>
      <c r="E18" s="32" t="s">
        <v>23</v>
      </c>
      <c r="F18" s="30" t="s">
        <v>24</v>
      </c>
      <c r="G18" s="65">
        <f>(29.291/1020)*8760</f>
        <v>251.55800000000002</v>
      </c>
      <c r="H18" s="32" t="s">
        <v>23</v>
      </c>
      <c r="I18" s="30" t="s">
        <v>24</v>
      </c>
      <c r="J18" s="102">
        <f>(29.291/1020)*24</f>
        <v>0.68920000000000003</v>
      </c>
      <c r="K18" s="63" t="s">
        <v>51</v>
      </c>
      <c r="M18" s="32" t="s">
        <v>23</v>
      </c>
      <c r="N18" s="30" t="s">
        <v>24</v>
      </c>
      <c r="O18" s="62">
        <v>33.114199999999997</v>
      </c>
      <c r="P18" s="32" t="s">
        <v>23</v>
      </c>
      <c r="Q18" s="30" t="s">
        <v>24</v>
      </c>
      <c r="R18" s="102">
        <v>9.0723835616438347E-2</v>
      </c>
      <c r="S18" s="103" t="s">
        <v>52</v>
      </c>
    </row>
    <row r="19" spans="2:19" ht="14.25" x14ac:dyDescent="0.2">
      <c r="B19" s="29" t="s">
        <v>58</v>
      </c>
      <c r="C19" s="30" t="s">
        <v>50</v>
      </c>
      <c r="D19" s="484" t="s">
        <v>32</v>
      </c>
      <c r="E19" s="32" t="s">
        <v>23</v>
      </c>
      <c r="F19" s="30" t="s">
        <v>24</v>
      </c>
      <c r="G19" s="65">
        <f t="shared" ref="G19:G20" si="1">(29.291/1020)*8760</f>
        <v>251.55800000000002</v>
      </c>
      <c r="H19" s="32" t="s">
        <v>23</v>
      </c>
      <c r="I19" s="30" t="s">
        <v>24</v>
      </c>
      <c r="J19" s="102">
        <f t="shared" ref="J19:J20" si="2">(29.291/1020)*24</f>
        <v>0.68920000000000003</v>
      </c>
      <c r="K19" s="63" t="s">
        <v>51</v>
      </c>
      <c r="M19" s="32" t="s">
        <v>23</v>
      </c>
      <c r="N19" s="30" t="s">
        <v>24</v>
      </c>
      <c r="O19" s="62">
        <v>43.666400000000003</v>
      </c>
      <c r="P19" s="32" t="s">
        <v>23</v>
      </c>
      <c r="Q19" s="30" t="s">
        <v>24</v>
      </c>
      <c r="R19" s="102">
        <v>0.11963397260273974</v>
      </c>
      <c r="S19" s="103" t="s">
        <v>52</v>
      </c>
    </row>
    <row r="20" spans="2:19" ht="14.25" x14ac:dyDescent="0.2">
      <c r="B20" s="29" t="s">
        <v>59</v>
      </c>
      <c r="C20" s="30" t="s">
        <v>50</v>
      </c>
      <c r="D20" s="484" t="s">
        <v>32</v>
      </c>
      <c r="E20" s="32" t="s">
        <v>23</v>
      </c>
      <c r="F20" s="30" t="s">
        <v>24</v>
      </c>
      <c r="G20" s="65">
        <f t="shared" si="1"/>
        <v>251.55800000000002</v>
      </c>
      <c r="H20" s="32" t="s">
        <v>23</v>
      </c>
      <c r="I20" s="30" t="s">
        <v>24</v>
      </c>
      <c r="J20" s="102">
        <f t="shared" si="2"/>
        <v>0.68920000000000003</v>
      </c>
      <c r="K20" s="63" t="s">
        <v>51</v>
      </c>
      <c r="M20" s="32" t="s">
        <v>23</v>
      </c>
      <c r="N20" s="30" t="s">
        <v>24</v>
      </c>
      <c r="O20" s="62">
        <v>38.546900000000001</v>
      </c>
      <c r="P20" s="32" t="s">
        <v>23</v>
      </c>
      <c r="Q20" s="30" t="s">
        <v>24</v>
      </c>
      <c r="R20" s="102">
        <v>0.10560794520547945</v>
      </c>
      <c r="S20" s="103" t="s">
        <v>52</v>
      </c>
    </row>
    <row r="21" spans="2:19" ht="25.5" x14ac:dyDescent="0.2">
      <c r="B21" s="29" t="s">
        <v>60</v>
      </c>
      <c r="C21" s="30" t="s">
        <v>61</v>
      </c>
      <c r="D21" s="484" t="s">
        <v>32</v>
      </c>
      <c r="E21" s="32" t="s">
        <v>33</v>
      </c>
      <c r="F21" s="30" t="s">
        <v>34</v>
      </c>
      <c r="G21" s="66">
        <f>91.75*24/1000</f>
        <v>2.202</v>
      </c>
      <c r="H21" s="32" t="s">
        <v>33</v>
      </c>
      <c r="I21" s="30" t="s">
        <v>34</v>
      </c>
      <c r="J21" s="102">
        <f>91.75*8/1000</f>
        <v>0.73399999999999999</v>
      </c>
      <c r="K21" s="63" t="s">
        <v>62</v>
      </c>
      <c r="M21" s="32" t="s">
        <v>33</v>
      </c>
      <c r="N21" s="30" t="s">
        <v>34</v>
      </c>
      <c r="O21" s="62">
        <v>0</v>
      </c>
      <c r="P21" s="32" t="s">
        <v>33</v>
      </c>
      <c r="Q21" s="30" t="s">
        <v>34</v>
      </c>
      <c r="R21" s="104">
        <v>0</v>
      </c>
      <c r="S21" s="103" t="s">
        <v>52</v>
      </c>
    </row>
    <row r="22" spans="2:19" ht="25.5" x14ac:dyDescent="0.2">
      <c r="B22" s="29" t="s">
        <v>63</v>
      </c>
      <c r="C22" s="30" t="s">
        <v>61</v>
      </c>
      <c r="D22" s="484" t="s">
        <v>32</v>
      </c>
      <c r="E22" s="32" t="s">
        <v>33</v>
      </c>
      <c r="F22" s="30" t="s">
        <v>34</v>
      </c>
      <c r="G22" s="66">
        <f t="shared" ref="G22:G23" si="3">91.75*24/1000</f>
        <v>2.202</v>
      </c>
      <c r="H22" s="32" t="s">
        <v>33</v>
      </c>
      <c r="I22" s="30" t="s">
        <v>34</v>
      </c>
      <c r="J22" s="102">
        <f>91.75*8/1000</f>
        <v>0.73399999999999999</v>
      </c>
      <c r="K22" s="63" t="s">
        <v>62</v>
      </c>
      <c r="M22" s="32" t="s">
        <v>33</v>
      </c>
      <c r="N22" s="30" t="s">
        <v>34</v>
      </c>
      <c r="O22" s="62">
        <v>0</v>
      </c>
      <c r="P22" s="32" t="s">
        <v>33</v>
      </c>
      <c r="Q22" s="30" t="s">
        <v>34</v>
      </c>
      <c r="R22" s="104">
        <v>0</v>
      </c>
      <c r="S22" s="103" t="s">
        <v>52</v>
      </c>
    </row>
    <row r="23" spans="2:19" ht="25.5" x14ac:dyDescent="0.2">
      <c r="B23" s="29" t="s">
        <v>64</v>
      </c>
      <c r="C23" s="30" t="s">
        <v>61</v>
      </c>
      <c r="D23" s="484" t="s">
        <v>32</v>
      </c>
      <c r="E23" s="32" t="s">
        <v>33</v>
      </c>
      <c r="F23" s="30" t="s">
        <v>34</v>
      </c>
      <c r="G23" s="66">
        <f t="shared" si="3"/>
        <v>2.202</v>
      </c>
      <c r="H23" s="32" t="s">
        <v>33</v>
      </c>
      <c r="I23" s="30" t="s">
        <v>34</v>
      </c>
      <c r="J23" s="102">
        <f>91.75*8/1000</f>
        <v>0.73399999999999999</v>
      </c>
      <c r="K23" s="63" t="s">
        <v>62</v>
      </c>
      <c r="M23" s="32" t="s">
        <v>33</v>
      </c>
      <c r="N23" s="30" t="s">
        <v>34</v>
      </c>
      <c r="O23" s="62">
        <v>0</v>
      </c>
      <c r="P23" s="32" t="s">
        <v>33</v>
      </c>
      <c r="Q23" s="30" t="s">
        <v>34</v>
      </c>
      <c r="R23" s="104">
        <v>0</v>
      </c>
      <c r="S23" s="103" t="s">
        <v>52</v>
      </c>
    </row>
    <row r="24" spans="2:19" ht="25.5" x14ac:dyDescent="0.2">
      <c r="B24" s="29" t="s">
        <v>65</v>
      </c>
      <c r="C24" s="30" t="s">
        <v>61</v>
      </c>
      <c r="D24" s="484" t="s">
        <v>32</v>
      </c>
      <c r="E24" s="32" t="s">
        <v>33</v>
      </c>
      <c r="F24" s="30" t="s">
        <v>34</v>
      </c>
      <c r="G24" s="66">
        <f>213.77*24/1000</f>
        <v>5.1304800000000004</v>
      </c>
      <c r="H24" s="32" t="s">
        <v>33</v>
      </c>
      <c r="I24" s="30" t="s">
        <v>34</v>
      </c>
      <c r="J24" s="102">
        <f>213.77*8/1000</f>
        <v>1.7101600000000001</v>
      </c>
      <c r="K24" s="63" t="s">
        <v>66</v>
      </c>
      <c r="M24" s="32" t="s">
        <v>33</v>
      </c>
      <c r="N24" s="30" t="s">
        <v>34</v>
      </c>
      <c r="O24" s="62">
        <v>0</v>
      </c>
      <c r="P24" s="32" t="s">
        <v>33</v>
      </c>
      <c r="Q24" s="30" t="s">
        <v>34</v>
      </c>
      <c r="R24" s="104">
        <v>0</v>
      </c>
      <c r="S24" s="103" t="s">
        <v>52</v>
      </c>
    </row>
    <row r="25" spans="2:19" ht="25.5" x14ac:dyDescent="0.2">
      <c r="B25" s="29" t="s">
        <v>67</v>
      </c>
      <c r="C25" s="30" t="s">
        <v>61</v>
      </c>
      <c r="D25" s="484" t="s">
        <v>32</v>
      </c>
      <c r="E25" s="32" t="s">
        <v>33</v>
      </c>
      <c r="F25" s="30" t="s">
        <v>34</v>
      </c>
      <c r="G25" s="66">
        <f t="shared" ref="G25:G26" si="4">213.77*24/1000</f>
        <v>5.1304800000000004</v>
      </c>
      <c r="H25" s="32" t="s">
        <v>33</v>
      </c>
      <c r="I25" s="30" t="s">
        <v>34</v>
      </c>
      <c r="J25" s="102">
        <f t="shared" ref="J25" si="5">213.77*8/1000</f>
        <v>1.7101600000000001</v>
      </c>
      <c r="K25" s="63" t="s">
        <v>66</v>
      </c>
      <c r="M25" s="32" t="s">
        <v>33</v>
      </c>
      <c r="N25" s="30" t="s">
        <v>34</v>
      </c>
      <c r="O25" s="62">
        <v>0</v>
      </c>
      <c r="P25" s="32" t="s">
        <v>33</v>
      </c>
      <c r="Q25" s="30" t="s">
        <v>34</v>
      </c>
      <c r="R25" s="104">
        <v>0</v>
      </c>
      <c r="S25" s="103" t="s">
        <v>52</v>
      </c>
    </row>
    <row r="26" spans="2:19" ht="25.5" x14ac:dyDescent="0.2">
      <c r="B26" s="29" t="s">
        <v>68</v>
      </c>
      <c r="C26" s="30" t="s">
        <v>61</v>
      </c>
      <c r="D26" s="484" t="s">
        <v>32</v>
      </c>
      <c r="E26" s="32" t="s">
        <v>33</v>
      </c>
      <c r="F26" s="30" t="s">
        <v>34</v>
      </c>
      <c r="G26" s="66">
        <f t="shared" si="4"/>
        <v>5.1304800000000004</v>
      </c>
      <c r="H26" s="32" t="s">
        <v>33</v>
      </c>
      <c r="I26" s="30" t="s">
        <v>34</v>
      </c>
      <c r="J26" s="102">
        <f>213.77*8/1000</f>
        <v>1.7101600000000001</v>
      </c>
      <c r="K26" s="63" t="s">
        <v>66</v>
      </c>
      <c r="M26" s="32" t="s">
        <v>33</v>
      </c>
      <c r="N26" s="30" t="s">
        <v>34</v>
      </c>
      <c r="O26" s="62">
        <v>0</v>
      </c>
      <c r="P26" s="32" t="s">
        <v>33</v>
      </c>
      <c r="Q26" s="30" t="s">
        <v>34</v>
      </c>
      <c r="R26" s="104">
        <v>0</v>
      </c>
      <c r="S26" s="103" t="s">
        <v>52</v>
      </c>
    </row>
    <row r="27" spans="2:19" ht="25.5" x14ac:dyDescent="0.2">
      <c r="B27" s="29" t="s">
        <v>69</v>
      </c>
      <c r="C27" s="30" t="s">
        <v>61</v>
      </c>
      <c r="D27" s="484" t="s">
        <v>32</v>
      </c>
      <c r="E27" s="32" t="s">
        <v>33</v>
      </c>
      <c r="F27" s="30" t="s">
        <v>34</v>
      </c>
      <c r="G27" s="66">
        <f>63.55*24/1000</f>
        <v>1.5251999999999999</v>
      </c>
      <c r="H27" s="32" t="s">
        <v>33</v>
      </c>
      <c r="I27" s="30" t="s">
        <v>34</v>
      </c>
      <c r="J27" s="499">
        <f>63.55*8/1000</f>
        <v>0.50839999999999996</v>
      </c>
      <c r="K27" s="63" t="s">
        <v>70</v>
      </c>
      <c r="M27" s="32" t="s">
        <v>33</v>
      </c>
      <c r="N27" s="30" t="s">
        <v>34</v>
      </c>
      <c r="O27" s="62">
        <v>0</v>
      </c>
      <c r="P27" s="32" t="s">
        <v>33</v>
      </c>
      <c r="Q27" s="30" t="s">
        <v>34</v>
      </c>
      <c r="R27" s="104">
        <v>0</v>
      </c>
      <c r="S27" s="103" t="s">
        <v>52</v>
      </c>
    </row>
    <row r="28" spans="2:19" ht="25.5" x14ac:dyDescent="0.2">
      <c r="B28" s="29" t="s">
        <v>71</v>
      </c>
      <c r="C28" s="30" t="s">
        <v>61</v>
      </c>
      <c r="D28" s="484" t="s">
        <v>32</v>
      </c>
      <c r="E28" s="32" t="s">
        <v>33</v>
      </c>
      <c r="F28" s="30" t="s">
        <v>34</v>
      </c>
      <c r="G28" s="66">
        <f>63.55*24/1000</f>
        <v>1.5251999999999999</v>
      </c>
      <c r="H28" s="32" t="s">
        <v>33</v>
      </c>
      <c r="I28" s="30" t="s">
        <v>34</v>
      </c>
      <c r="J28" s="499">
        <f>63.55*8/1000</f>
        <v>0.50839999999999996</v>
      </c>
      <c r="K28" s="63" t="s">
        <v>70</v>
      </c>
      <c r="M28" s="32" t="s">
        <v>33</v>
      </c>
      <c r="N28" s="30" t="s">
        <v>34</v>
      </c>
      <c r="O28" s="62">
        <v>0</v>
      </c>
      <c r="P28" s="32" t="s">
        <v>33</v>
      </c>
      <c r="Q28" s="30" t="s">
        <v>34</v>
      </c>
      <c r="R28" s="104">
        <v>0</v>
      </c>
      <c r="S28" s="103" t="s">
        <v>52</v>
      </c>
    </row>
    <row r="29" spans="2:19" ht="51" x14ac:dyDescent="0.2">
      <c r="B29" s="29" t="s">
        <v>72</v>
      </c>
      <c r="C29" s="30" t="s">
        <v>73</v>
      </c>
      <c r="D29" s="484" t="s">
        <v>32</v>
      </c>
      <c r="E29" s="32" t="s">
        <v>23</v>
      </c>
      <c r="F29" s="30" t="s">
        <v>24</v>
      </c>
      <c r="G29" s="65">
        <f>3/1020*8760</f>
        <v>25.764705882352942</v>
      </c>
      <c r="H29" s="32" t="s">
        <v>23</v>
      </c>
      <c r="I29" s="30" t="s">
        <v>24</v>
      </c>
      <c r="J29" s="102">
        <f>3*24/1020</f>
        <v>7.0588235294117646E-2</v>
      </c>
      <c r="K29" s="63" t="s">
        <v>74</v>
      </c>
      <c r="M29" s="32" t="s">
        <v>23</v>
      </c>
      <c r="N29" s="30" t="s">
        <v>24</v>
      </c>
      <c r="O29" s="62">
        <v>20.381281000000001</v>
      </c>
      <c r="P29" s="32" t="s">
        <v>23</v>
      </c>
      <c r="Q29" s="30" t="s">
        <v>24</v>
      </c>
      <c r="R29" s="102">
        <v>5.5839126027397261E-2</v>
      </c>
      <c r="S29" s="63" t="s">
        <v>75</v>
      </c>
    </row>
    <row r="30" spans="2:19" ht="14.25" x14ac:dyDescent="0.2">
      <c r="B30" s="29" t="s">
        <v>76</v>
      </c>
      <c r="C30" s="30" t="s">
        <v>73</v>
      </c>
      <c r="D30" s="484" t="s">
        <v>32</v>
      </c>
      <c r="E30" s="32" t="s">
        <v>23</v>
      </c>
      <c r="F30" s="30" t="s">
        <v>24</v>
      </c>
      <c r="G30" s="65">
        <f t="shared" ref="G30:G31" si="6">(3*8760)/1020</f>
        <v>25.764705882352942</v>
      </c>
      <c r="H30" s="32" t="s">
        <v>23</v>
      </c>
      <c r="I30" s="30" t="s">
        <v>24</v>
      </c>
      <c r="J30" s="102">
        <f t="shared" ref="J30:J31" si="7">3*24/1020</f>
        <v>7.0588235294117646E-2</v>
      </c>
      <c r="K30" s="63" t="s">
        <v>74</v>
      </c>
      <c r="M30" s="32" t="s">
        <v>23</v>
      </c>
      <c r="N30" s="30" t="s">
        <v>24</v>
      </c>
      <c r="O30" s="62">
        <v>0</v>
      </c>
      <c r="P30" s="32" t="s">
        <v>23</v>
      </c>
      <c r="Q30" s="30" t="s">
        <v>24</v>
      </c>
      <c r="R30" s="102">
        <v>0</v>
      </c>
      <c r="S30" s="103"/>
    </row>
    <row r="31" spans="2:19" ht="14.25" x14ac:dyDescent="0.2">
      <c r="B31" s="29" t="s">
        <v>77</v>
      </c>
      <c r="C31" s="30" t="s">
        <v>73</v>
      </c>
      <c r="D31" s="484" t="s">
        <v>32</v>
      </c>
      <c r="E31" s="32" t="s">
        <v>23</v>
      </c>
      <c r="F31" s="30" t="s">
        <v>24</v>
      </c>
      <c r="G31" s="65">
        <f t="shared" si="6"/>
        <v>25.764705882352942</v>
      </c>
      <c r="H31" s="32" t="s">
        <v>23</v>
      </c>
      <c r="I31" s="30" t="s">
        <v>24</v>
      </c>
      <c r="J31" s="102">
        <f t="shared" si="7"/>
        <v>7.0588235294117646E-2</v>
      </c>
      <c r="K31" s="63" t="s">
        <v>74</v>
      </c>
      <c r="M31" s="32" t="s">
        <v>23</v>
      </c>
      <c r="N31" s="30" t="s">
        <v>24</v>
      </c>
      <c r="O31" s="62">
        <v>0</v>
      </c>
      <c r="P31" s="32" t="s">
        <v>23</v>
      </c>
      <c r="Q31" s="30" t="s">
        <v>24</v>
      </c>
      <c r="R31" s="102">
        <v>0</v>
      </c>
      <c r="S31" s="103"/>
    </row>
    <row r="32" spans="2:19" ht="14.25" x14ac:dyDescent="0.2">
      <c r="B32" s="29" t="s">
        <v>78</v>
      </c>
      <c r="C32" s="30" t="s">
        <v>79</v>
      </c>
      <c r="D32" s="484" t="s">
        <v>80</v>
      </c>
      <c r="E32" s="32" t="s">
        <v>81</v>
      </c>
      <c r="F32" s="30" t="s">
        <v>1893</v>
      </c>
      <c r="G32" s="65">
        <f>'Acids Bases Plating CMP PTE'!D47</f>
        <v>213616.48288220464</v>
      </c>
      <c r="H32" s="32" t="s">
        <v>81</v>
      </c>
      <c r="I32" s="30" t="str">
        <f>F32</f>
        <v>Material Used - Liquid Chemical</v>
      </c>
      <c r="J32" s="66">
        <f>G32/365</f>
        <v>585.25063803343733</v>
      </c>
      <c r="K32" s="63" t="s">
        <v>52</v>
      </c>
      <c r="M32" s="32" t="s">
        <v>81</v>
      </c>
      <c r="N32" s="30" t="s">
        <v>82</v>
      </c>
      <c r="O32" s="74">
        <v>59411.72</v>
      </c>
      <c r="P32" s="32" t="s">
        <v>81</v>
      </c>
      <c r="Q32" s="30" t="s">
        <v>82</v>
      </c>
      <c r="R32" s="480">
        <v>162.77183561643835</v>
      </c>
      <c r="S32" s="103" t="s">
        <v>52</v>
      </c>
    </row>
    <row r="33" spans="2:19" ht="14.25" x14ac:dyDescent="0.2">
      <c r="B33" s="29" t="s">
        <v>83</v>
      </c>
      <c r="C33" s="30" t="s">
        <v>84</v>
      </c>
      <c r="D33" s="484" t="s">
        <v>80</v>
      </c>
      <c r="E33" s="32" t="s">
        <v>81</v>
      </c>
      <c r="F33" s="30" t="s">
        <v>1893</v>
      </c>
      <c r="G33" s="65">
        <f>'Acids Bases Plating CMP PTE'!D44</f>
        <v>22214.39</v>
      </c>
      <c r="H33" s="32" t="s">
        <v>81</v>
      </c>
      <c r="I33" s="30" t="str">
        <f t="shared" ref="I33:I96" si="8">F33</f>
        <v>Material Used - Liquid Chemical</v>
      </c>
      <c r="J33" s="66">
        <f t="shared" ref="J33:J101" si="9">G33/365</f>
        <v>60.861342465753424</v>
      </c>
      <c r="K33" s="63" t="s">
        <v>52</v>
      </c>
      <c r="M33" s="32" t="s">
        <v>81</v>
      </c>
      <c r="N33" s="30" t="s">
        <v>82</v>
      </c>
      <c r="O33" s="74">
        <v>12142.32</v>
      </c>
      <c r="P33" s="32" t="s">
        <v>81</v>
      </c>
      <c r="Q33" s="30" t="s">
        <v>82</v>
      </c>
      <c r="R33" s="480">
        <v>33.266630136986301</v>
      </c>
      <c r="S33" s="103" t="s">
        <v>52</v>
      </c>
    </row>
    <row r="34" spans="2:19" ht="14.25" x14ac:dyDescent="0.2">
      <c r="B34" s="29" t="s">
        <v>85</v>
      </c>
      <c r="C34" s="30" t="s">
        <v>79</v>
      </c>
      <c r="D34" s="484" t="s">
        <v>80</v>
      </c>
      <c r="E34" s="32" t="s">
        <v>81</v>
      </c>
      <c r="F34" s="30" t="s">
        <v>1893</v>
      </c>
      <c r="G34" s="65">
        <f>'Acids Bases Plating CMP PTE'!D47</f>
        <v>213616.48288220464</v>
      </c>
      <c r="H34" s="32" t="s">
        <v>81</v>
      </c>
      <c r="I34" s="30" t="str">
        <f t="shared" si="8"/>
        <v>Material Used - Liquid Chemical</v>
      </c>
      <c r="J34" s="66">
        <f t="shared" si="9"/>
        <v>585.25063803343733</v>
      </c>
      <c r="K34" s="63" t="s">
        <v>52</v>
      </c>
      <c r="M34" s="32" t="s">
        <v>81</v>
      </c>
      <c r="N34" s="30" t="s">
        <v>82</v>
      </c>
      <c r="O34" s="74">
        <v>59411.72</v>
      </c>
      <c r="P34" s="32" t="s">
        <v>81</v>
      </c>
      <c r="Q34" s="30" t="s">
        <v>82</v>
      </c>
      <c r="R34" s="480">
        <v>162.77183561643835</v>
      </c>
      <c r="S34" s="103" t="s">
        <v>52</v>
      </c>
    </row>
    <row r="35" spans="2:19" ht="14.25" x14ac:dyDescent="0.2">
      <c r="B35" s="29" t="s">
        <v>86</v>
      </c>
      <c r="C35" s="30" t="s">
        <v>84</v>
      </c>
      <c r="D35" s="484" t="s">
        <v>80</v>
      </c>
      <c r="E35" s="32" t="s">
        <v>81</v>
      </c>
      <c r="F35" s="30" t="s">
        <v>1893</v>
      </c>
      <c r="G35" s="65">
        <f>'Acids Bases Plating CMP PTE'!D44</f>
        <v>22214.39</v>
      </c>
      <c r="H35" s="32" t="s">
        <v>81</v>
      </c>
      <c r="I35" s="30" t="str">
        <f t="shared" si="8"/>
        <v>Material Used - Liquid Chemical</v>
      </c>
      <c r="J35" s="66">
        <f t="shared" si="9"/>
        <v>60.861342465753424</v>
      </c>
      <c r="K35" s="63" t="s">
        <v>52</v>
      </c>
      <c r="M35" s="32" t="s">
        <v>81</v>
      </c>
      <c r="N35" s="30" t="s">
        <v>82</v>
      </c>
      <c r="O35" s="74">
        <v>12142.32</v>
      </c>
      <c r="P35" s="32" t="s">
        <v>81</v>
      </c>
      <c r="Q35" s="30" t="s">
        <v>82</v>
      </c>
      <c r="R35" s="480">
        <v>33.266630136986301</v>
      </c>
      <c r="S35" s="103" t="s">
        <v>52</v>
      </c>
    </row>
    <row r="36" spans="2:19" ht="14.25" x14ac:dyDescent="0.2">
      <c r="B36" s="29" t="s">
        <v>87</v>
      </c>
      <c r="C36" s="30" t="s">
        <v>88</v>
      </c>
      <c r="D36" s="484" t="s">
        <v>80</v>
      </c>
      <c r="E36" s="32" t="s">
        <v>81</v>
      </c>
      <c r="F36" s="30" t="s">
        <v>1895</v>
      </c>
      <c r="G36" s="65">
        <f>'Gas and Liquid Precursor PTE'!D4</f>
        <v>12777.825148875989</v>
      </c>
      <c r="H36" s="32" t="s">
        <v>81</v>
      </c>
      <c r="I36" s="30" t="str">
        <f t="shared" si="8"/>
        <v>Material Used - Gaseous Chemical</v>
      </c>
      <c r="J36" s="66">
        <f t="shared" si="9"/>
        <v>35.007740133906822</v>
      </c>
      <c r="K36" s="63" t="s">
        <v>52</v>
      </c>
      <c r="M36" s="32" t="s">
        <v>81</v>
      </c>
      <c r="N36" s="30" t="s">
        <v>82</v>
      </c>
      <c r="O36" s="74">
        <v>5768.4</v>
      </c>
      <c r="P36" s="32" t="s">
        <v>81</v>
      </c>
      <c r="Q36" s="30" t="s">
        <v>82</v>
      </c>
      <c r="R36" s="480">
        <v>15.803835616438356</v>
      </c>
      <c r="S36" s="103" t="s">
        <v>52</v>
      </c>
    </row>
    <row r="37" spans="2:19" ht="14.25" x14ac:dyDescent="0.2">
      <c r="B37" s="29" t="s">
        <v>89</v>
      </c>
      <c r="C37" s="30" t="s">
        <v>90</v>
      </c>
      <c r="D37" s="484" t="s">
        <v>32</v>
      </c>
      <c r="E37" s="32" t="s">
        <v>81</v>
      </c>
      <c r="F37" s="30" t="s">
        <v>1893</v>
      </c>
      <c r="G37" s="65">
        <f>'Photoresist and Organics PTE'!D64</f>
        <v>12500</v>
      </c>
      <c r="H37" s="32" t="s">
        <v>81</v>
      </c>
      <c r="I37" s="30" t="str">
        <f t="shared" si="8"/>
        <v>Material Used - Liquid Chemical</v>
      </c>
      <c r="J37" s="66">
        <f t="shared" si="9"/>
        <v>34.246575342465754</v>
      </c>
      <c r="K37" s="63" t="s">
        <v>52</v>
      </c>
      <c r="M37" s="32" t="s">
        <v>81</v>
      </c>
      <c r="N37" s="30" t="s">
        <v>82</v>
      </c>
      <c r="O37" s="74">
        <v>2161.08</v>
      </c>
      <c r="P37" s="32" t="s">
        <v>81</v>
      </c>
      <c r="Q37" s="30" t="s">
        <v>82</v>
      </c>
      <c r="R37" s="480">
        <v>5.9207671232876713</v>
      </c>
      <c r="S37" s="103" t="s">
        <v>52</v>
      </c>
    </row>
    <row r="38" spans="2:19" ht="14.25" x14ac:dyDescent="0.2">
      <c r="B38" s="29" t="s">
        <v>91</v>
      </c>
      <c r="C38" s="30" t="s">
        <v>92</v>
      </c>
      <c r="D38" s="484" t="s">
        <v>93</v>
      </c>
      <c r="E38" s="32" t="s">
        <v>81</v>
      </c>
      <c r="F38" s="30" t="s">
        <v>1893</v>
      </c>
      <c r="G38" s="65">
        <f>'Photoresist and Organics PTE'!D65</f>
        <v>450000</v>
      </c>
      <c r="H38" s="32" t="s">
        <v>81</v>
      </c>
      <c r="I38" s="30" t="str">
        <f t="shared" si="8"/>
        <v>Material Used - Liquid Chemical</v>
      </c>
      <c r="J38" s="66">
        <f t="shared" si="9"/>
        <v>1232.8767123287671</v>
      </c>
      <c r="K38" s="63" t="s">
        <v>52</v>
      </c>
      <c r="M38" s="32" t="s">
        <v>81</v>
      </c>
      <c r="N38" s="30" t="s">
        <v>82</v>
      </c>
      <c r="O38" s="74">
        <v>224255.16000000003</v>
      </c>
      <c r="P38" s="32" t="s">
        <v>81</v>
      </c>
      <c r="Q38" s="30" t="s">
        <v>82</v>
      </c>
      <c r="R38" s="480">
        <v>614.39769863013703</v>
      </c>
      <c r="S38" s="103" t="s">
        <v>52</v>
      </c>
    </row>
    <row r="39" spans="2:19" ht="14.25" x14ac:dyDescent="0.2">
      <c r="B39" s="29" t="s">
        <v>94</v>
      </c>
      <c r="C39" s="30" t="s">
        <v>95</v>
      </c>
      <c r="D39" s="484" t="s">
        <v>32</v>
      </c>
      <c r="E39" s="32" t="s">
        <v>81</v>
      </c>
      <c r="F39" s="30" t="s">
        <v>1893</v>
      </c>
      <c r="G39" s="65">
        <f>'Photoresist and Organics PTE'!D67</f>
        <v>20000</v>
      </c>
      <c r="H39" s="32" t="s">
        <v>81</v>
      </c>
      <c r="I39" s="30" t="str">
        <f t="shared" si="8"/>
        <v>Material Used - Liquid Chemical</v>
      </c>
      <c r="J39" s="66">
        <f t="shared" si="9"/>
        <v>54.794520547945204</v>
      </c>
      <c r="K39" s="63" t="s">
        <v>52</v>
      </c>
      <c r="M39" s="32" t="s">
        <v>81</v>
      </c>
      <c r="N39" s="30" t="s">
        <v>82</v>
      </c>
      <c r="O39" s="74">
        <v>8093.7799999999988</v>
      </c>
      <c r="P39" s="32" t="s">
        <v>81</v>
      </c>
      <c r="Q39" s="30" t="s">
        <v>82</v>
      </c>
      <c r="R39" s="480">
        <v>22.174739726027394</v>
      </c>
      <c r="S39" s="103" t="s">
        <v>52</v>
      </c>
    </row>
    <row r="40" spans="2:19" ht="14.25" x14ac:dyDescent="0.2">
      <c r="B40" s="29" t="s">
        <v>96</v>
      </c>
      <c r="C40" s="30" t="s">
        <v>97</v>
      </c>
      <c r="D40" s="484" t="s">
        <v>80</v>
      </c>
      <c r="E40" s="32" t="s">
        <v>81</v>
      </c>
      <c r="F40" s="30" t="s">
        <v>1893</v>
      </c>
      <c r="G40" s="65">
        <f>'Acids Bases Plating CMP PTE'!D107*'Acids Bases Plating CMP PTE'!F107</f>
        <v>132420.12467813084</v>
      </c>
      <c r="H40" s="32" t="s">
        <v>81</v>
      </c>
      <c r="I40" s="30" t="str">
        <f t="shared" si="8"/>
        <v>Material Used - Liquid Chemical</v>
      </c>
      <c r="J40" s="66">
        <f t="shared" si="9"/>
        <v>362.79486213186533</v>
      </c>
      <c r="K40" s="63" t="s">
        <v>52</v>
      </c>
      <c r="M40" s="32" t="s">
        <v>81</v>
      </c>
      <c r="N40" s="30" t="s">
        <v>82</v>
      </c>
      <c r="O40" s="74">
        <v>50401.399999999994</v>
      </c>
      <c r="P40" s="32" t="s">
        <v>81</v>
      </c>
      <c r="Q40" s="30" t="s">
        <v>82</v>
      </c>
      <c r="R40" s="480">
        <v>138.08602739726027</v>
      </c>
      <c r="S40" s="103" t="s">
        <v>52</v>
      </c>
    </row>
    <row r="41" spans="2:19" ht="14.25" x14ac:dyDescent="0.2">
      <c r="B41" s="29" t="s">
        <v>98</v>
      </c>
      <c r="C41" s="30" t="s">
        <v>99</v>
      </c>
      <c r="D41" s="484" t="s">
        <v>80</v>
      </c>
      <c r="E41" s="32" t="s">
        <v>81</v>
      </c>
      <c r="F41" s="30" t="s">
        <v>1893</v>
      </c>
      <c r="G41" s="65">
        <f>'Acids Bases Plating CMP PTE'!D88*'Acids Bases Plating CMP PTE'!F90</f>
        <v>197626.72007753185</v>
      </c>
      <c r="H41" s="32" t="s">
        <v>81</v>
      </c>
      <c r="I41" s="30" t="str">
        <f t="shared" si="8"/>
        <v>Material Used - Liquid Chemical</v>
      </c>
      <c r="J41" s="66">
        <f t="shared" si="9"/>
        <v>541.4430687055667</v>
      </c>
      <c r="K41" s="63" t="s">
        <v>52</v>
      </c>
      <c r="M41" s="32" t="s">
        <v>81</v>
      </c>
      <c r="N41" s="30" t="s">
        <v>82</v>
      </c>
      <c r="O41" s="74">
        <v>94517.495999999999</v>
      </c>
      <c r="P41" s="32" t="s">
        <v>81</v>
      </c>
      <c r="Q41" s="30" t="s">
        <v>82</v>
      </c>
      <c r="R41" s="480">
        <v>258.95204383561645</v>
      </c>
      <c r="S41" s="103" t="s">
        <v>52</v>
      </c>
    </row>
    <row r="42" spans="2:19" ht="14.25" x14ac:dyDescent="0.2">
      <c r="B42" s="29" t="s">
        <v>100</v>
      </c>
      <c r="C42" s="30" t="s">
        <v>101</v>
      </c>
      <c r="D42" s="484" t="s">
        <v>80</v>
      </c>
      <c r="E42" s="32" t="s">
        <v>81</v>
      </c>
      <c r="F42" s="30" t="s">
        <v>1893</v>
      </c>
      <c r="G42" s="65">
        <f>'Acids Bases Plating CMP PTE'!D109*'Acids Bases Plating CMP PTE'!F109</f>
        <v>223309.33760737532</v>
      </c>
      <c r="H42" s="32" t="s">
        <v>81</v>
      </c>
      <c r="I42" s="30" t="str">
        <f t="shared" si="8"/>
        <v>Material Used - Liquid Chemical</v>
      </c>
      <c r="J42" s="66">
        <f t="shared" si="9"/>
        <v>611.80640440376794</v>
      </c>
      <c r="K42" s="63" t="s">
        <v>52</v>
      </c>
      <c r="M42" s="32" t="s">
        <v>81</v>
      </c>
      <c r="N42" s="30" t="s">
        <v>82</v>
      </c>
      <c r="O42" s="74">
        <v>96172.905599999998</v>
      </c>
      <c r="P42" s="32" t="s">
        <v>81</v>
      </c>
      <c r="Q42" s="30" t="s">
        <v>82</v>
      </c>
      <c r="R42" s="480">
        <v>263.48741260273971</v>
      </c>
      <c r="S42" s="103" t="s">
        <v>52</v>
      </c>
    </row>
    <row r="43" spans="2:19" ht="14.25" x14ac:dyDescent="0.2">
      <c r="B43" s="29" t="s">
        <v>102</v>
      </c>
      <c r="C43" s="30" t="s">
        <v>103</v>
      </c>
      <c r="D43" s="484" t="s">
        <v>32</v>
      </c>
      <c r="E43" s="32" t="s">
        <v>81</v>
      </c>
      <c r="F43" s="30" t="s">
        <v>1893</v>
      </c>
      <c r="G43" s="65">
        <f>'Acids Bases Plating CMP PTE'!D133*'Acids Bases Plating CMP PTE'!F133</f>
        <v>0.60370329123160349</v>
      </c>
      <c r="H43" s="32" t="s">
        <v>81</v>
      </c>
      <c r="I43" s="30" t="str">
        <f t="shared" si="8"/>
        <v>Material Used - Liquid Chemical</v>
      </c>
      <c r="J43" s="66">
        <f t="shared" si="9"/>
        <v>1.6539816198126124E-3</v>
      </c>
      <c r="K43" s="63" t="s">
        <v>52</v>
      </c>
      <c r="M43" s="32" t="s">
        <v>81</v>
      </c>
      <c r="N43" s="30" t="s">
        <v>82</v>
      </c>
      <c r="O43" s="74">
        <v>0.53460000000000008</v>
      </c>
      <c r="P43" s="32" t="s">
        <v>81</v>
      </c>
      <c r="Q43" s="30" t="s">
        <v>82</v>
      </c>
      <c r="R43" s="480">
        <v>1.4646575342465756E-3</v>
      </c>
      <c r="S43" s="103" t="s">
        <v>52</v>
      </c>
    </row>
    <row r="44" spans="2:19" ht="14.25" x14ac:dyDescent="0.2">
      <c r="B44" s="29" t="s">
        <v>104</v>
      </c>
      <c r="C44" s="30" t="s">
        <v>103</v>
      </c>
      <c r="D44" s="484" t="s">
        <v>32</v>
      </c>
      <c r="E44" s="32" t="s">
        <v>81</v>
      </c>
      <c r="F44" s="30" t="s">
        <v>1893</v>
      </c>
      <c r="G44" s="65">
        <f>'Acids Bases Plating CMP PTE'!D134*'Acids Bases Plating CMP PTE'!F134</f>
        <v>2.528444748920601</v>
      </c>
      <c r="H44" s="32" t="s">
        <v>81</v>
      </c>
      <c r="I44" s="30" t="str">
        <f t="shared" si="8"/>
        <v>Material Used - Liquid Chemical</v>
      </c>
      <c r="J44" s="66">
        <f t="shared" si="9"/>
        <v>6.9272458874537011E-3</v>
      </c>
      <c r="K44" s="63" t="s">
        <v>52</v>
      </c>
      <c r="M44" s="32" t="s">
        <v>81</v>
      </c>
      <c r="N44" s="30" t="s">
        <v>82</v>
      </c>
      <c r="O44" s="74">
        <v>0.97200000000000009</v>
      </c>
      <c r="P44" s="32" t="s">
        <v>81</v>
      </c>
      <c r="Q44" s="30" t="s">
        <v>82</v>
      </c>
      <c r="R44" s="480">
        <v>2.6630136986301373E-3</v>
      </c>
      <c r="S44" s="103" t="s">
        <v>52</v>
      </c>
    </row>
    <row r="45" spans="2:19" ht="14.25" x14ac:dyDescent="0.2">
      <c r="B45" s="29" t="s">
        <v>105</v>
      </c>
      <c r="C45" s="30" t="s">
        <v>106</v>
      </c>
      <c r="D45" s="484" t="s">
        <v>80</v>
      </c>
      <c r="E45" s="32" t="s">
        <v>81</v>
      </c>
      <c r="F45" s="30" t="s">
        <v>1894</v>
      </c>
      <c r="G45" s="65">
        <f>SUM('Acids Bases Plating CMP PTE'!D136*'Acids Bases Plating CMP PTE'!F136,'Acids Bases Plating CMP PTE'!D135*'Acids Bases Plating CMP PTE'!F135)</f>
        <v>2302220.5048327399</v>
      </c>
      <c r="H45" s="32" t="s">
        <v>81</v>
      </c>
      <c r="I45" s="30" t="str">
        <f t="shared" si="8"/>
        <v>Material Used - Facilities</v>
      </c>
      <c r="J45" s="66">
        <f t="shared" si="9"/>
        <v>6307.4534378979179</v>
      </c>
      <c r="K45" s="63" t="s">
        <v>52</v>
      </c>
      <c r="M45" s="32" t="s">
        <v>81</v>
      </c>
      <c r="N45" s="30" t="s">
        <v>82</v>
      </c>
      <c r="O45" s="74">
        <v>1048994.5799999998</v>
      </c>
      <c r="P45" s="32" t="s">
        <v>81</v>
      </c>
      <c r="Q45" s="30" t="s">
        <v>82</v>
      </c>
      <c r="R45" s="480">
        <v>2873.9577534246573</v>
      </c>
      <c r="S45" s="103" t="s">
        <v>52</v>
      </c>
    </row>
    <row r="46" spans="2:19" ht="14.25" x14ac:dyDescent="0.2">
      <c r="B46" s="29" t="s">
        <v>107</v>
      </c>
      <c r="C46" s="30" t="s">
        <v>108</v>
      </c>
      <c r="D46" s="484" t="s">
        <v>80</v>
      </c>
      <c r="E46" s="32" t="s">
        <v>81</v>
      </c>
      <c r="F46" s="30" t="s">
        <v>1895</v>
      </c>
      <c r="G46" s="65">
        <f>'Gas and Liquid Precursor PTE'!D7</f>
        <v>2195.864175028039</v>
      </c>
      <c r="H46" s="32" t="s">
        <v>81</v>
      </c>
      <c r="I46" s="30" t="str">
        <f t="shared" si="8"/>
        <v>Material Used - Gaseous Chemical</v>
      </c>
      <c r="J46" s="66">
        <f t="shared" si="9"/>
        <v>6.0160662329535315</v>
      </c>
      <c r="K46" s="63" t="s">
        <v>52</v>
      </c>
      <c r="M46" s="32" t="s">
        <v>81</v>
      </c>
      <c r="N46" s="30" t="s">
        <v>82</v>
      </c>
      <c r="O46" s="74">
        <v>990</v>
      </c>
      <c r="P46" s="32" t="s">
        <v>81</v>
      </c>
      <c r="Q46" s="30" t="s">
        <v>82</v>
      </c>
      <c r="R46" s="480">
        <v>2.7123287671232879</v>
      </c>
      <c r="S46" s="103" t="s">
        <v>52</v>
      </c>
    </row>
    <row r="47" spans="2:19" ht="14.25" x14ac:dyDescent="0.2">
      <c r="B47" s="29" t="s">
        <v>109</v>
      </c>
      <c r="C47" s="30" t="s">
        <v>110</v>
      </c>
      <c r="D47" s="484" t="s">
        <v>32</v>
      </c>
      <c r="E47" s="32" t="s">
        <v>81</v>
      </c>
      <c r="F47" s="30" t="s">
        <v>1895</v>
      </c>
      <c r="G47" s="65">
        <f>'Gas and Liquid Precursor PTE'!D93</f>
        <v>18704.238601033314</v>
      </c>
      <c r="H47" s="32" t="s">
        <v>81</v>
      </c>
      <c r="I47" s="30" t="str">
        <f t="shared" si="8"/>
        <v>Material Used - Gaseous Chemical</v>
      </c>
      <c r="J47" s="66">
        <f t="shared" si="9"/>
        <v>51.244489317899493</v>
      </c>
      <c r="K47" s="63" t="s">
        <v>52</v>
      </c>
      <c r="M47" s="32" t="s">
        <v>81</v>
      </c>
      <c r="N47" s="30" t="s">
        <v>82</v>
      </c>
      <c r="O47" s="74">
        <v>5530.14</v>
      </c>
      <c r="P47" s="32" t="s">
        <v>81</v>
      </c>
      <c r="Q47" s="30" t="s">
        <v>82</v>
      </c>
      <c r="R47" s="480">
        <v>15.151068493150685</v>
      </c>
      <c r="S47" s="103" t="s">
        <v>52</v>
      </c>
    </row>
    <row r="48" spans="2:19" ht="14.25" x14ac:dyDescent="0.2">
      <c r="B48" s="29" t="s">
        <v>111</v>
      </c>
      <c r="C48" s="30" t="s">
        <v>110</v>
      </c>
      <c r="D48" s="484" t="s">
        <v>32</v>
      </c>
      <c r="E48" s="32" t="s">
        <v>81</v>
      </c>
      <c r="F48" s="30" t="s">
        <v>1895</v>
      </c>
      <c r="G48" s="65">
        <f>'Gas and Liquid Precursor PTE'!D17</f>
        <v>626.36397374596925</v>
      </c>
      <c r="H48" s="32" t="s">
        <v>81</v>
      </c>
      <c r="I48" s="30" t="str">
        <f t="shared" si="8"/>
        <v>Material Used - Gaseous Chemical</v>
      </c>
      <c r="J48" s="66">
        <f t="shared" si="9"/>
        <v>1.7160656814958062</v>
      </c>
      <c r="K48" s="63" t="s">
        <v>52</v>
      </c>
      <c r="M48" s="32" t="s">
        <v>81</v>
      </c>
      <c r="N48" s="30" t="s">
        <v>82</v>
      </c>
      <c r="O48" s="74">
        <v>300</v>
      </c>
      <c r="P48" s="32" t="s">
        <v>81</v>
      </c>
      <c r="Q48" s="30" t="s">
        <v>82</v>
      </c>
      <c r="R48" s="480">
        <v>0.82191780821917804</v>
      </c>
      <c r="S48" s="103" t="s">
        <v>52</v>
      </c>
    </row>
    <row r="49" spans="2:19" ht="14.25" x14ac:dyDescent="0.2">
      <c r="B49" s="29" t="s">
        <v>112</v>
      </c>
      <c r="C49" s="30" t="s">
        <v>113</v>
      </c>
      <c r="D49" s="484" t="s">
        <v>22</v>
      </c>
      <c r="E49" s="32" t="s">
        <v>81</v>
      </c>
      <c r="F49" s="30" t="s">
        <v>1895</v>
      </c>
      <c r="G49" s="65">
        <f>'Gas and Liquid Precursor PTE'!D87</f>
        <v>66.956066657933988</v>
      </c>
      <c r="H49" s="32" t="s">
        <v>81</v>
      </c>
      <c r="I49" s="30" t="str">
        <f t="shared" si="8"/>
        <v>Material Used - Gaseous Chemical</v>
      </c>
      <c r="J49" s="66">
        <f t="shared" si="9"/>
        <v>0.18344127851488765</v>
      </c>
      <c r="K49" s="63" t="s">
        <v>52</v>
      </c>
      <c r="M49" s="32" t="s">
        <v>81</v>
      </c>
      <c r="N49" s="30" t="s">
        <v>82</v>
      </c>
      <c r="O49" s="74">
        <v>3.4</v>
      </c>
      <c r="P49" s="32" t="s">
        <v>81</v>
      </c>
      <c r="Q49" s="30" t="s">
        <v>82</v>
      </c>
      <c r="R49" s="480">
        <v>9.3150684931506845E-3</v>
      </c>
      <c r="S49" s="103" t="s">
        <v>52</v>
      </c>
    </row>
    <row r="50" spans="2:19" ht="14.25" x14ac:dyDescent="0.2">
      <c r="B50" s="29" t="s">
        <v>114</v>
      </c>
      <c r="C50" s="30" t="s">
        <v>115</v>
      </c>
      <c r="D50" s="484" t="s">
        <v>22</v>
      </c>
      <c r="E50" s="32" t="s">
        <v>81</v>
      </c>
      <c r="F50" s="30" t="s">
        <v>1895</v>
      </c>
      <c r="G50" s="65">
        <f>'Gas and Liquid Precursor PTE'!D88</f>
        <v>0</v>
      </c>
      <c r="H50" s="32" t="s">
        <v>81</v>
      </c>
      <c r="I50" s="30" t="str">
        <f t="shared" si="8"/>
        <v>Material Used - Gaseous Chemical</v>
      </c>
      <c r="J50" s="66">
        <f t="shared" si="9"/>
        <v>0</v>
      </c>
      <c r="K50" s="63" t="s">
        <v>52</v>
      </c>
      <c r="M50" s="32" t="s">
        <v>81</v>
      </c>
      <c r="N50" s="30" t="s">
        <v>82</v>
      </c>
      <c r="O50" s="74">
        <v>14.279999999999998</v>
      </c>
      <c r="P50" s="32" t="s">
        <v>81</v>
      </c>
      <c r="Q50" s="30" t="s">
        <v>82</v>
      </c>
      <c r="R50" s="480">
        <v>3.9123287671232868E-2</v>
      </c>
      <c r="S50" s="103" t="s">
        <v>52</v>
      </c>
    </row>
    <row r="51" spans="2:19" ht="14.25" x14ac:dyDescent="0.2">
      <c r="B51" s="29" t="s">
        <v>116</v>
      </c>
      <c r="C51" s="30" t="s">
        <v>117</v>
      </c>
      <c r="D51" s="484" t="s">
        <v>22</v>
      </c>
      <c r="E51" s="32" t="s">
        <v>81</v>
      </c>
      <c r="F51" s="30" t="s">
        <v>1895</v>
      </c>
      <c r="G51" s="65">
        <f>'Gas and Liquid Precursor PTE'!D90</f>
        <v>61.320365698883734</v>
      </c>
      <c r="H51" s="32" t="s">
        <v>81</v>
      </c>
      <c r="I51" s="30" t="str">
        <f t="shared" si="8"/>
        <v>Material Used - Gaseous Chemical</v>
      </c>
      <c r="J51" s="66">
        <f t="shared" si="9"/>
        <v>0.16800100191474995</v>
      </c>
      <c r="K51" s="63" t="s">
        <v>52</v>
      </c>
      <c r="M51" s="32" t="s">
        <v>81</v>
      </c>
      <c r="N51" s="30" t="s">
        <v>82</v>
      </c>
      <c r="O51" s="74">
        <v>14.279999999999998</v>
      </c>
      <c r="P51" s="32" t="s">
        <v>81</v>
      </c>
      <c r="Q51" s="30" t="s">
        <v>82</v>
      </c>
      <c r="R51" s="480">
        <v>3.9123287671232868E-2</v>
      </c>
      <c r="S51" s="103" t="s">
        <v>52</v>
      </c>
    </row>
    <row r="52" spans="2:19" ht="14.25" x14ac:dyDescent="0.2">
      <c r="B52" s="29" t="s">
        <v>118</v>
      </c>
      <c r="C52" s="30" t="s">
        <v>119</v>
      </c>
      <c r="D52" s="484" t="s">
        <v>22</v>
      </c>
      <c r="E52" s="32" t="s">
        <v>81</v>
      </c>
      <c r="F52" s="30" t="s">
        <v>1893</v>
      </c>
      <c r="G52" s="65">
        <f>'Photoresist and Organics PTE'!D48*'Photoresist and Organics PTE'!F49</f>
        <v>8516.8005157542084</v>
      </c>
      <c r="H52" s="32" t="s">
        <v>81</v>
      </c>
      <c r="I52" s="30" t="str">
        <f t="shared" si="8"/>
        <v>Material Used - Liquid Chemical</v>
      </c>
      <c r="J52" s="66">
        <f t="shared" si="9"/>
        <v>23.333700043162214</v>
      </c>
      <c r="K52" s="63" t="s">
        <v>52</v>
      </c>
      <c r="M52" s="32" t="s">
        <v>81</v>
      </c>
      <c r="N52" s="30" t="s">
        <v>82</v>
      </c>
      <c r="O52" s="74">
        <v>3510.1112499999995</v>
      </c>
      <c r="P52" s="32" t="s">
        <v>81</v>
      </c>
      <c r="Q52" s="30" t="s">
        <v>82</v>
      </c>
      <c r="R52" s="480">
        <v>9.6167431506849308</v>
      </c>
      <c r="S52" s="103" t="s">
        <v>52</v>
      </c>
    </row>
    <row r="53" spans="2:19" ht="14.25" x14ac:dyDescent="0.2">
      <c r="B53" s="29" t="s">
        <v>120</v>
      </c>
      <c r="C53" s="30" t="s">
        <v>119</v>
      </c>
      <c r="D53" s="484" t="s">
        <v>22</v>
      </c>
      <c r="E53" s="32" t="s">
        <v>81</v>
      </c>
      <c r="F53" s="30" t="s">
        <v>1893</v>
      </c>
      <c r="G53" s="65">
        <f>'Photoresist and Organics PTE'!D48*'Photoresist and Organics PTE'!F48</f>
        <v>42.797992541478436</v>
      </c>
      <c r="H53" s="32" t="s">
        <v>81</v>
      </c>
      <c r="I53" s="30" t="str">
        <f t="shared" si="8"/>
        <v>Material Used - Liquid Chemical</v>
      </c>
      <c r="J53" s="66">
        <f>G53/365</f>
        <v>0.1172547740862423</v>
      </c>
      <c r="K53" s="63" t="s">
        <v>52</v>
      </c>
      <c r="M53" s="32" t="s">
        <v>81</v>
      </c>
      <c r="N53" s="30" t="s">
        <v>82</v>
      </c>
      <c r="O53" s="74">
        <v>17.638749999999998</v>
      </c>
      <c r="P53" s="32" t="s">
        <v>81</v>
      </c>
      <c r="Q53" s="30" t="s">
        <v>82</v>
      </c>
      <c r="R53" s="480">
        <v>4.8325342465753422E-2</v>
      </c>
      <c r="S53" s="103" t="s">
        <v>52</v>
      </c>
    </row>
    <row r="54" spans="2:19" ht="14.25" x14ac:dyDescent="0.2">
      <c r="B54" s="29" t="s">
        <v>121</v>
      </c>
      <c r="C54" s="30" t="s">
        <v>122</v>
      </c>
      <c r="D54" s="484" t="s">
        <v>80</v>
      </c>
      <c r="E54" s="32" t="s">
        <v>123</v>
      </c>
      <c r="F54" s="30" t="s">
        <v>1894</v>
      </c>
      <c r="G54" s="65">
        <f>'Acids Bases Plating CMP PTE'!D101/(1.18*8.33)</f>
        <v>20826.486296903135</v>
      </c>
      <c r="H54" s="32" t="s">
        <v>123</v>
      </c>
      <c r="I54" s="30" t="str">
        <f t="shared" si="8"/>
        <v>Material Used - Facilities</v>
      </c>
      <c r="J54" s="66">
        <f t="shared" si="9"/>
        <v>57.058866566857901</v>
      </c>
      <c r="K54" s="63" t="s">
        <v>52</v>
      </c>
      <c r="M54" s="32" t="s">
        <v>123</v>
      </c>
      <c r="N54" s="30" t="s">
        <v>82</v>
      </c>
      <c r="O54" s="74">
        <v>4946.2835981850367</v>
      </c>
      <c r="P54" s="32" t="s">
        <v>123</v>
      </c>
      <c r="Q54" s="30" t="s">
        <v>82</v>
      </c>
      <c r="R54" s="480">
        <v>13.551461912835716</v>
      </c>
      <c r="S54" s="103" t="s">
        <v>52</v>
      </c>
    </row>
    <row r="55" spans="2:19" ht="14.25" x14ac:dyDescent="0.2">
      <c r="B55" s="29" t="s">
        <v>124</v>
      </c>
      <c r="C55" s="30" t="s">
        <v>125</v>
      </c>
      <c r="D55" s="484" t="s">
        <v>93</v>
      </c>
      <c r="E55" s="32" t="s">
        <v>81</v>
      </c>
      <c r="F55" s="30" t="s">
        <v>1893</v>
      </c>
      <c r="G55" s="65">
        <f>SUM(('Photoresist and Organics PTE'!D68*'Photoresist and Organics PTE'!F71),('Photoresist and Organics PTE'!D83*'Photoresist and Organics PTE'!F85),'Photoresist and Organics PTE'!D89*'Photoresist and Organics PTE'!F91,'Photoresist and Organics PTE'!D135*'Photoresist and Organics PTE'!F140)</f>
        <v>213.1081432314534</v>
      </c>
      <c r="H55" s="32" t="s">
        <v>81</v>
      </c>
      <c r="I55" s="30" t="str">
        <f t="shared" si="8"/>
        <v>Material Used - Liquid Chemical</v>
      </c>
      <c r="J55" s="66">
        <f t="shared" si="9"/>
        <v>0.58385792666151615</v>
      </c>
      <c r="K55" s="63" t="s">
        <v>52</v>
      </c>
      <c r="M55" s="32" t="s">
        <v>81</v>
      </c>
      <c r="N55" s="30" t="s">
        <v>82</v>
      </c>
      <c r="O55" s="74">
        <v>97.200700000000026</v>
      </c>
      <c r="P55" s="32" t="s">
        <v>81</v>
      </c>
      <c r="Q55" s="30" t="s">
        <v>82</v>
      </c>
      <c r="R55" s="480">
        <v>0.26630328767123296</v>
      </c>
      <c r="S55" s="103" t="s">
        <v>52</v>
      </c>
    </row>
    <row r="56" spans="2:19" ht="14.25" x14ac:dyDescent="0.2">
      <c r="B56" s="29" t="s">
        <v>126</v>
      </c>
      <c r="C56" s="30" t="s">
        <v>125</v>
      </c>
      <c r="D56" s="484" t="s">
        <v>93</v>
      </c>
      <c r="E56" s="32" t="s">
        <v>81</v>
      </c>
      <c r="F56" s="30" t="s">
        <v>1893</v>
      </c>
      <c r="G56" s="65">
        <f>'Photoresist and Organics PTE'!D68*'Photoresist and Organics PTE'!F71</f>
        <v>81.712654415244828</v>
      </c>
      <c r="H56" s="32" t="s">
        <v>81</v>
      </c>
      <c r="I56" s="30" t="str">
        <f t="shared" si="8"/>
        <v>Material Used - Liquid Chemical</v>
      </c>
      <c r="J56" s="66">
        <f t="shared" si="9"/>
        <v>0.2238702860691639</v>
      </c>
      <c r="K56" s="63" t="s">
        <v>52</v>
      </c>
      <c r="M56" s="32" t="s">
        <v>81</v>
      </c>
      <c r="N56" s="30" t="s">
        <v>82</v>
      </c>
      <c r="O56" s="74">
        <v>43.254000000000005</v>
      </c>
      <c r="P56" s="32" t="s">
        <v>81</v>
      </c>
      <c r="Q56" s="30" t="s">
        <v>82</v>
      </c>
      <c r="R56" s="480">
        <v>0.1185041095890411</v>
      </c>
      <c r="S56" s="103" t="s">
        <v>52</v>
      </c>
    </row>
    <row r="57" spans="2:19" ht="14.25" x14ac:dyDescent="0.2">
      <c r="B57" s="29" t="s">
        <v>127</v>
      </c>
      <c r="C57" s="30" t="s">
        <v>125</v>
      </c>
      <c r="D57" s="484" t="s">
        <v>93</v>
      </c>
      <c r="E57" s="32" t="s">
        <v>81</v>
      </c>
      <c r="F57" s="30" t="s">
        <v>1893</v>
      </c>
      <c r="G57" s="65">
        <f>SUM('Photoresist and Organics PTE'!D96*'Photoresist and Organics PTE'!F97,'Photoresist and Organics PTE'!D135*'Photoresist and Organics PTE'!F142)</f>
        <v>312.09517047696539</v>
      </c>
      <c r="H57" s="32" t="s">
        <v>81</v>
      </c>
      <c r="I57" s="30" t="str">
        <f t="shared" si="8"/>
        <v>Material Used - Liquid Chemical</v>
      </c>
      <c r="J57" s="66">
        <f t="shared" si="9"/>
        <v>0.85505526158072709</v>
      </c>
      <c r="K57" s="63" t="s">
        <v>52</v>
      </c>
      <c r="M57" s="32" t="s">
        <v>81</v>
      </c>
      <c r="N57" s="30" t="s">
        <v>82</v>
      </c>
      <c r="O57" s="74">
        <v>93.751120000000014</v>
      </c>
      <c r="P57" s="32" t="s">
        <v>81</v>
      </c>
      <c r="Q57" s="30" t="s">
        <v>82</v>
      </c>
      <c r="R57" s="480">
        <v>0.25685238356164386</v>
      </c>
      <c r="S57" s="103" t="s">
        <v>52</v>
      </c>
    </row>
    <row r="58" spans="2:19" ht="14.25" x14ac:dyDescent="0.2">
      <c r="B58" s="29" t="s">
        <v>128</v>
      </c>
      <c r="C58" s="30" t="s">
        <v>125</v>
      </c>
      <c r="D58" s="484" t="s">
        <v>93</v>
      </c>
      <c r="E58" s="32" t="s">
        <v>81</v>
      </c>
      <c r="F58" s="30" t="s">
        <v>1893</v>
      </c>
      <c r="G58" s="65">
        <f>'Photoresist and Organics PTE'!D25*'Photoresist and Organics PTE'!F25</f>
        <v>76.063950330802598</v>
      </c>
      <c r="H58" s="32" t="s">
        <v>81</v>
      </c>
      <c r="I58" s="30" t="str">
        <f t="shared" si="8"/>
        <v>Material Used - Liquid Chemical</v>
      </c>
      <c r="J58" s="66">
        <f t="shared" si="9"/>
        <v>0.20839438446795233</v>
      </c>
      <c r="K58" s="63" t="s">
        <v>52</v>
      </c>
      <c r="M58" s="32" t="s">
        <v>81</v>
      </c>
      <c r="N58" s="30" t="s">
        <v>82</v>
      </c>
      <c r="O58" s="74">
        <v>16.467300000000002</v>
      </c>
      <c r="P58" s="32" t="s">
        <v>81</v>
      </c>
      <c r="Q58" s="30" t="s">
        <v>82</v>
      </c>
      <c r="R58" s="480">
        <v>4.5115890410958912E-2</v>
      </c>
      <c r="S58" s="103" t="s">
        <v>52</v>
      </c>
    </row>
    <row r="59" spans="2:19" ht="14.25" x14ac:dyDescent="0.2">
      <c r="B59" s="29" t="s">
        <v>129</v>
      </c>
      <c r="C59" s="30" t="s">
        <v>125</v>
      </c>
      <c r="D59" s="484" t="s">
        <v>93</v>
      </c>
      <c r="E59" s="32" t="s">
        <v>81</v>
      </c>
      <c r="F59" s="30" t="s">
        <v>1893</v>
      </c>
      <c r="G59" s="65">
        <f>'Photoresist and Organics PTE'!D47*'Photoresist and Organics PTE'!F56</f>
        <v>1563.8083333333332</v>
      </c>
      <c r="H59" s="32" t="s">
        <v>81</v>
      </c>
      <c r="I59" s="30" t="str">
        <f t="shared" si="8"/>
        <v>Material Used - Liquid Chemical</v>
      </c>
      <c r="J59" s="66">
        <f t="shared" si="9"/>
        <v>4.2844063926940636</v>
      </c>
      <c r="K59" s="63" t="s">
        <v>52</v>
      </c>
      <c r="M59" s="32" t="s">
        <v>81</v>
      </c>
      <c r="N59" s="30" t="s">
        <v>82</v>
      </c>
      <c r="O59" s="74">
        <v>504.01725000000005</v>
      </c>
      <c r="P59" s="32" t="s">
        <v>81</v>
      </c>
      <c r="Q59" s="30" t="s">
        <v>82</v>
      </c>
      <c r="R59" s="480">
        <v>1.380869178082192</v>
      </c>
      <c r="S59" s="103" t="s">
        <v>52</v>
      </c>
    </row>
    <row r="60" spans="2:19" ht="14.25" x14ac:dyDescent="0.2">
      <c r="B60" s="29" t="s">
        <v>130</v>
      </c>
      <c r="C60" s="30" t="s">
        <v>101</v>
      </c>
      <c r="D60" s="484" t="s">
        <v>80</v>
      </c>
      <c r="E60" s="32" t="s">
        <v>81</v>
      </c>
      <c r="F60" s="30" t="s">
        <v>1893</v>
      </c>
      <c r="G60" s="65">
        <f>SUM('Acids Bases Plating CMP PTE'!D101*'Acids Bases Plating CMP PTE'!F101,'Acids Bases Plating CMP PTE'!D102*'Acids Bases Plating CMP PTE'!F102)</f>
        <v>78976.524684119096</v>
      </c>
      <c r="H60" s="32" t="s">
        <v>81</v>
      </c>
      <c r="I60" s="30" t="str">
        <f t="shared" si="8"/>
        <v>Material Used - Liquid Chemical</v>
      </c>
      <c r="J60" s="66">
        <f t="shared" si="9"/>
        <v>216.37404023046327</v>
      </c>
      <c r="K60" s="63" t="s">
        <v>52</v>
      </c>
      <c r="M60" s="32" t="s">
        <v>81</v>
      </c>
      <c r="N60" s="30" t="s">
        <v>82</v>
      </c>
      <c r="O60" s="74">
        <v>26136.470799999999</v>
      </c>
      <c r="P60" s="32" t="s">
        <v>81</v>
      </c>
      <c r="Q60" s="30" t="s">
        <v>82</v>
      </c>
      <c r="R60" s="480">
        <v>71.60676931506849</v>
      </c>
      <c r="S60" s="103" t="s">
        <v>52</v>
      </c>
    </row>
    <row r="61" spans="2:19" ht="14.25" x14ac:dyDescent="0.2">
      <c r="B61" s="29" t="s">
        <v>131</v>
      </c>
      <c r="C61" s="30" t="s">
        <v>101</v>
      </c>
      <c r="D61" s="484" t="s">
        <v>80</v>
      </c>
      <c r="E61" s="32" t="s">
        <v>81</v>
      </c>
      <c r="F61" s="30" t="s">
        <v>1893</v>
      </c>
      <c r="G61" s="65">
        <f>'Acids Bases Plating CMP PTE'!D88*'Acids Bases Plating CMP PTE'!F88</f>
        <v>9881.3360038765913</v>
      </c>
      <c r="H61" s="32" t="s">
        <v>81</v>
      </c>
      <c r="I61" s="30" t="str">
        <f t="shared" si="8"/>
        <v>Material Used - Liquid Chemical</v>
      </c>
      <c r="J61" s="66">
        <f t="shared" si="9"/>
        <v>27.072153435278331</v>
      </c>
      <c r="K61" s="63" t="s">
        <v>52</v>
      </c>
      <c r="M61" s="32" t="s">
        <v>81</v>
      </c>
      <c r="N61" s="30" t="s">
        <v>82</v>
      </c>
      <c r="O61" s="74">
        <v>4725.8747999999996</v>
      </c>
      <c r="P61" s="32" t="s">
        <v>81</v>
      </c>
      <c r="Q61" s="30" t="s">
        <v>82</v>
      </c>
      <c r="R61" s="480">
        <v>12.94760219178082</v>
      </c>
      <c r="S61" s="103" t="s">
        <v>52</v>
      </c>
    </row>
    <row r="62" spans="2:19" ht="14.25" x14ac:dyDescent="0.2">
      <c r="B62" s="29" t="s">
        <v>132</v>
      </c>
      <c r="C62" s="30" t="s">
        <v>101</v>
      </c>
      <c r="D62" s="484" t="s">
        <v>80</v>
      </c>
      <c r="E62" s="32" t="s">
        <v>81</v>
      </c>
      <c r="F62" s="30" t="s">
        <v>1893</v>
      </c>
      <c r="G62" s="65">
        <f>'Acids Bases Plating CMP PTE'!D104*'Acids Bases Plating CMP PTE'!F104</f>
        <v>109570.1838</v>
      </c>
      <c r="H62" s="32" t="s">
        <v>81</v>
      </c>
      <c r="I62" s="30" t="str">
        <f t="shared" si="8"/>
        <v>Material Used - Liquid Chemical</v>
      </c>
      <c r="J62" s="66">
        <f t="shared" si="9"/>
        <v>300.19228438356163</v>
      </c>
      <c r="K62" s="63" t="s">
        <v>52</v>
      </c>
      <c r="M62" s="32" t="s">
        <v>81</v>
      </c>
      <c r="N62" s="30" t="s">
        <v>82</v>
      </c>
      <c r="O62" s="74">
        <v>45603.712</v>
      </c>
      <c r="P62" s="32" t="s">
        <v>81</v>
      </c>
      <c r="Q62" s="30" t="s">
        <v>82</v>
      </c>
      <c r="R62" s="480">
        <v>124.94167671232877</v>
      </c>
      <c r="S62" s="103" t="s">
        <v>52</v>
      </c>
    </row>
    <row r="63" spans="2:19" ht="14.25" x14ac:dyDescent="0.2">
      <c r="B63" s="29" t="s">
        <v>133</v>
      </c>
      <c r="C63" s="30" t="s">
        <v>119</v>
      </c>
      <c r="D63" s="484" t="s">
        <v>32</v>
      </c>
      <c r="E63" s="32" t="s">
        <v>81</v>
      </c>
      <c r="F63" s="30" t="s">
        <v>1893</v>
      </c>
      <c r="G63" s="65">
        <f>SUM('Photoresist and Organics PTE'!D95*'Photoresist and Organics PTE'!F95,'Photoresist and Organics PTE'!D25*'Photoresist and Organics PTE'!F28,'Photoresist and Organics PTE'!D7*'Photoresist and Organics PTE'!F7)</f>
        <v>182.78346349411635</v>
      </c>
      <c r="H63" s="32" t="s">
        <v>81</v>
      </c>
      <c r="I63" s="30" t="str">
        <f t="shared" si="8"/>
        <v>Material Used - Liquid Chemical</v>
      </c>
      <c r="J63" s="66">
        <f t="shared" si="9"/>
        <v>0.50077661231264747</v>
      </c>
      <c r="K63" s="63" t="s">
        <v>52</v>
      </c>
      <c r="M63" s="32" t="s">
        <v>81</v>
      </c>
      <c r="N63" s="30" t="s">
        <v>82</v>
      </c>
      <c r="O63" s="74">
        <v>53.5304</v>
      </c>
      <c r="P63" s="32" t="s">
        <v>81</v>
      </c>
      <c r="Q63" s="30" t="s">
        <v>82</v>
      </c>
      <c r="R63" s="480">
        <v>0.1466586301369863</v>
      </c>
      <c r="S63" s="103" t="s">
        <v>52</v>
      </c>
    </row>
    <row r="64" spans="2:19" ht="14.25" x14ac:dyDescent="0.2">
      <c r="B64" s="29" t="s">
        <v>134</v>
      </c>
      <c r="C64" s="30" t="s">
        <v>113</v>
      </c>
      <c r="D64" s="484" t="s">
        <v>22</v>
      </c>
      <c r="E64" s="32" t="s">
        <v>81</v>
      </c>
      <c r="F64" s="30" t="s">
        <v>1895</v>
      </c>
      <c r="G64" s="65">
        <f>'Gas and Liquid Precursor PTE'!D6</f>
        <v>64.478081804720503</v>
      </c>
      <c r="H64" s="32" t="s">
        <v>81</v>
      </c>
      <c r="I64" s="30" t="str">
        <f t="shared" si="8"/>
        <v>Material Used - Gaseous Chemical</v>
      </c>
      <c r="J64" s="66">
        <f t="shared" si="9"/>
        <v>0.17665227891704247</v>
      </c>
      <c r="K64" s="63" t="s">
        <v>52</v>
      </c>
      <c r="M64" s="32" t="s">
        <v>81</v>
      </c>
      <c r="N64" s="30" t="s">
        <v>82</v>
      </c>
      <c r="O64" s="74">
        <v>3.68</v>
      </c>
      <c r="P64" s="32" t="s">
        <v>81</v>
      </c>
      <c r="Q64" s="30" t="s">
        <v>82</v>
      </c>
      <c r="R64" s="480">
        <v>1.0082191780821918E-2</v>
      </c>
      <c r="S64" s="103" t="s">
        <v>52</v>
      </c>
    </row>
    <row r="65" spans="2:19" ht="14.25" x14ac:dyDescent="0.2">
      <c r="B65" s="29" t="s">
        <v>135</v>
      </c>
      <c r="C65" s="30" t="s">
        <v>136</v>
      </c>
      <c r="D65" s="484" t="s">
        <v>80</v>
      </c>
      <c r="E65" s="32" t="s">
        <v>81</v>
      </c>
      <c r="F65" s="30" t="s">
        <v>1895</v>
      </c>
      <c r="G65" s="74">
        <f>SUM('Gas and Liquid Precursor PTE'!D14)</f>
        <v>3007.8030372552189</v>
      </c>
      <c r="H65" s="32" t="s">
        <v>81</v>
      </c>
      <c r="I65" s="30" t="str">
        <f t="shared" si="8"/>
        <v>Material Used - Gaseous Chemical</v>
      </c>
      <c r="J65" s="66">
        <f>G65/365</f>
        <v>8.2405562664526553</v>
      </c>
      <c r="K65" s="63" t="s">
        <v>52</v>
      </c>
      <c r="M65" s="32" t="s">
        <v>81</v>
      </c>
      <c r="N65" s="30" t="s">
        <v>82</v>
      </c>
      <c r="O65" s="74">
        <v>1200</v>
      </c>
      <c r="P65" s="32" t="s">
        <v>81</v>
      </c>
      <c r="Q65" s="30" t="s">
        <v>82</v>
      </c>
      <c r="R65" s="480">
        <v>3.2876712328767121</v>
      </c>
      <c r="S65" s="103" t="s">
        <v>52</v>
      </c>
    </row>
    <row r="66" spans="2:19" ht="14.25" x14ac:dyDescent="0.2">
      <c r="B66" s="29" t="s">
        <v>137</v>
      </c>
      <c r="C66" s="30" t="s">
        <v>113</v>
      </c>
      <c r="D66" s="484" t="s">
        <v>80</v>
      </c>
      <c r="E66" s="32" t="s">
        <v>81</v>
      </c>
      <c r="F66" s="30" t="s">
        <v>1895</v>
      </c>
      <c r="G66" s="65">
        <f>'Gas and Liquid Precursor PTE'!D10</f>
        <v>82.996294737813244</v>
      </c>
      <c r="H66" s="32" t="s">
        <v>81</v>
      </c>
      <c r="I66" s="30" t="str">
        <f t="shared" si="8"/>
        <v>Material Used - Gaseous Chemical</v>
      </c>
      <c r="J66" s="66">
        <f t="shared" si="9"/>
        <v>0.22738710887072122</v>
      </c>
      <c r="K66" s="63" t="s">
        <v>52</v>
      </c>
      <c r="M66" s="32" t="s">
        <v>81</v>
      </c>
      <c r="N66" s="30" t="s">
        <v>82</v>
      </c>
      <c r="O66" s="74">
        <v>16.059999999999999</v>
      </c>
      <c r="P66" s="32" t="s">
        <v>81</v>
      </c>
      <c r="Q66" s="30" t="s">
        <v>82</v>
      </c>
      <c r="R66" s="480">
        <v>4.3999999999999997E-2</v>
      </c>
      <c r="S66" s="103" t="s">
        <v>52</v>
      </c>
    </row>
    <row r="67" spans="2:19" ht="14.25" x14ac:dyDescent="0.2">
      <c r="B67" s="29" t="s">
        <v>138</v>
      </c>
      <c r="C67" s="30" t="s">
        <v>136</v>
      </c>
      <c r="D67" s="484" t="s">
        <v>80</v>
      </c>
      <c r="E67" s="32" t="s">
        <v>81</v>
      </c>
      <c r="F67" s="30" t="s">
        <v>1895</v>
      </c>
      <c r="G67" s="65">
        <f>'Gas and Liquid Precursor PTE'!D19</f>
        <v>919.58804659077941</v>
      </c>
      <c r="H67" s="32" t="s">
        <v>81</v>
      </c>
      <c r="I67" s="30" t="str">
        <f t="shared" si="8"/>
        <v>Material Used - Gaseous Chemical</v>
      </c>
      <c r="J67" s="66">
        <f t="shared" si="9"/>
        <v>2.5194193057281629</v>
      </c>
      <c r="K67" s="63" t="s">
        <v>52</v>
      </c>
      <c r="M67" s="32" t="s">
        <v>81</v>
      </c>
      <c r="N67" s="30" t="s">
        <v>82</v>
      </c>
      <c r="O67" s="74">
        <v>0</v>
      </c>
      <c r="P67" s="32" t="s">
        <v>81</v>
      </c>
      <c r="Q67" s="30" t="s">
        <v>82</v>
      </c>
      <c r="R67" s="480">
        <v>0</v>
      </c>
      <c r="S67" s="103" t="s">
        <v>52</v>
      </c>
    </row>
    <row r="68" spans="2:19" ht="14.25" x14ac:dyDescent="0.2">
      <c r="B68" s="29" t="s">
        <v>139</v>
      </c>
      <c r="C68" s="30" t="s">
        <v>119</v>
      </c>
      <c r="D68" s="484" t="s">
        <v>80</v>
      </c>
      <c r="E68" s="32" t="s">
        <v>81</v>
      </c>
      <c r="F68" s="30" t="s">
        <v>1895</v>
      </c>
      <c r="G68" s="65">
        <f>'Gas and Liquid Precursor PTE'!D26</f>
        <v>2.1962371546747597</v>
      </c>
      <c r="H68" s="32" t="s">
        <v>81</v>
      </c>
      <c r="I68" s="30" t="str">
        <f t="shared" si="8"/>
        <v>Material Used - Gaseous Chemical</v>
      </c>
      <c r="J68" s="66">
        <f t="shared" si="9"/>
        <v>6.0170880949993412E-3</v>
      </c>
      <c r="K68" s="63" t="s">
        <v>52</v>
      </c>
      <c r="M68" s="32" t="s">
        <v>81</v>
      </c>
      <c r="N68" s="30" t="s">
        <v>82</v>
      </c>
      <c r="O68" s="74">
        <v>0.76000000000000012</v>
      </c>
      <c r="P68" s="32" t="s">
        <v>81</v>
      </c>
      <c r="Q68" s="30" t="s">
        <v>82</v>
      </c>
      <c r="R68" s="480">
        <v>2.0821917808219181E-3</v>
      </c>
      <c r="S68" s="103" t="s">
        <v>52</v>
      </c>
    </row>
    <row r="69" spans="2:19" ht="14.25" x14ac:dyDescent="0.2">
      <c r="B69" s="29" t="s">
        <v>140</v>
      </c>
      <c r="C69" s="30" t="s">
        <v>113</v>
      </c>
      <c r="D69" s="484" t="s">
        <v>80</v>
      </c>
      <c r="E69" s="32" t="s">
        <v>81</v>
      </c>
      <c r="F69" s="30" t="s">
        <v>1895</v>
      </c>
      <c r="G69" s="65">
        <f>'Gas and Liquid Precursor PTE'!D29</f>
        <v>15.637092382975995</v>
      </c>
      <c r="H69" s="32" t="s">
        <v>81</v>
      </c>
      <c r="I69" s="30" t="str">
        <f t="shared" si="8"/>
        <v>Material Used - Gaseous Chemical</v>
      </c>
      <c r="J69" s="66">
        <f t="shared" ref="J69" si="10">G69/365</f>
        <v>4.2841348994454784E-2</v>
      </c>
      <c r="K69" s="63" t="s">
        <v>52</v>
      </c>
      <c r="M69" s="32" t="s">
        <v>81</v>
      </c>
      <c r="N69" s="30" t="s">
        <v>82</v>
      </c>
      <c r="O69" s="74">
        <v>1.1599999999999999</v>
      </c>
      <c r="P69" s="32" t="s">
        <v>81</v>
      </c>
      <c r="Q69" s="30" t="s">
        <v>82</v>
      </c>
      <c r="R69" s="480">
        <v>3.1780821917808217E-3</v>
      </c>
      <c r="S69" s="103" t="s">
        <v>52</v>
      </c>
    </row>
    <row r="70" spans="2:19" ht="14.25" x14ac:dyDescent="0.2">
      <c r="B70" s="29" t="s">
        <v>141</v>
      </c>
      <c r="C70" s="30" t="s">
        <v>142</v>
      </c>
      <c r="D70" s="484" t="s">
        <v>80</v>
      </c>
      <c r="E70" s="32" t="s">
        <v>81</v>
      </c>
      <c r="F70" s="30" t="s">
        <v>1895</v>
      </c>
      <c r="G70" s="65">
        <f>'Gas and Liquid Precursor PTE'!D31</f>
        <v>9566.4716546239943</v>
      </c>
      <c r="H70" s="32" t="s">
        <v>81</v>
      </c>
      <c r="I70" s="30" t="str">
        <f t="shared" si="8"/>
        <v>Material Used - Gaseous Chemical</v>
      </c>
      <c r="J70" s="66">
        <f t="shared" si="9"/>
        <v>26.209511382531492</v>
      </c>
      <c r="K70" s="63" t="s">
        <v>52</v>
      </c>
      <c r="M70" s="32" t="s">
        <v>81</v>
      </c>
      <c r="N70" s="30" t="s">
        <v>82</v>
      </c>
      <c r="O70" s="74">
        <v>4900</v>
      </c>
      <c r="P70" s="32" t="s">
        <v>81</v>
      </c>
      <c r="Q70" s="30" t="s">
        <v>82</v>
      </c>
      <c r="R70" s="480">
        <v>13.424657534246576</v>
      </c>
      <c r="S70" s="103" t="s">
        <v>52</v>
      </c>
    </row>
    <row r="71" spans="2:19" ht="30.6" customHeight="1" x14ac:dyDescent="0.2">
      <c r="B71" s="75" t="s">
        <v>143</v>
      </c>
      <c r="C71" s="30" t="s">
        <v>142</v>
      </c>
      <c r="D71" s="484" t="s">
        <v>80</v>
      </c>
      <c r="E71" s="32" t="s">
        <v>81</v>
      </c>
      <c r="F71" s="30" t="s">
        <v>1895</v>
      </c>
      <c r="G71" s="65">
        <f>'Gas and Liquid Precursor PTE'!D31</f>
        <v>9566.4716546239943</v>
      </c>
      <c r="H71" s="32" t="s">
        <v>81</v>
      </c>
      <c r="I71" s="30" t="str">
        <f t="shared" si="8"/>
        <v>Material Used - Gaseous Chemical</v>
      </c>
      <c r="J71" s="66">
        <f t="shared" si="9"/>
        <v>26.209511382531492</v>
      </c>
      <c r="K71" s="63" t="s">
        <v>52</v>
      </c>
      <c r="M71" s="32" t="s">
        <v>81</v>
      </c>
      <c r="N71" s="30" t="s">
        <v>82</v>
      </c>
      <c r="O71" s="74">
        <v>4900</v>
      </c>
      <c r="P71" s="32" t="s">
        <v>81</v>
      </c>
      <c r="Q71" s="30" t="s">
        <v>82</v>
      </c>
      <c r="R71" s="480">
        <v>13.424657534246576</v>
      </c>
      <c r="S71" s="103" t="s">
        <v>52</v>
      </c>
    </row>
    <row r="72" spans="2:19" ht="28.5" x14ac:dyDescent="0.2">
      <c r="B72" s="75" t="s">
        <v>144</v>
      </c>
      <c r="C72" s="30" t="s">
        <v>142</v>
      </c>
      <c r="D72" s="484" t="s">
        <v>80</v>
      </c>
      <c r="E72" s="32" t="s">
        <v>81</v>
      </c>
      <c r="F72" s="30" t="s">
        <v>1895</v>
      </c>
      <c r="G72" s="65">
        <f>'Gas and Liquid Precursor PTE'!D31</f>
        <v>9566.4716546239943</v>
      </c>
      <c r="H72" s="32" t="s">
        <v>81</v>
      </c>
      <c r="I72" s="30" t="str">
        <f t="shared" si="8"/>
        <v>Material Used - Gaseous Chemical</v>
      </c>
      <c r="J72" s="66">
        <f t="shared" ref="J72" si="11">G72/365</f>
        <v>26.209511382531492</v>
      </c>
      <c r="K72" s="63" t="s">
        <v>52</v>
      </c>
      <c r="M72" s="32" t="s">
        <v>81</v>
      </c>
      <c r="N72" s="30" t="s">
        <v>82</v>
      </c>
      <c r="O72" s="74">
        <v>4900</v>
      </c>
      <c r="P72" s="32" t="s">
        <v>81</v>
      </c>
      <c r="Q72" s="30" t="s">
        <v>82</v>
      </c>
      <c r="R72" s="480">
        <v>13.424657534246576</v>
      </c>
      <c r="S72" s="103" t="s">
        <v>52</v>
      </c>
    </row>
    <row r="73" spans="2:19" ht="14.25" x14ac:dyDescent="0.2">
      <c r="B73" s="29" t="s">
        <v>145</v>
      </c>
      <c r="C73" s="30" t="s">
        <v>146</v>
      </c>
      <c r="D73" s="484" t="s">
        <v>80</v>
      </c>
      <c r="E73" s="32" t="s">
        <v>81</v>
      </c>
      <c r="F73" s="30" t="s">
        <v>1895</v>
      </c>
      <c r="G73" s="65">
        <f>'Gas and Liquid Precursor PTE'!D45</f>
        <v>0</v>
      </c>
      <c r="H73" s="32" t="s">
        <v>81</v>
      </c>
      <c r="I73" s="30" t="str">
        <f t="shared" si="8"/>
        <v>Material Used - Gaseous Chemical</v>
      </c>
      <c r="J73" s="66">
        <f t="shared" si="9"/>
        <v>0</v>
      </c>
      <c r="K73" s="63" t="s">
        <v>52</v>
      </c>
      <c r="M73" s="32" t="s">
        <v>81</v>
      </c>
      <c r="N73" s="30" t="s">
        <v>82</v>
      </c>
      <c r="O73" s="74">
        <v>10601.712</v>
      </c>
      <c r="P73" s="32" t="s">
        <v>81</v>
      </c>
      <c r="Q73" s="30" t="s">
        <v>82</v>
      </c>
      <c r="R73" s="480">
        <v>29.045786301369862</v>
      </c>
      <c r="S73" s="103" t="s">
        <v>52</v>
      </c>
    </row>
    <row r="74" spans="2:19" ht="28.5" x14ac:dyDescent="0.2">
      <c r="B74" s="75" t="s">
        <v>147</v>
      </c>
      <c r="C74" s="30" t="s">
        <v>146</v>
      </c>
      <c r="D74" s="485" t="s">
        <v>80</v>
      </c>
      <c r="E74" s="32" t="s">
        <v>81</v>
      </c>
      <c r="F74" s="30" t="s">
        <v>1895</v>
      </c>
      <c r="G74" s="65">
        <f>'Gas and Liquid Precursor PTE'!D45</f>
        <v>0</v>
      </c>
      <c r="H74" s="32" t="s">
        <v>81</v>
      </c>
      <c r="I74" s="30" t="str">
        <f t="shared" si="8"/>
        <v>Material Used - Gaseous Chemical</v>
      </c>
      <c r="J74" s="66">
        <f t="shared" si="9"/>
        <v>0</v>
      </c>
      <c r="K74" s="63" t="s">
        <v>52</v>
      </c>
      <c r="M74" s="32" t="s">
        <v>81</v>
      </c>
      <c r="N74" s="30" t="s">
        <v>82</v>
      </c>
      <c r="O74" s="74">
        <v>10601.712</v>
      </c>
      <c r="P74" s="32" t="s">
        <v>81</v>
      </c>
      <c r="Q74" s="30" t="s">
        <v>82</v>
      </c>
      <c r="R74" s="480">
        <v>29.045786301369862</v>
      </c>
      <c r="S74" s="103" t="s">
        <v>52</v>
      </c>
    </row>
    <row r="75" spans="2:19" ht="28.5" x14ac:dyDescent="0.2">
      <c r="B75" s="75" t="s">
        <v>148</v>
      </c>
      <c r="C75" s="30" t="s">
        <v>146</v>
      </c>
      <c r="D75" s="485" t="s">
        <v>80</v>
      </c>
      <c r="E75" s="32" t="s">
        <v>81</v>
      </c>
      <c r="F75" s="30" t="s">
        <v>1895</v>
      </c>
      <c r="G75" s="65">
        <f>'Gas and Liquid Precursor PTE'!D45</f>
        <v>0</v>
      </c>
      <c r="H75" s="32" t="s">
        <v>81</v>
      </c>
      <c r="I75" s="30" t="str">
        <f t="shared" si="8"/>
        <v>Material Used - Gaseous Chemical</v>
      </c>
      <c r="J75" s="66">
        <f t="shared" ref="J75" si="12">G75/365</f>
        <v>0</v>
      </c>
      <c r="K75" s="63" t="s">
        <v>52</v>
      </c>
      <c r="M75" s="32" t="s">
        <v>81</v>
      </c>
      <c r="N75" s="30" t="s">
        <v>82</v>
      </c>
      <c r="O75" s="74">
        <v>10601.712</v>
      </c>
      <c r="P75" s="32" t="s">
        <v>81</v>
      </c>
      <c r="Q75" s="30" t="s">
        <v>82</v>
      </c>
      <c r="R75" s="480">
        <v>29.045786301369862</v>
      </c>
      <c r="S75" s="103" t="s">
        <v>52</v>
      </c>
    </row>
    <row r="76" spans="2:19" ht="14.25" x14ac:dyDescent="0.2">
      <c r="B76" s="29" t="s">
        <v>149</v>
      </c>
      <c r="C76" s="30" t="s">
        <v>150</v>
      </c>
      <c r="D76" s="484" t="s">
        <v>80</v>
      </c>
      <c r="E76" s="32" t="s">
        <v>81</v>
      </c>
      <c r="F76" s="30" t="s">
        <v>1895</v>
      </c>
      <c r="G76" s="65">
        <f>'Gas and Liquid Precursor PTE'!D53</f>
        <v>32527.65451390887</v>
      </c>
      <c r="H76" s="32" t="s">
        <v>81</v>
      </c>
      <c r="I76" s="30" t="str">
        <f t="shared" si="8"/>
        <v>Material Used - Gaseous Chemical</v>
      </c>
      <c r="J76" s="66">
        <f t="shared" si="9"/>
        <v>89.116861681942112</v>
      </c>
      <c r="K76" s="63" t="s">
        <v>52</v>
      </c>
      <c r="M76" s="32" t="s">
        <v>81</v>
      </c>
      <c r="N76" s="30" t="s">
        <v>82</v>
      </c>
      <c r="O76" s="74">
        <v>2202.288</v>
      </c>
      <c r="P76" s="32" t="s">
        <v>81</v>
      </c>
      <c r="Q76" s="30" t="s">
        <v>82</v>
      </c>
      <c r="R76" s="480">
        <v>6.0336657534246578</v>
      </c>
      <c r="S76" s="103" t="s">
        <v>52</v>
      </c>
    </row>
    <row r="77" spans="2:19" ht="28.5" x14ac:dyDescent="0.2">
      <c r="B77" s="75" t="s">
        <v>151</v>
      </c>
      <c r="C77" s="30" t="s">
        <v>150</v>
      </c>
      <c r="D77" s="485" t="s">
        <v>80</v>
      </c>
      <c r="E77" s="32" t="s">
        <v>81</v>
      </c>
      <c r="F77" s="30" t="s">
        <v>1895</v>
      </c>
      <c r="G77" s="65">
        <f>'Gas and Liquid Precursor PTE'!D53</f>
        <v>32527.65451390887</v>
      </c>
      <c r="H77" s="32" t="s">
        <v>81</v>
      </c>
      <c r="I77" s="30" t="str">
        <f t="shared" si="8"/>
        <v>Material Used - Gaseous Chemical</v>
      </c>
      <c r="J77" s="66">
        <f t="shared" si="9"/>
        <v>89.116861681942112</v>
      </c>
      <c r="K77" s="63" t="s">
        <v>52</v>
      </c>
      <c r="M77" s="32" t="s">
        <v>81</v>
      </c>
      <c r="N77" s="30" t="s">
        <v>82</v>
      </c>
      <c r="O77" s="74">
        <v>2202.288</v>
      </c>
      <c r="P77" s="32" t="s">
        <v>81</v>
      </c>
      <c r="Q77" s="30" t="s">
        <v>82</v>
      </c>
      <c r="R77" s="480">
        <v>6.0336657534246578</v>
      </c>
      <c r="S77" s="103" t="s">
        <v>52</v>
      </c>
    </row>
    <row r="78" spans="2:19" ht="28.5" x14ac:dyDescent="0.2">
      <c r="B78" s="75" t="s">
        <v>152</v>
      </c>
      <c r="C78" s="30" t="s">
        <v>150</v>
      </c>
      <c r="D78" s="485" t="s">
        <v>80</v>
      </c>
      <c r="E78" s="32" t="s">
        <v>81</v>
      </c>
      <c r="F78" s="30" t="s">
        <v>1895</v>
      </c>
      <c r="G78" s="65">
        <f>'Gas and Liquid Precursor PTE'!D53</f>
        <v>32527.65451390887</v>
      </c>
      <c r="H78" s="32" t="s">
        <v>81</v>
      </c>
      <c r="I78" s="30" t="str">
        <f t="shared" si="8"/>
        <v>Material Used - Gaseous Chemical</v>
      </c>
      <c r="J78" s="66">
        <f t="shared" ref="J78" si="13">G78/365</f>
        <v>89.116861681942112</v>
      </c>
      <c r="K78" s="63" t="s">
        <v>52</v>
      </c>
      <c r="M78" s="32" t="s">
        <v>81</v>
      </c>
      <c r="N78" s="30" t="s">
        <v>82</v>
      </c>
      <c r="O78" s="74">
        <v>2202.288</v>
      </c>
      <c r="P78" s="32" t="s">
        <v>81</v>
      </c>
      <c r="Q78" s="30" t="s">
        <v>82</v>
      </c>
      <c r="R78" s="480">
        <v>6.0336657534246578</v>
      </c>
      <c r="S78" s="103" t="s">
        <v>52</v>
      </c>
    </row>
    <row r="79" spans="2:19" ht="14.25" x14ac:dyDescent="0.2">
      <c r="B79" s="29" t="s">
        <v>153</v>
      </c>
      <c r="C79" s="30" t="s">
        <v>136</v>
      </c>
      <c r="D79" s="484" t="s">
        <v>80</v>
      </c>
      <c r="E79" s="32" t="s">
        <v>81</v>
      </c>
      <c r="F79" s="30" t="s">
        <v>1895</v>
      </c>
      <c r="G79" s="65">
        <f>'Gas and Liquid Precursor PTE'!D67</f>
        <v>594</v>
      </c>
      <c r="H79" s="32" t="s">
        <v>81</v>
      </c>
      <c r="I79" s="30" t="str">
        <f t="shared" si="8"/>
        <v>Material Used - Gaseous Chemical</v>
      </c>
      <c r="J79" s="66">
        <f t="shared" si="9"/>
        <v>1.6273972602739726</v>
      </c>
      <c r="K79" s="63" t="s">
        <v>52</v>
      </c>
      <c r="M79" s="32" t="s">
        <v>81</v>
      </c>
      <c r="N79" s="30" t="s">
        <v>82</v>
      </c>
      <c r="O79" s="74">
        <v>308</v>
      </c>
      <c r="P79" s="32" t="s">
        <v>81</v>
      </c>
      <c r="Q79" s="30" t="s">
        <v>82</v>
      </c>
      <c r="R79" s="480">
        <v>0.84383561643835614</v>
      </c>
      <c r="S79" s="103" t="s">
        <v>52</v>
      </c>
    </row>
    <row r="80" spans="2:19" ht="14.25" x14ac:dyDescent="0.2">
      <c r="B80" s="29" t="s">
        <v>154</v>
      </c>
      <c r="C80" s="30" t="s">
        <v>136</v>
      </c>
      <c r="D80" s="484" t="s">
        <v>80</v>
      </c>
      <c r="E80" s="32" t="s">
        <v>81</v>
      </c>
      <c r="F80" s="30" t="s">
        <v>1895</v>
      </c>
      <c r="G80" s="76">
        <f>'Gas and Liquid Precursor PTE'!D74</f>
        <v>2738.6190494981001</v>
      </c>
      <c r="H80" s="32" t="s">
        <v>81</v>
      </c>
      <c r="I80" s="30" t="str">
        <f t="shared" si="8"/>
        <v>Material Used - Gaseous Chemical</v>
      </c>
      <c r="J80" s="66">
        <f t="shared" si="9"/>
        <v>7.5030658890358906</v>
      </c>
      <c r="K80" s="63" t="s">
        <v>52</v>
      </c>
      <c r="M80" s="32" t="s">
        <v>81</v>
      </c>
      <c r="N80" s="30" t="s">
        <v>82</v>
      </c>
      <c r="O80" s="74">
        <v>813.43999999999994</v>
      </c>
      <c r="P80" s="32" t="s">
        <v>81</v>
      </c>
      <c r="Q80" s="30" t="s">
        <v>82</v>
      </c>
      <c r="R80" s="480">
        <v>2.2286027397260271</v>
      </c>
      <c r="S80" s="103" t="s">
        <v>52</v>
      </c>
    </row>
    <row r="81" spans="2:19" ht="14.25" x14ac:dyDescent="0.2">
      <c r="B81" s="29" t="s">
        <v>155</v>
      </c>
      <c r="C81" s="30" t="s">
        <v>110</v>
      </c>
      <c r="D81" s="484" t="s">
        <v>80</v>
      </c>
      <c r="E81" s="32" t="s">
        <v>81</v>
      </c>
      <c r="F81" s="30" t="s">
        <v>1895</v>
      </c>
      <c r="G81" s="76">
        <f>'Gas and Liquid Precursor PTE'!D80</f>
        <v>29717.696346742967</v>
      </c>
      <c r="H81" s="32" t="s">
        <v>81</v>
      </c>
      <c r="I81" s="30" t="str">
        <f t="shared" si="8"/>
        <v>Material Used - Gaseous Chemical</v>
      </c>
      <c r="J81" s="66">
        <f t="shared" si="9"/>
        <v>81.418346155460185</v>
      </c>
      <c r="K81" s="63" t="s">
        <v>52</v>
      </c>
      <c r="M81" s="32" t="s">
        <v>81</v>
      </c>
      <c r="N81" s="30" t="s">
        <v>82</v>
      </c>
      <c r="O81" s="74">
        <v>14175</v>
      </c>
      <c r="P81" s="32" t="s">
        <v>81</v>
      </c>
      <c r="Q81" s="30" t="s">
        <v>82</v>
      </c>
      <c r="R81" s="480">
        <v>38.835616438356162</v>
      </c>
      <c r="S81" s="103" t="s">
        <v>52</v>
      </c>
    </row>
    <row r="82" spans="2:19" ht="28.5" x14ac:dyDescent="0.2">
      <c r="B82" s="75" t="s">
        <v>156</v>
      </c>
      <c r="C82" s="30" t="s">
        <v>110</v>
      </c>
      <c r="D82" s="484" t="s">
        <v>80</v>
      </c>
      <c r="E82" s="32" t="s">
        <v>81</v>
      </c>
      <c r="F82" s="30" t="s">
        <v>1895</v>
      </c>
      <c r="G82" s="76">
        <f>'Gas and Liquid Precursor PTE'!D80</f>
        <v>29717.696346742967</v>
      </c>
      <c r="H82" s="32" t="s">
        <v>81</v>
      </c>
      <c r="I82" s="30" t="str">
        <f t="shared" si="8"/>
        <v>Material Used - Gaseous Chemical</v>
      </c>
      <c r="J82" s="66">
        <f t="shared" si="9"/>
        <v>81.418346155460185</v>
      </c>
      <c r="K82" s="63" t="s">
        <v>52</v>
      </c>
      <c r="M82" s="32" t="s">
        <v>81</v>
      </c>
      <c r="N82" s="30" t="s">
        <v>82</v>
      </c>
      <c r="O82" s="74">
        <v>14175</v>
      </c>
      <c r="P82" s="32" t="s">
        <v>81</v>
      </c>
      <c r="Q82" s="30" t="s">
        <v>82</v>
      </c>
      <c r="R82" s="480">
        <v>38.835616438356162</v>
      </c>
      <c r="S82" s="103" t="s">
        <v>52</v>
      </c>
    </row>
    <row r="83" spans="2:19" ht="28.5" x14ac:dyDescent="0.2">
      <c r="B83" s="75" t="s">
        <v>157</v>
      </c>
      <c r="C83" s="30" t="s">
        <v>110</v>
      </c>
      <c r="D83" s="484" t="s">
        <v>80</v>
      </c>
      <c r="E83" s="32" t="s">
        <v>81</v>
      </c>
      <c r="F83" s="30" t="s">
        <v>1895</v>
      </c>
      <c r="G83" s="76">
        <f>'Gas and Liquid Precursor PTE'!D80</f>
        <v>29717.696346742967</v>
      </c>
      <c r="H83" s="32" t="s">
        <v>81</v>
      </c>
      <c r="I83" s="30" t="str">
        <f t="shared" si="8"/>
        <v>Material Used - Gaseous Chemical</v>
      </c>
      <c r="J83" s="66">
        <f t="shared" ref="J83" si="14">G83/365</f>
        <v>81.418346155460185</v>
      </c>
      <c r="K83" s="63" t="s">
        <v>52</v>
      </c>
      <c r="M83" s="32" t="s">
        <v>81</v>
      </c>
      <c r="N83" s="30" t="s">
        <v>82</v>
      </c>
      <c r="O83" s="74">
        <v>14175</v>
      </c>
      <c r="P83" s="32" t="s">
        <v>81</v>
      </c>
      <c r="Q83" s="30" t="s">
        <v>82</v>
      </c>
      <c r="R83" s="480">
        <v>38.835616438356162</v>
      </c>
      <c r="S83" s="103" t="s">
        <v>52</v>
      </c>
    </row>
    <row r="84" spans="2:19" ht="14.25" x14ac:dyDescent="0.2">
      <c r="B84" s="29" t="s">
        <v>158</v>
      </c>
      <c r="C84" s="30" t="s">
        <v>136</v>
      </c>
      <c r="D84" s="484" t="s">
        <v>80</v>
      </c>
      <c r="E84" s="32" t="s">
        <v>81</v>
      </c>
      <c r="F84" s="30" t="s">
        <v>1895</v>
      </c>
      <c r="G84" s="76">
        <f>'Gas and Liquid Precursor PTE'!D100</f>
        <v>3119.1282296655313</v>
      </c>
      <c r="H84" s="32" t="s">
        <v>81</v>
      </c>
      <c r="I84" s="30" t="str">
        <f t="shared" si="8"/>
        <v>Material Used - Gaseous Chemical</v>
      </c>
      <c r="J84" s="66">
        <f t="shared" si="9"/>
        <v>8.5455567936041952</v>
      </c>
      <c r="K84" s="63" t="s">
        <v>52</v>
      </c>
      <c r="M84" s="32" t="s">
        <v>81</v>
      </c>
      <c r="N84" s="30" t="s">
        <v>82</v>
      </c>
      <c r="O84" s="74">
        <v>1400</v>
      </c>
      <c r="P84" s="32" t="s">
        <v>81</v>
      </c>
      <c r="Q84" s="30" t="s">
        <v>82</v>
      </c>
      <c r="R84" s="480">
        <v>3.8356164383561642</v>
      </c>
      <c r="S84" s="103" t="s">
        <v>52</v>
      </c>
    </row>
    <row r="85" spans="2:19" ht="14.25" x14ac:dyDescent="0.2">
      <c r="B85" s="29" t="s">
        <v>159</v>
      </c>
      <c r="C85" s="30" t="s">
        <v>110</v>
      </c>
      <c r="D85" s="484" t="s">
        <v>80</v>
      </c>
      <c r="E85" s="32" t="s">
        <v>81</v>
      </c>
      <c r="F85" s="30" t="s">
        <v>1895</v>
      </c>
      <c r="G85" s="76">
        <f>'Gas and Liquid Precursor PTE'!D111</f>
        <v>0</v>
      </c>
      <c r="H85" s="32" t="s">
        <v>81</v>
      </c>
      <c r="I85" s="30" t="str">
        <f t="shared" si="8"/>
        <v>Material Used - Gaseous Chemical</v>
      </c>
      <c r="J85" s="66">
        <f t="shared" si="9"/>
        <v>0</v>
      </c>
      <c r="K85" s="63" t="s">
        <v>52</v>
      </c>
      <c r="M85" s="32" t="s">
        <v>81</v>
      </c>
      <c r="N85" s="30" t="s">
        <v>82</v>
      </c>
      <c r="O85" s="74">
        <v>17576.64</v>
      </c>
      <c r="P85" s="32" t="s">
        <v>81</v>
      </c>
      <c r="Q85" s="30" t="s">
        <v>82</v>
      </c>
      <c r="R85" s="480">
        <v>48.155178082191782</v>
      </c>
      <c r="S85" s="103" t="s">
        <v>52</v>
      </c>
    </row>
    <row r="86" spans="2:19" ht="28.5" x14ac:dyDescent="0.2">
      <c r="B86" s="75" t="s">
        <v>160</v>
      </c>
      <c r="C86" s="30" t="s">
        <v>110</v>
      </c>
      <c r="D86" s="484" t="s">
        <v>80</v>
      </c>
      <c r="E86" s="32" t="s">
        <v>81</v>
      </c>
      <c r="F86" s="30" t="s">
        <v>1895</v>
      </c>
      <c r="G86" s="76">
        <f>'Gas and Liquid Precursor PTE'!D111</f>
        <v>0</v>
      </c>
      <c r="H86" s="32" t="s">
        <v>81</v>
      </c>
      <c r="I86" s="30" t="str">
        <f t="shared" si="8"/>
        <v>Material Used - Gaseous Chemical</v>
      </c>
      <c r="J86" s="66">
        <f t="shared" si="9"/>
        <v>0</v>
      </c>
      <c r="K86" s="63" t="s">
        <v>52</v>
      </c>
      <c r="M86" s="32" t="s">
        <v>81</v>
      </c>
      <c r="N86" s="30" t="s">
        <v>82</v>
      </c>
      <c r="O86" s="74">
        <v>17576.64</v>
      </c>
      <c r="P86" s="32" t="s">
        <v>81</v>
      </c>
      <c r="Q86" s="30" t="s">
        <v>82</v>
      </c>
      <c r="R86" s="480">
        <v>48.155178082191782</v>
      </c>
      <c r="S86" s="103" t="s">
        <v>52</v>
      </c>
    </row>
    <row r="87" spans="2:19" ht="14.25" x14ac:dyDescent="0.2">
      <c r="B87" s="29" t="s">
        <v>161</v>
      </c>
      <c r="C87" s="30" t="s">
        <v>162</v>
      </c>
      <c r="D87" s="484" t="s">
        <v>80</v>
      </c>
      <c r="E87" s="32" t="s">
        <v>81</v>
      </c>
      <c r="F87" s="30" t="s">
        <v>1895</v>
      </c>
      <c r="G87" s="76">
        <f>'Gas and Liquid Precursor PTE'!D116</f>
        <v>48335.545568291549</v>
      </c>
      <c r="H87" s="32" t="s">
        <v>81</v>
      </c>
      <c r="I87" s="30" t="str">
        <f t="shared" si="8"/>
        <v>Material Used - Gaseous Chemical</v>
      </c>
      <c r="J87" s="66">
        <f t="shared" si="9"/>
        <v>132.42615224189464</v>
      </c>
      <c r="K87" s="63" t="s">
        <v>52</v>
      </c>
      <c r="M87" s="32" t="s">
        <v>81</v>
      </c>
      <c r="N87" s="30" t="s">
        <v>82</v>
      </c>
      <c r="O87" s="74">
        <v>6903.36</v>
      </c>
      <c r="P87" s="32" t="s">
        <v>81</v>
      </c>
      <c r="Q87" s="30" t="s">
        <v>82</v>
      </c>
      <c r="R87" s="480">
        <v>18.913315068493151</v>
      </c>
      <c r="S87" s="103" t="s">
        <v>52</v>
      </c>
    </row>
    <row r="88" spans="2:19" ht="14.25" x14ac:dyDescent="0.2">
      <c r="B88" s="13" t="s">
        <v>163</v>
      </c>
      <c r="C88" s="30" t="s">
        <v>162</v>
      </c>
      <c r="D88" s="486" t="s">
        <v>80</v>
      </c>
      <c r="E88" s="32" t="s">
        <v>81</v>
      </c>
      <c r="F88" s="30" t="s">
        <v>1895</v>
      </c>
      <c r="G88" s="77">
        <f>'Gas and Liquid Precursor PTE'!D132</f>
        <v>1486.3050420529712</v>
      </c>
      <c r="H88" s="32" t="s">
        <v>81</v>
      </c>
      <c r="I88" s="30" t="str">
        <f t="shared" si="8"/>
        <v>Material Used - Gaseous Chemical</v>
      </c>
      <c r="J88" s="66">
        <f t="shared" si="9"/>
        <v>4.0720686083643045</v>
      </c>
      <c r="K88" s="63" t="s">
        <v>52</v>
      </c>
      <c r="M88" s="32" t="s">
        <v>81</v>
      </c>
      <c r="N88" s="30" t="s">
        <v>82</v>
      </c>
      <c r="O88" s="66">
        <v>376</v>
      </c>
      <c r="P88" s="32" t="s">
        <v>81</v>
      </c>
      <c r="Q88" s="30" t="s">
        <v>82</v>
      </c>
      <c r="R88" s="480">
        <v>1.0301369863013699</v>
      </c>
      <c r="S88" s="103" t="s">
        <v>52</v>
      </c>
    </row>
    <row r="89" spans="2:19" ht="14.25" x14ac:dyDescent="0.2">
      <c r="B89" s="13" t="s">
        <v>164</v>
      </c>
      <c r="C89" s="30" t="s">
        <v>110</v>
      </c>
      <c r="D89" s="486" t="s">
        <v>80</v>
      </c>
      <c r="E89" s="32" t="s">
        <v>81</v>
      </c>
      <c r="F89" s="30" t="s">
        <v>1895</v>
      </c>
      <c r="G89" s="77">
        <f>'Gas and Liquid Precursor PTE'!D138</f>
        <v>6504.0699239999994</v>
      </c>
      <c r="H89" s="32" t="s">
        <v>81</v>
      </c>
      <c r="I89" s="30" t="str">
        <f t="shared" si="8"/>
        <v>Material Used - Gaseous Chemical</v>
      </c>
      <c r="J89" s="66">
        <f t="shared" si="9"/>
        <v>17.819369654794517</v>
      </c>
      <c r="K89" s="63" t="s">
        <v>52</v>
      </c>
      <c r="M89" s="32" t="s">
        <v>81</v>
      </c>
      <c r="N89" s="30" t="s">
        <v>82</v>
      </c>
      <c r="O89" s="66">
        <v>4247.04</v>
      </c>
      <c r="P89" s="32" t="s">
        <v>81</v>
      </c>
      <c r="Q89" s="30" t="s">
        <v>82</v>
      </c>
      <c r="R89" s="480">
        <v>11.63572602739726</v>
      </c>
      <c r="S89" s="103" t="s">
        <v>52</v>
      </c>
    </row>
    <row r="90" spans="2:19" ht="14.25" x14ac:dyDescent="0.2">
      <c r="B90" s="13" t="s">
        <v>165</v>
      </c>
      <c r="C90" s="30" t="s">
        <v>166</v>
      </c>
      <c r="D90" s="486" t="s">
        <v>80</v>
      </c>
      <c r="E90" s="32" t="s">
        <v>81</v>
      </c>
      <c r="F90" s="30" t="s">
        <v>1895</v>
      </c>
      <c r="G90" s="77">
        <f>'Gas and Liquid Precursor PTE'!D43</f>
        <v>1070.9158996158585</v>
      </c>
      <c r="H90" s="32" t="s">
        <v>81</v>
      </c>
      <c r="I90" s="30" t="str">
        <f t="shared" si="8"/>
        <v>Material Used - Gaseous Chemical</v>
      </c>
      <c r="J90" s="66">
        <f t="shared" si="9"/>
        <v>2.934016163331119</v>
      </c>
      <c r="K90" s="63" t="s">
        <v>52</v>
      </c>
      <c r="M90" s="32" t="s">
        <v>81</v>
      </c>
      <c r="N90" s="30" t="s">
        <v>82</v>
      </c>
      <c r="O90" s="66">
        <v>600</v>
      </c>
      <c r="P90" s="32" t="s">
        <v>81</v>
      </c>
      <c r="Q90" s="30" t="s">
        <v>82</v>
      </c>
      <c r="R90" s="480">
        <v>1.6438356164383561</v>
      </c>
      <c r="S90" s="103" t="s">
        <v>52</v>
      </c>
    </row>
    <row r="91" spans="2:19" ht="14.25" x14ac:dyDescent="0.2">
      <c r="B91" s="13" t="s">
        <v>167</v>
      </c>
      <c r="C91" s="30" t="s">
        <v>136</v>
      </c>
      <c r="D91" s="486" t="s">
        <v>80</v>
      </c>
      <c r="E91" s="32" t="s">
        <v>81</v>
      </c>
      <c r="F91" s="30" t="s">
        <v>1895</v>
      </c>
      <c r="G91" s="77">
        <f>'Gas and Liquid Precursor PTE'!D42</f>
        <v>4376.3266764386799</v>
      </c>
      <c r="H91" s="32" t="s">
        <v>81</v>
      </c>
      <c r="I91" s="30" t="str">
        <f t="shared" si="8"/>
        <v>Material Used - Gaseous Chemical</v>
      </c>
      <c r="J91" s="66">
        <f t="shared" si="9"/>
        <v>11.989936099832001</v>
      </c>
      <c r="K91" s="63" t="s">
        <v>52</v>
      </c>
      <c r="M91" s="32" t="s">
        <v>81</v>
      </c>
      <c r="N91" s="30" t="s">
        <v>82</v>
      </c>
      <c r="O91" s="66">
        <v>1560</v>
      </c>
      <c r="P91" s="32" t="s">
        <v>81</v>
      </c>
      <c r="Q91" s="30" t="s">
        <v>82</v>
      </c>
      <c r="R91" s="480">
        <v>4.2739726027397262</v>
      </c>
      <c r="S91" s="103" t="s">
        <v>52</v>
      </c>
    </row>
    <row r="92" spans="2:19" ht="14.25" x14ac:dyDescent="0.2">
      <c r="B92" s="13" t="s">
        <v>168</v>
      </c>
      <c r="C92" s="14" t="s">
        <v>119</v>
      </c>
      <c r="D92" s="487" t="s">
        <v>93</v>
      </c>
      <c r="E92" s="32" t="s">
        <v>81</v>
      </c>
      <c r="F92" s="30" t="s">
        <v>1893</v>
      </c>
      <c r="G92" s="61">
        <f>SUM('Photoresist and Organics PTE'!D30*'Photoresist and Organics PTE'!F30,'Photoresist and Organics PTE'!D33*'Photoresist and Organics PTE'!F35,'Photoresist and Organics PTE'!D37*'Photoresist and Organics PTE'!F37,'Photoresist and Organics PTE'!D106*'Photoresist and Organics PTE'!F106,'Photoresist and Organics PTE'!D127*'Photoresist and Organics PTE'!F128)</f>
        <v>435576.65578558063</v>
      </c>
      <c r="H92" s="32" t="s">
        <v>81</v>
      </c>
      <c r="I92" s="30" t="str">
        <f t="shared" si="8"/>
        <v>Material Used - Liquid Chemical</v>
      </c>
      <c r="J92" s="66">
        <f t="shared" si="9"/>
        <v>1193.3607007824128</v>
      </c>
      <c r="K92" s="63" t="s">
        <v>52</v>
      </c>
      <c r="M92" s="32" t="s">
        <v>81</v>
      </c>
      <c r="N92" s="30" t="s">
        <v>82</v>
      </c>
      <c r="O92" s="66">
        <v>264143.23</v>
      </c>
      <c r="P92" s="32" t="s">
        <v>81</v>
      </c>
      <c r="Q92" s="30" t="s">
        <v>82</v>
      </c>
      <c r="R92" s="480">
        <v>723.6800821917808</v>
      </c>
      <c r="S92" s="103" t="s">
        <v>52</v>
      </c>
    </row>
    <row r="93" spans="2:19" ht="14.25" x14ac:dyDescent="0.2">
      <c r="B93" s="13" t="s">
        <v>169</v>
      </c>
      <c r="C93" s="14" t="s">
        <v>119</v>
      </c>
      <c r="D93" s="487" t="s">
        <v>93</v>
      </c>
      <c r="E93" s="32" t="s">
        <v>81</v>
      </c>
      <c r="F93" s="30" t="s">
        <v>1893</v>
      </c>
      <c r="G93" s="61">
        <f>SUM('Photoresist and Organics PTE'!D25*'Photoresist and Organics PTE'!F27,'Photoresist and Organics PTE'!D30*'Photoresist and Organics PTE'!F31,'Photoresist and Organics PTE'!D37*'Photoresist and Organics PTE'!F38,'Photoresist and Organics PTE'!D73*'Photoresist and Organics PTE'!F73,'Photoresist and Organics PTE'!D76*'Photoresist and Organics PTE'!F76,'Photoresist and Organics PTE'!D106*'Photoresist and Organics PTE'!F107,'Photoresist and Organics PTE'!D127*'Photoresist and Organics PTE'!F127,'Photoresist and Organics PTE'!D144*'Photoresist and Organics PTE'!F144)</f>
        <v>206316.52479250741</v>
      </c>
      <c r="H93" s="32" t="s">
        <v>81</v>
      </c>
      <c r="I93" s="30" t="str">
        <f t="shared" si="8"/>
        <v>Material Used - Liquid Chemical</v>
      </c>
      <c r="J93" s="66">
        <f t="shared" si="9"/>
        <v>565.2507528561847</v>
      </c>
      <c r="K93" s="63" t="s">
        <v>52</v>
      </c>
      <c r="M93" s="32" t="s">
        <v>81</v>
      </c>
      <c r="N93" s="30" t="s">
        <v>82</v>
      </c>
      <c r="O93" s="66">
        <v>124793.38949999999</v>
      </c>
      <c r="P93" s="32" t="s">
        <v>81</v>
      </c>
      <c r="Q93" s="30" t="s">
        <v>82</v>
      </c>
      <c r="R93" s="480">
        <v>341.89969726027397</v>
      </c>
      <c r="S93" s="103" t="s">
        <v>52</v>
      </c>
    </row>
    <row r="94" spans="2:19" ht="14.25" x14ac:dyDescent="0.2">
      <c r="B94" s="13" t="s">
        <v>170</v>
      </c>
      <c r="C94" s="14" t="s">
        <v>171</v>
      </c>
      <c r="D94" s="487" t="s">
        <v>80</v>
      </c>
      <c r="E94" s="32" t="s">
        <v>81</v>
      </c>
      <c r="F94" s="30" t="s">
        <v>1893</v>
      </c>
      <c r="G94" s="61">
        <f>'Acids Bases Plating CMP PTE'!D50*'Acids Bases Plating CMP PTE'!F50</f>
        <v>90.360224087879743</v>
      </c>
      <c r="H94" s="32" t="s">
        <v>81</v>
      </c>
      <c r="I94" s="30" t="str">
        <f t="shared" si="8"/>
        <v>Material Used - Liquid Chemical</v>
      </c>
      <c r="J94" s="66">
        <f t="shared" si="9"/>
        <v>0.24756225777501301</v>
      </c>
      <c r="K94" s="63" t="s">
        <v>52</v>
      </c>
      <c r="M94" s="32" t="s">
        <v>81</v>
      </c>
      <c r="N94" s="30" t="s">
        <v>82</v>
      </c>
      <c r="O94" s="66">
        <v>21.344840000000001</v>
      </c>
      <c r="P94" s="32" t="s">
        <v>81</v>
      </c>
      <c r="Q94" s="30" t="s">
        <v>82</v>
      </c>
      <c r="R94" s="480">
        <v>5.8479013698630143E-2</v>
      </c>
      <c r="S94" s="103" t="s">
        <v>52</v>
      </c>
    </row>
    <row r="95" spans="2:19" ht="14.25" x14ac:dyDescent="0.2">
      <c r="B95" s="13" t="s">
        <v>172</v>
      </c>
      <c r="C95" s="14" t="s">
        <v>119</v>
      </c>
      <c r="D95" s="487" t="s">
        <v>93</v>
      </c>
      <c r="E95" s="32" t="s">
        <v>81</v>
      </c>
      <c r="F95" s="30" t="s">
        <v>1893</v>
      </c>
      <c r="G95" s="77">
        <f>'Photoresist and Organics PTE'!D4</f>
        <v>338.00791925150764</v>
      </c>
      <c r="H95" s="32" t="s">
        <v>81</v>
      </c>
      <c r="I95" s="30" t="str">
        <f t="shared" si="8"/>
        <v>Material Used - Liquid Chemical</v>
      </c>
      <c r="J95" s="66">
        <f t="shared" si="9"/>
        <v>0.92604909383974698</v>
      </c>
      <c r="K95" s="63" t="s">
        <v>52</v>
      </c>
      <c r="M95" s="32" t="s">
        <v>81</v>
      </c>
      <c r="N95" s="30" t="s">
        <v>82</v>
      </c>
      <c r="O95" s="66">
        <v>171.34</v>
      </c>
      <c r="P95" s="32" t="s">
        <v>81</v>
      </c>
      <c r="Q95" s="30" t="s">
        <v>82</v>
      </c>
      <c r="R95" s="480">
        <v>0.46942465753424656</v>
      </c>
      <c r="S95" s="103" t="s">
        <v>52</v>
      </c>
    </row>
    <row r="96" spans="2:19" ht="14.25" x14ac:dyDescent="0.2">
      <c r="B96" s="13" t="s">
        <v>173</v>
      </c>
      <c r="C96" s="14" t="s">
        <v>108</v>
      </c>
      <c r="D96" s="487" t="s">
        <v>80</v>
      </c>
      <c r="E96" s="32" t="s">
        <v>81</v>
      </c>
      <c r="F96" s="30" t="s">
        <v>1893</v>
      </c>
      <c r="G96" s="77">
        <f>'Gas and Liquid Precursor PTE'!D91</f>
        <v>381.21145579735247</v>
      </c>
      <c r="H96" s="32" t="s">
        <v>81</v>
      </c>
      <c r="I96" s="30" t="str">
        <f t="shared" si="8"/>
        <v>Material Used - Liquid Chemical</v>
      </c>
      <c r="J96" s="66">
        <f t="shared" si="9"/>
        <v>1.0444149473900068</v>
      </c>
      <c r="K96" s="63" t="s">
        <v>52</v>
      </c>
      <c r="M96" s="32" t="s">
        <v>81</v>
      </c>
      <c r="N96" s="30" t="s">
        <v>82</v>
      </c>
      <c r="O96" s="66">
        <v>0</v>
      </c>
      <c r="P96" s="32" t="s">
        <v>81</v>
      </c>
      <c r="Q96" s="30" t="s">
        <v>82</v>
      </c>
      <c r="R96" s="480">
        <v>0</v>
      </c>
      <c r="S96" s="103" t="s">
        <v>52</v>
      </c>
    </row>
    <row r="97" spans="2:19" ht="14.25" x14ac:dyDescent="0.2">
      <c r="B97" s="13" t="s">
        <v>174</v>
      </c>
      <c r="C97" s="14" t="s">
        <v>119</v>
      </c>
      <c r="D97" s="487" t="s">
        <v>93</v>
      </c>
      <c r="E97" s="32" t="s">
        <v>81</v>
      </c>
      <c r="F97" s="30" t="s">
        <v>1893</v>
      </c>
      <c r="G97" s="61">
        <f>'Photoresist and Organics PTE'!D41*'Photoresist and Organics PTE'!F42</f>
        <v>10428</v>
      </c>
      <c r="H97" s="32" t="s">
        <v>81</v>
      </c>
      <c r="I97" s="30" t="str">
        <f t="shared" ref="I97:I116" si="15">F97</f>
        <v>Material Used - Liquid Chemical</v>
      </c>
      <c r="J97" s="66">
        <f t="shared" si="9"/>
        <v>28.56986301369863</v>
      </c>
      <c r="K97" s="63" t="s">
        <v>52</v>
      </c>
      <c r="M97" s="32" t="s">
        <v>81</v>
      </c>
      <c r="N97" s="30" t="s">
        <v>82</v>
      </c>
      <c r="O97" s="66">
        <v>9243</v>
      </c>
      <c r="P97" s="32" t="s">
        <v>81</v>
      </c>
      <c r="Q97" s="30" t="s">
        <v>82</v>
      </c>
      <c r="R97" s="480">
        <v>25.323287671232876</v>
      </c>
      <c r="S97" s="103" t="s">
        <v>52</v>
      </c>
    </row>
    <row r="98" spans="2:19" ht="14.25" x14ac:dyDescent="0.2">
      <c r="B98" s="13" t="s">
        <v>175</v>
      </c>
      <c r="C98" s="14" t="s">
        <v>176</v>
      </c>
      <c r="D98" s="487" t="s">
        <v>80</v>
      </c>
      <c r="E98" s="32" t="s">
        <v>81</v>
      </c>
      <c r="F98" s="30" t="s">
        <v>1893</v>
      </c>
      <c r="G98" s="61">
        <f>SUM('Acids Bases Plating CMP PTE'!D50*'Acids Bases Plating CMP PTE'!F51,'Acids Bases Plating CMP PTE'!D113*'Acids Bases Plating CMP PTE'!F113,'Acids Bases Plating CMP PTE'!D4*'Acids Bases Plating CMP PTE'!F4,'Acids Bases Plating CMP PTE'!D106*'Acids Bases Plating CMP PTE'!F106,'Acids Bases Plating CMP PTE'!D108*'Acids Bases Plating CMP PTE'!F108)</f>
        <v>381232.12806171307</v>
      </c>
      <c r="H98" s="32" t="s">
        <v>81</v>
      </c>
      <c r="I98" s="30" t="str">
        <f t="shared" si="15"/>
        <v>Material Used - Liquid Chemical</v>
      </c>
      <c r="J98" s="66">
        <f t="shared" si="9"/>
        <v>1044.4715837307208</v>
      </c>
      <c r="K98" s="63" t="s">
        <v>52</v>
      </c>
      <c r="M98" s="32" t="s">
        <v>81</v>
      </c>
      <c r="N98" s="30" t="s">
        <v>82</v>
      </c>
      <c r="O98" s="66">
        <v>146746.918305</v>
      </c>
      <c r="P98" s="32" t="s">
        <v>81</v>
      </c>
      <c r="Q98" s="30" t="s">
        <v>82</v>
      </c>
      <c r="R98" s="480">
        <v>402.04635152054794</v>
      </c>
      <c r="S98" s="103" t="s">
        <v>52</v>
      </c>
    </row>
    <row r="99" spans="2:19" ht="14.25" x14ac:dyDescent="0.2">
      <c r="B99" s="13" t="s">
        <v>177</v>
      </c>
      <c r="C99" s="14" t="s">
        <v>176</v>
      </c>
      <c r="D99" s="487" t="s">
        <v>80</v>
      </c>
      <c r="E99" s="32" t="s">
        <v>81</v>
      </c>
      <c r="F99" s="30" t="s">
        <v>1895</v>
      </c>
      <c r="G99" s="77">
        <f>'Gas and Liquid Precursor PTE'!D94</f>
        <v>40</v>
      </c>
      <c r="H99" s="32" t="s">
        <v>81</v>
      </c>
      <c r="I99" s="30" t="str">
        <f t="shared" si="15"/>
        <v>Material Used - Gaseous Chemical</v>
      </c>
      <c r="J99" s="66">
        <f t="shared" ref="J99" si="16">G99/365</f>
        <v>0.1095890410958904</v>
      </c>
      <c r="K99" s="63" t="s">
        <v>52</v>
      </c>
      <c r="M99" s="32" t="s">
        <v>81</v>
      </c>
      <c r="N99" s="30" t="s">
        <v>82</v>
      </c>
      <c r="O99" s="66">
        <v>0</v>
      </c>
      <c r="P99" s="32" t="s">
        <v>81</v>
      </c>
      <c r="Q99" s="30" t="s">
        <v>82</v>
      </c>
      <c r="R99" s="480">
        <v>0</v>
      </c>
      <c r="S99" s="103" t="s">
        <v>52</v>
      </c>
    </row>
    <row r="100" spans="2:19" ht="14.25" x14ac:dyDescent="0.2">
      <c r="B100" s="13" t="s">
        <v>1</v>
      </c>
      <c r="C100" s="14" t="s">
        <v>178</v>
      </c>
      <c r="D100" s="487" t="s">
        <v>80</v>
      </c>
      <c r="E100" s="32" t="s">
        <v>81</v>
      </c>
      <c r="F100" s="30" t="s">
        <v>179</v>
      </c>
      <c r="G100" s="61">
        <f>SUMIF('3. Pollutant Emissions - EF'!C624:C700,"7664-39-3",'3. Pollutant Emissions - EF'!J624:J700)</f>
        <v>9185.4833574408985</v>
      </c>
      <c r="H100" s="32" t="s">
        <v>81</v>
      </c>
      <c r="I100" s="30" t="str">
        <f t="shared" si="15"/>
        <v>HF lbs Emitted</v>
      </c>
      <c r="J100" s="66">
        <f t="shared" ref="J100" si="17">G100/365</f>
        <v>25.1657078286052</v>
      </c>
      <c r="K100" s="63" t="s">
        <v>52</v>
      </c>
      <c r="M100" s="32" t="s">
        <v>81</v>
      </c>
      <c r="N100" s="30" t="s">
        <v>179</v>
      </c>
      <c r="O100" s="66">
        <v>3507.1998430527997</v>
      </c>
      <c r="P100" s="32" t="s">
        <v>81</v>
      </c>
      <c r="Q100" s="30" t="s">
        <v>82</v>
      </c>
      <c r="R100" s="480">
        <v>9.6087666932953422</v>
      </c>
      <c r="S100" s="103" t="s">
        <v>52</v>
      </c>
    </row>
    <row r="101" spans="2:19" ht="14.25" x14ac:dyDescent="0.2">
      <c r="B101" s="13" t="s">
        <v>180</v>
      </c>
      <c r="C101" s="14" t="s">
        <v>176</v>
      </c>
      <c r="D101" s="487" t="s">
        <v>80</v>
      </c>
      <c r="E101" s="32" t="s">
        <v>81</v>
      </c>
      <c r="F101" s="30" t="s">
        <v>1893</v>
      </c>
      <c r="G101" s="61">
        <f>SUM('Acids Bases Plating CMP PTE'!D42*'Acids Bases Plating CMP PTE'!F42,'Acids Bases Plating CMP PTE'!D43*'Acids Bases Plating CMP PTE'!F43)</f>
        <v>98826.247818878488</v>
      </c>
      <c r="H101" s="32" t="s">
        <v>81</v>
      </c>
      <c r="I101" s="30" t="str">
        <f t="shared" si="15"/>
        <v>Material Used - Liquid Chemical</v>
      </c>
      <c r="J101" s="66">
        <f t="shared" si="9"/>
        <v>270.75684333939313</v>
      </c>
      <c r="K101" s="63" t="s">
        <v>52</v>
      </c>
      <c r="M101" s="32" t="s">
        <v>81</v>
      </c>
      <c r="N101" s="30" t="s">
        <v>82</v>
      </c>
      <c r="O101" s="66">
        <v>44999.452799999999</v>
      </c>
      <c r="P101" s="32" t="s">
        <v>81</v>
      </c>
      <c r="Q101" s="30" t="s">
        <v>82</v>
      </c>
      <c r="R101" s="480">
        <v>123.28617205479452</v>
      </c>
      <c r="S101" s="103" t="s">
        <v>52</v>
      </c>
    </row>
    <row r="102" spans="2:19" ht="14.25" x14ac:dyDescent="0.2">
      <c r="B102" s="13" t="s">
        <v>181</v>
      </c>
      <c r="C102" s="14" t="s">
        <v>182</v>
      </c>
      <c r="D102" s="487" t="s">
        <v>32</v>
      </c>
      <c r="E102" s="32" t="s">
        <v>81</v>
      </c>
      <c r="F102" s="30" t="s">
        <v>1896</v>
      </c>
      <c r="G102" s="78">
        <f>'Acids Bases Plating CMP PTE'!O308</f>
        <v>5694.720577829572</v>
      </c>
      <c r="H102" s="32" t="s">
        <v>81</v>
      </c>
      <c r="I102" s="30" t="str">
        <f t="shared" si="15"/>
        <v>Material Used - Solid Materials</v>
      </c>
      <c r="J102" s="66">
        <f t="shared" ref="J102:J113" si="18">G102/365</f>
        <v>15.601974185834443</v>
      </c>
      <c r="K102" s="63" t="s">
        <v>52</v>
      </c>
      <c r="M102" s="32" t="s">
        <v>81</v>
      </c>
      <c r="N102" s="30" t="s">
        <v>82</v>
      </c>
      <c r="O102" s="66">
        <v>948.52630586830969</v>
      </c>
      <c r="P102" s="32" t="s">
        <v>81</v>
      </c>
      <c r="Q102" s="30" t="s">
        <v>82</v>
      </c>
      <c r="R102" s="480">
        <v>2.5987022078583828</v>
      </c>
      <c r="S102" s="103" t="s">
        <v>52</v>
      </c>
    </row>
    <row r="103" spans="2:19" ht="14.25" x14ac:dyDescent="0.2">
      <c r="B103" s="13" t="s">
        <v>183</v>
      </c>
      <c r="C103" s="14" t="s">
        <v>182</v>
      </c>
      <c r="D103" s="487" t="s">
        <v>32</v>
      </c>
      <c r="E103" s="32" t="s">
        <v>81</v>
      </c>
      <c r="F103" s="30" t="s">
        <v>1896</v>
      </c>
      <c r="G103" s="78">
        <f>'Acids Bases Plating CMP PTE'!P308</f>
        <v>2.1128642957136002E-2</v>
      </c>
      <c r="H103" s="32" t="s">
        <v>81</v>
      </c>
      <c r="I103" s="30" t="str">
        <f t="shared" si="15"/>
        <v>Material Used - Solid Materials</v>
      </c>
      <c r="J103" s="66">
        <f t="shared" si="18"/>
        <v>5.788669303324932E-5</v>
      </c>
      <c r="K103" s="63" t="s">
        <v>52</v>
      </c>
      <c r="M103" s="32" t="s">
        <v>81</v>
      </c>
      <c r="N103" s="30" t="s">
        <v>82</v>
      </c>
      <c r="O103" s="66">
        <v>1.9138468309519998E-3</v>
      </c>
      <c r="P103" s="32" t="s">
        <v>81</v>
      </c>
      <c r="Q103" s="30" t="s">
        <v>82</v>
      </c>
      <c r="R103" s="480">
        <v>5.2434159752109583E-6</v>
      </c>
      <c r="S103" s="103" t="s">
        <v>52</v>
      </c>
    </row>
    <row r="104" spans="2:19" ht="14.25" x14ac:dyDescent="0.2">
      <c r="B104" s="13" t="s">
        <v>184</v>
      </c>
      <c r="C104" s="14" t="s">
        <v>182</v>
      </c>
      <c r="D104" s="487" t="s">
        <v>32</v>
      </c>
      <c r="E104" s="32" t="s">
        <v>81</v>
      </c>
      <c r="F104" s="30" t="s">
        <v>1896</v>
      </c>
      <c r="G104" s="78">
        <f>'Acids Bases Plating CMP PTE'!Q308</f>
        <v>2.1638429571360002E-2</v>
      </c>
      <c r="H104" s="32" t="s">
        <v>81</v>
      </c>
      <c r="I104" s="30" t="str">
        <f t="shared" si="15"/>
        <v>Material Used - Solid Materials</v>
      </c>
      <c r="J104" s="66">
        <f t="shared" si="18"/>
        <v>5.928336868865754E-5</v>
      </c>
      <c r="K104" s="63" t="s">
        <v>52</v>
      </c>
      <c r="M104" s="32" t="s">
        <v>81</v>
      </c>
      <c r="N104" s="30" t="s">
        <v>82</v>
      </c>
      <c r="O104" s="66">
        <v>1.9214683095199999E-3</v>
      </c>
      <c r="P104" s="32" t="s">
        <v>81</v>
      </c>
      <c r="Q104" s="30" t="s">
        <v>82</v>
      </c>
      <c r="R104" s="480">
        <v>5.2642967384109587E-6</v>
      </c>
      <c r="S104" s="103" t="s">
        <v>52</v>
      </c>
    </row>
    <row r="105" spans="2:19" ht="14.25" x14ac:dyDescent="0.2">
      <c r="B105" s="13" t="s">
        <v>185</v>
      </c>
      <c r="C105" s="14" t="s">
        <v>182</v>
      </c>
      <c r="D105" s="487" t="s">
        <v>32</v>
      </c>
      <c r="E105" s="32" t="s">
        <v>81</v>
      </c>
      <c r="F105" s="30" t="s">
        <v>1896</v>
      </c>
      <c r="G105" s="78">
        <f>'Acids Bases Plating CMP PTE'!R308</f>
        <v>177556.13211485912</v>
      </c>
      <c r="H105" s="32" t="s">
        <v>81</v>
      </c>
      <c r="I105" s="30" t="str">
        <f t="shared" si="15"/>
        <v>Material Used - Solid Materials</v>
      </c>
      <c r="J105" s="66">
        <f t="shared" si="18"/>
        <v>486.45515647906609</v>
      </c>
      <c r="K105" s="63" t="s">
        <v>52</v>
      </c>
      <c r="M105" s="32" t="s">
        <v>81</v>
      </c>
      <c r="N105" s="30" t="s">
        <v>82</v>
      </c>
      <c r="O105" s="66">
        <v>5971.5503329366193</v>
      </c>
      <c r="P105" s="32" t="s">
        <v>81</v>
      </c>
      <c r="Q105" s="30" t="s">
        <v>82</v>
      </c>
      <c r="R105" s="480">
        <v>16.360411871059231</v>
      </c>
      <c r="S105" s="103" t="s">
        <v>52</v>
      </c>
    </row>
    <row r="106" spans="2:19" ht="14.25" x14ac:dyDescent="0.2">
      <c r="B106" s="13" t="s">
        <v>186</v>
      </c>
      <c r="C106" s="14" t="s">
        <v>182</v>
      </c>
      <c r="D106" s="487" t="s">
        <v>32</v>
      </c>
      <c r="E106" s="32" t="s">
        <v>81</v>
      </c>
      <c r="F106" s="30" t="s">
        <v>1896</v>
      </c>
      <c r="G106" s="78">
        <f>'Acids Bases Plating CMP PTE'!S308</f>
        <v>2.1638429571360002E-2</v>
      </c>
      <c r="H106" s="32" t="s">
        <v>81</v>
      </c>
      <c r="I106" s="30" t="str">
        <f t="shared" si="15"/>
        <v>Material Used - Solid Materials</v>
      </c>
      <c r="J106" s="66">
        <f t="shared" si="18"/>
        <v>5.928336868865754E-5</v>
      </c>
      <c r="K106" s="63" t="s">
        <v>52</v>
      </c>
      <c r="M106" s="32" t="s">
        <v>81</v>
      </c>
      <c r="N106" s="30" t="s">
        <v>82</v>
      </c>
      <c r="O106" s="66">
        <v>1.9214683095199999E-3</v>
      </c>
      <c r="P106" s="32" t="s">
        <v>81</v>
      </c>
      <c r="Q106" s="30" t="s">
        <v>82</v>
      </c>
      <c r="R106" s="480">
        <v>5.2642967384109587E-6</v>
      </c>
      <c r="S106" s="103" t="s">
        <v>52</v>
      </c>
    </row>
    <row r="107" spans="2:19" ht="14.25" x14ac:dyDescent="0.2">
      <c r="B107" s="13" t="s">
        <v>187</v>
      </c>
      <c r="C107" s="14" t="s">
        <v>182</v>
      </c>
      <c r="D107" s="487" t="s">
        <v>32</v>
      </c>
      <c r="E107" s="32" t="s">
        <v>81</v>
      </c>
      <c r="F107" s="30" t="s">
        <v>1896</v>
      </c>
      <c r="G107" s="78">
        <f>'Acids Bases Plating CMP PTE'!T308</f>
        <v>0.19342997742815998</v>
      </c>
      <c r="H107" s="32" t="s">
        <v>81</v>
      </c>
      <c r="I107" s="30" t="str">
        <f t="shared" si="15"/>
        <v>Material Used - Solid Materials</v>
      </c>
      <c r="J107" s="66">
        <f t="shared" si="18"/>
        <v>5.2994514363879453E-4</v>
      </c>
      <c r="K107" s="63" t="s">
        <v>52</v>
      </c>
      <c r="M107" s="32" t="s">
        <v>81</v>
      </c>
      <c r="N107" s="30" t="s">
        <v>82</v>
      </c>
      <c r="O107" s="66">
        <v>1.1174209857120001E-2</v>
      </c>
      <c r="P107" s="32" t="s">
        <v>81</v>
      </c>
      <c r="Q107" s="30" t="s">
        <v>82</v>
      </c>
      <c r="R107" s="480">
        <v>3.061427358115069E-5</v>
      </c>
      <c r="S107" s="103" t="s">
        <v>52</v>
      </c>
    </row>
    <row r="108" spans="2:19" ht="14.25" x14ac:dyDescent="0.2">
      <c r="B108" s="13" t="s">
        <v>188</v>
      </c>
      <c r="C108" s="14" t="s">
        <v>182</v>
      </c>
      <c r="D108" s="487" t="s">
        <v>32</v>
      </c>
      <c r="E108" s="32" t="s">
        <v>81</v>
      </c>
      <c r="F108" s="30" t="s">
        <v>1896</v>
      </c>
      <c r="G108" s="78">
        <f>'Acids Bases Plating CMP PTE'!U308</f>
        <v>1.1497718429571357</v>
      </c>
      <c r="H108" s="32" t="s">
        <v>81</v>
      </c>
      <c r="I108" s="30" t="str">
        <f t="shared" si="15"/>
        <v>Material Used - Solid Materials</v>
      </c>
      <c r="J108" s="66">
        <f t="shared" si="18"/>
        <v>3.1500598437181801E-3</v>
      </c>
      <c r="K108" s="63" t="s">
        <v>52</v>
      </c>
      <c r="M108" s="32" t="s">
        <v>81</v>
      </c>
      <c r="N108" s="30" t="s">
        <v>82</v>
      </c>
      <c r="O108" s="66">
        <v>1.9214683095200002E-4</v>
      </c>
      <c r="P108" s="32" t="s">
        <v>81</v>
      </c>
      <c r="Q108" s="30" t="s">
        <v>82</v>
      </c>
      <c r="R108" s="480">
        <v>5.26429673841096E-7</v>
      </c>
      <c r="S108" s="103" t="s">
        <v>52</v>
      </c>
    </row>
    <row r="109" spans="2:19" ht="14.25" x14ac:dyDescent="0.2">
      <c r="B109" s="13" t="s">
        <v>189</v>
      </c>
      <c r="C109" s="14" t="s">
        <v>182</v>
      </c>
      <c r="D109" s="487" t="s">
        <v>32</v>
      </c>
      <c r="E109" s="32" t="s">
        <v>81</v>
      </c>
      <c r="F109" s="30" t="s">
        <v>1896</v>
      </c>
      <c r="G109" s="78">
        <f>'Acids Bases Plating CMP PTE'!V308</f>
        <v>4.3276859142720003E-2</v>
      </c>
      <c r="H109" s="32" t="s">
        <v>81</v>
      </c>
      <c r="I109" s="30" t="str">
        <f t="shared" si="15"/>
        <v>Material Used - Solid Materials</v>
      </c>
      <c r="J109" s="66">
        <f t="shared" si="18"/>
        <v>1.1856673737731508E-4</v>
      </c>
      <c r="K109" s="63" t="s">
        <v>52</v>
      </c>
      <c r="M109" s="32" t="s">
        <v>81</v>
      </c>
      <c r="N109" s="30" t="s">
        <v>82</v>
      </c>
      <c r="O109" s="66">
        <v>3.8429366190399997E-3</v>
      </c>
      <c r="P109" s="32" t="s">
        <v>81</v>
      </c>
      <c r="Q109" s="30" t="s">
        <v>82</v>
      </c>
      <c r="R109" s="480">
        <v>1.0528593476821917E-5</v>
      </c>
      <c r="S109" s="103" t="s">
        <v>52</v>
      </c>
    </row>
    <row r="110" spans="2:19" ht="14.25" x14ac:dyDescent="0.2">
      <c r="B110" s="13" t="s">
        <v>190</v>
      </c>
      <c r="C110" s="14" t="s">
        <v>182</v>
      </c>
      <c r="D110" s="487" t="s">
        <v>32</v>
      </c>
      <c r="E110" s="32" t="s">
        <v>81</v>
      </c>
      <c r="F110" s="30" t="s">
        <v>1896</v>
      </c>
      <c r="G110" s="79">
        <f>'Acids Bases Plating CMP PTE'!X308</f>
        <v>1.9834750800000001</v>
      </c>
      <c r="H110" s="32" t="s">
        <v>81</v>
      </c>
      <c r="I110" s="30" t="str">
        <f t="shared" si="15"/>
        <v>Material Used - Solid Materials</v>
      </c>
      <c r="J110" s="66">
        <f t="shared" si="18"/>
        <v>5.4341783013698635E-3</v>
      </c>
      <c r="K110" s="63" t="s">
        <v>52</v>
      </c>
      <c r="M110" s="32" t="s">
        <v>81</v>
      </c>
      <c r="N110" s="30" t="s">
        <v>82</v>
      </c>
      <c r="O110" s="66">
        <v>1.1368000000000002E-4</v>
      </c>
      <c r="P110" s="32" t="s">
        <v>81</v>
      </c>
      <c r="Q110" s="30" t="s">
        <v>82</v>
      </c>
      <c r="R110" s="480">
        <v>3.114520547945206E-7</v>
      </c>
      <c r="S110" s="103" t="s">
        <v>52</v>
      </c>
    </row>
    <row r="111" spans="2:19" ht="14.25" x14ac:dyDescent="0.2">
      <c r="B111" s="13" t="s">
        <v>191</v>
      </c>
      <c r="C111" s="14" t="s">
        <v>182</v>
      </c>
      <c r="D111" s="487" t="s">
        <v>32</v>
      </c>
      <c r="E111" s="32" t="s">
        <v>81</v>
      </c>
      <c r="F111" s="30" t="s">
        <v>1896</v>
      </c>
      <c r="G111" s="78">
        <f>'Acids Bases Plating CMP PTE'!Z308</f>
        <v>566.3547176880852</v>
      </c>
      <c r="H111" s="32" t="s">
        <v>81</v>
      </c>
      <c r="I111" s="30" t="str">
        <f t="shared" si="15"/>
        <v>Material Used - Solid Materials</v>
      </c>
      <c r="J111" s="66">
        <f t="shared" si="18"/>
        <v>1.5516567607892746</v>
      </c>
      <c r="K111" s="63" t="s">
        <v>52</v>
      </c>
      <c r="M111" s="32" t="s">
        <v>81</v>
      </c>
      <c r="N111" s="30" t="s">
        <v>82</v>
      </c>
      <c r="O111" s="66">
        <v>8.4695061539380614</v>
      </c>
      <c r="P111" s="32" t="s">
        <v>81</v>
      </c>
      <c r="Q111" s="30" t="s">
        <v>82</v>
      </c>
      <c r="R111" s="480">
        <v>2.3204126449145372E-2</v>
      </c>
      <c r="S111" s="103" t="s">
        <v>52</v>
      </c>
    </row>
    <row r="112" spans="2:19" ht="14.25" x14ac:dyDescent="0.2">
      <c r="B112" s="13" t="s">
        <v>192</v>
      </c>
      <c r="C112" s="14" t="s">
        <v>182</v>
      </c>
      <c r="D112" s="487" t="s">
        <v>32</v>
      </c>
      <c r="E112" s="32" t="s">
        <v>81</v>
      </c>
      <c r="F112" s="30" t="s">
        <v>1896</v>
      </c>
      <c r="G112" s="78">
        <f>'Acids Bases Plating CMP PTE'!W308</f>
        <v>5.5639079999999994E-2</v>
      </c>
      <c r="H112" s="32" t="s">
        <v>81</v>
      </c>
      <c r="I112" s="30" t="str">
        <f t="shared" si="15"/>
        <v>Material Used - Solid Materials</v>
      </c>
      <c r="J112" s="66">
        <f t="shared" si="18"/>
        <v>1.5243583561643835E-4</v>
      </c>
      <c r="K112" s="63" t="s">
        <v>52</v>
      </c>
      <c r="M112" s="32" t="s">
        <v>81</v>
      </c>
      <c r="N112" s="30" t="s">
        <v>82</v>
      </c>
      <c r="O112" s="66">
        <v>1.1368000000000002E-4</v>
      </c>
      <c r="P112" s="32" t="s">
        <v>81</v>
      </c>
      <c r="Q112" s="30" t="s">
        <v>82</v>
      </c>
      <c r="R112" s="480">
        <v>3.114520547945206E-7</v>
      </c>
      <c r="S112" s="103" t="s">
        <v>52</v>
      </c>
    </row>
    <row r="113" spans="2:19" ht="14.25" x14ac:dyDescent="0.2">
      <c r="B113" s="13" t="s">
        <v>193</v>
      </c>
      <c r="C113" s="14" t="s">
        <v>182</v>
      </c>
      <c r="D113" s="487" t="s">
        <v>32</v>
      </c>
      <c r="E113" s="32" t="s">
        <v>81</v>
      </c>
      <c r="F113" s="30" t="s">
        <v>1896</v>
      </c>
      <c r="G113" s="488">
        <f>'Acids Bases Plating CMP PTE'!Y308</f>
        <v>1.8392642957136004E-5</v>
      </c>
      <c r="H113" s="32" t="s">
        <v>81</v>
      </c>
      <c r="I113" s="30" t="str">
        <f t="shared" si="15"/>
        <v>Material Used - Solid Materials</v>
      </c>
      <c r="J113" s="66">
        <f t="shared" si="18"/>
        <v>5.0390802622290424E-8</v>
      </c>
      <c r="K113" s="63" t="s">
        <v>52</v>
      </c>
      <c r="M113" s="32" t="s">
        <v>81</v>
      </c>
      <c r="N113" s="30" t="s">
        <v>82</v>
      </c>
      <c r="O113" s="62">
        <v>5.7793468309520004E-6</v>
      </c>
      <c r="P113" s="32" t="s">
        <v>81</v>
      </c>
      <c r="Q113" s="30" t="s">
        <v>82</v>
      </c>
      <c r="R113" s="480">
        <v>1.583382693411507E-8</v>
      </c>
      <c r="S113" s="103" t="s">
        <v>52</v>
      </c>
    </row>
    <row r="114" spans="2:19" ht="14.25" x14ac:dyDescent="0.2">
      <c r="B114" s="13" t="s">
        <v>194</v>
      </c>
      <c r="C114" s="14" t="s">
        <v>110</v>
      </c>
      <c r="D114" s="487" t="s">
        <v>32</v>
      </c>
      <c r="E114" s="32" t="s">
        <v>81</v>
      </c>
      <c r="F114" s="30" t="s">
        <v>1893</v>
      </c>
      <c r="G114" s="489">
        <f>'Gas and Liquid Precursor PTE'!D128</f>
        <v>327</v>
      </c>
      <c r="H114" s="32" t="s">
        <v>81</v>
      </c>
      <c r="I114" s="30" t="str">
        <f t="shared" si="15"/>
        <v>Material Used - Liquid Chemical</v>
      </c>
      <c r="J114" s="66">
        <f t="shared" ref="J114:J116" si="19">G114/365</f>
        <v>0.89589041095890409</v>
      </c>
      <c r="K114" s="63" t="s">
        <v>52</v>
      </c>
      <c r="M114" s="32" t="s">
        <v>81</v>
      </c>
      <c r="N114" s="30" t="s">
        <v>82</v>
      </c>
      <c r="O114" s="62">
        <v>20.090000000000003</v>
      </c>
      <c r="P114" s="32" t="s">
        <v>81</v>
      </c>
      <c r="Q114" s="30" t="s">
        <v>82</v>
      </c>
      <c r="R114" s="480">
        <v>5.5041095890410965E-2</v>
      </c>
      <c r="S114" s="103" t="s">
        <v>52</v>
      </c>
    </row>
    <row r="115" spans="2:19" s="92" customFormat="1" ht="14.25" x14ac:dyDescent="0.2">
      <c r="B115" s="13" t="s">
        <v>195</v>
      </c>
      <c r="C115" s="14" t="s">
        <v>196</v>
      </c>
      <c r="D115" s="490" t="s">
        <v>32</v>
      </c>
      <c r="E115" s="90" t="s">
        <v>81</v>
      </c>
      <c r="F115" s="30" t="s">
        <v>1894</v>
      </c>
      <c r="G115" s="491">
        <f>'Acids Bases Plating CMP PTE'!D111</f>
        <v>158.55500000000001</v>
      </c>
      <c r="H115" s="90" t="s">
        <v>81</v>
      </c>
      <c r="I115" s="30" t="str">
        <f t="shared" si="15"/>
        <v>Material Used - Facilities</v>
      </c>
      <c r="J115" s="500">
        <f t="shared" si="19"/>
        <v>0.43439726027397263</v>
      </c>
      <c r="K115" s="63" t="s">
        <v>52</v>
      </c>
      <c r="M115" s="90" t="s">
        <v>81</v>
      </c>
      <c r="N115" s="91" t="s">
        <v>82</v>
      </c>
      <c r="O115" s="93">
        <v>91.795000000000002</v>
      </c>
      <c r="P115" s="90" t="s">
        <v>81</v>
      </c>
      <c r="Q115" s="91" t="s">
        <v>82</v>
      </c>
      <c r="R115" s="480">
        <v>0.2514931506849315</v>
      </c>
      <c r="S115" s="105" t="s">
        <v>52</v>
      </c>
    </row>
    <row r="116" spans="2:19" s="92" customFormat="1" ht="14.25" x14ac:dyDescent="0.2">
      <c r="B116" s="13" t="s">
        <v>197</v>
      </c>
      <c r="C116" s="14" t="s">
        <v>196</v>
      </c>
      <c r="D116" s="490" t="s">
        <v>32</v>
      </c>
      <c r="E116" s="90" t="s">
        <v>81</v>
      </c>
      <c r="F116" s="30" t="s">
        <v>1894</v>
      </c>
      <c r="G116" s="491">
        <f>'Acids Bases Plating CMP PTE'!D112</f>
        <v>158.55500000000001</v>
      </c>
      <c r="H116" s="90" t="s">
        <v>81</v>
      </c>
      <c r="I116" s="30" t="str">
        <f t="shared" si="15"/>
        <v>Material Used - Facilities</v>
      </c>
      <c r="J116" s="500">
        <f t="shared" si="19"/>
        <v>0.43439726027397263</v>
      </c>
      <c r="K116" s="63" t="s">
        <v>52</v>
      </c>
      <c r="M116" s="90" t="s">
        <v>81</v>
      </c>
      <c r="N116" s="91" t="s">
        <v>82</v>
      </c>
      <c r="O116" s="93">
        <v>41.725000000000001</v>
      </c>
      <c r="P116" s="90" t="s">
        <v>81</v>
      </c>
      <c r="Q116" s="91" t="s">
        <v>82</v>
      </c>
      <c r="R116" s="480">
        <v>0.11431506849315069</v>
      </c>
      <c r="S116" s="105" t="s">
        <v>52</v>
      </c>
    </row>
    <row r="117" spans="2:19" ht="25.5" x14ac:dyDescent="0.2">
      <c r="B117" s="13" t="s">
        <v>1897</v>
      </c>
      <c r="C117" s="14" t="s">
        <v>1900</v>
      </c>
      <c r="D117" s="486" t="s">
        <v>32</v>
      </c>
      <c r="E117" s="29" t="s">
        <v>81</v>
      </c>
      <c r="F117" s="30" t="s">
        <v>1894</v>
      </c>
      <c r="G117" s="492">
        <v>40</v>
      </c>
      <c r="H117" s="90" t="s">
        <v>81</v>
      </c>
      <c r="I117" s="30" t="s">
        <v>1894</v>
      </c>
      <c r="J117" s="479">
        <v>40</v>
      </c>
      <c r="K117" s="478" t="s">
        <v>1899</v>
      </c>
      <c r="M117" s="32" t="s">
        <v>81</v>
      </c>
      <c r="N117" s="30" t="s">
        <v>82</v>
      </c>
      <c r="O117" s="479">
        <v>40</v>
      </c>
      <c r="P117" s="32" t="s">
        <v>81</v>
      </c>
      <c r="Q117" s="30" t="s">
        <v>82</v>
      </c>
      <c r="R117" s="481">
        <v>40</v>
      </c>
      <c r="S117" s="103" t="s">
        <v>52</v>
      </c>
    </row>
    <row r="118" spans="2:19" ht="26.25" thickBot="1" x14ac:dyDescent="0.25">
      <c r="B118" s="493" t="s">
        <v>1898</v>
      </c>
      <c r="C118" s="494" t="s">
        <v>1900</v>
      </c>
      <c r="D118" s="495" t="s">
        <v>32</v>
      </c>
      <c r="E118" s="501" t="s">
        <v>81</v>
      </c>
      <c r="F118" s="496" t="s">
        <v>1894</v>
      </c>
      <c r="G118" s="337">
        <v>40</v>
      </c>
      <c r="H118" s="94" t="s">
        <v>81</v>
      </c>
      <c r="I118" s="496" t="s">
        <v>1894</v>
      </c>
      <c r="J118" s="502">
        <v>40</v>
      </c>
      <c r="K118" s="497" t="s">
        <v>1899</v>
      </c>
      <c r="M118" s="32" t="s">
        <v>81</v>
      </c>
      <c r="N118" s="30" t="s">
        <v>82</v>
      </c>
      <c r="O118" s="479">
        <v>40</v>
      </c>
      <c r="P118" s="32" t="s">
        <v>81</v>
      </c>
      <c r="Q118" s="30" t="s">
        <v>82</v>
      </c>
      <c r="R118" s="481">
        <v>40</v>
      </c>
      <c r="S118" s="103" t="s">
        <v>52</v>
      </c>
    </row>
    <row r="119" spans="2:19" ht="14.25" x14ac:dyDescent="0.2">
      <c r="B119" s="95"/>
      <c r="C119" s="33"/>
      <c r="D119" s="33"/>
      <c r="E119" s="31"/>
      <c r="F119" s="31"/>
      <c r="J119" s="73"/>
    </row>
    <row r="120" spans="2:19" ht="14.25" x14ac:dyDescent="0.2">
      <c r="C120" s="33"/>
      <c r="D120" s="33"/>
      <c r="E120" s="31"/>
      <c r="F120" s="31"/>
      <c r="J120" s="73"/>
    </row>
    <row r="121" spans="2:19" ht="14.25" x14ac:dyDescent="0.2">
      <c r="C121" s="33"/>
      <c r="D121" s="33"/>
      <c r="E121" s="31"/>
      <c r="F121" s="31"/>
      <c r="J121" s="73"/>
    </row>
    <row r="122" spans="2:19" ht="14.25" x14ac:dyDescent="0.2">
      <c r="C122" s="33"/>
      <c r="D122" s="33"/>
      <c r="E122" s="31"/>
      <c r="F122" s="31"/>
      <c r="J122" s="73"/>
    </row>
    <row r="123" spans="2:19" ht="14.25" x14ac:dyDescent="0.2">
      <c r="B123" s="15"/>
      <c r="C123" s="33"/>
      <c r="D123" s="33"/>
      <c r="E123" s="31"/>
      <c r="F123" s="31"/>
    </row>
    <row r="124" spans="2:19" ht="14.25" x14ac:dyDescent="0.2">
      <c r="B124" s="15"/>
      <c r="C124" s="33"/>
      <c r="D124" s="33"/>
      <c r="E124" s="31"/>
      <c r="F124" s="31"/>
    </row>
    <row r="125" spans="2:19" ht="14.25" x14ac:dyDescent="0.2">
      <c r="B125" s="15"/>
      <c r="C125" s="33"/>
      <c r="D125" s="33"/>
      <c r="E125" s="31"/>
      <c r="F125" s="31"/>
    </row>
    <row r="126" spans="2:19" ht="14.25" x14ac:dyDescent="0.2">
      <c r="B126" s="15"/>
      <c r="C126" s="33"/>
      <c r="D126" s="33"/>
      <c r="E126" s="31"/>
      <c r="F126" s="31"/>
    </row>
    <row r="127" spans="2:19" ht="14.25" x14ac:dyDescent="0.2">
      <c r="B127" s="15"/>
      <c r="C127" s="33"/>
      <c r="D127" s="33"/>
      <c r="E127" s="31"/>
      <c r="F127" s="31"/>
    </row>
    <row r="128" spans="2:19" ht="14.25" x14ac:dyDescent="0.2">
      <c r="B128" s="15"/>
      <c r="C128" s="33"/>
      <c r="D128" s="33"/>
      <c r="E128" s="31"/>
      <c r="F128" s="31"/>
    </row>
    <row r="129" spans="2:6" ht="14.25" x14ac:dyDescent="0.2">
      <c r="B129" s="15"/>
      <c r="C129" s="33"/>
      <c r="D129" s="33"/>
      <c r="E129" s="31"/>
      <c r="F129" s="31"/>
    </row>
    <row r="130" spans="2:6" ht="14.25" x14ac:dyDescent="0.2">
      <c r="B130" s="15"/>
      <c r="C130" s="33"/>
      <c r="D130" s="33"/>
      <c r="E130" s="31"/>
      <c r="F130" s="31"/>
    </row>
    <row r="131" spans="2:6" ht="14.25" x14ac:dyDescent="0.2">
      <c r="B131" s="15"/>
      <c r="C131" s="33"/>
      <c r="D131" s="33"/>
      <c r="E131" s="31"/>
      <c r="F131" s="31"/>
    </row>
    <row r="132" spans="2:6" ht="14.25" x14ac:dyDescent="0.2">
      <c r="B132" s="15"/>
      <c r="C132" s="33"/>
      <c r="D132" s="33"/>
      <c r="E132" s="31"/>
      <c r="F132" s="31"/>
    </row>
    <row r="133" spans="2:6" ht="14.25" x14ac:dyDescent="0.2">
      <c r="B133" s="15"/>
      <c r="C133" s="33"/>
      <c r="D133" s="33"/>
      <c r="E133" s="31"/>
      <c r="F133" s="31"/>
    </row>
    <row r="134" spans="2:6" ht="14.25" x14ac:dyDescent="0.2">
      <c r="B134" s="15"/>
      <c r="C134" s="33"/>
      <c r="D134" s="33"/>
      <c r="E134" s="31"/>
      <c r="F134" s="31"/>
    </row>
    <row r="135" spans="2:6" ht="14.25" x14ac:dyDescent="0.2">
      <c r="B135" s="15"/>
      <c r="C135" s="33"/>
      <c r="D135" s="33"/>
      <c r="E135" s="31"/>
      <c r="F135" s="31"/>
    </row>
    <row r="136" spans="2:6" ht="14.25" x14ac:dyDescent="0.2">
      <c r="B136" s="15"/>
      <c r="C136" s="33"/>
      <c r="D136" s="33"/>
      <c r="E136" s="31"/>
      <c r="F136" s="31"/>
    </row>
    <row r="137" spans="2:6" ht="14.25" x14ac:dyDescent="0.2">
      <c r="B137" s="15"/>
      <c r="C137" s="33"/>
      <c r="D137" s="33"/>
      <c r="E137" s="31"/>
      <c r="F137" s="31"/>
    </row>
    <row r="138" spans="2:6" ht="14.25" x14ac:dyDescent="0.2">
      <c r="B138" s="15"/>
      <c r="C138" s="33"/>
      <c r="D138" s="33"/>
      <c r="E138" s="31"/>
      <c r="F138" s="31"/>
    </row>
    <row r="139" spans="2:6" ht="14.25" x14ac:dyDescent="0.2">
      <c r="B139" s="15"/>
      <c r="C139" s="33"/>
      <c r="D139" s="33"/>
      <c r="E139" s="31"/>
      <c r="F139" s="31"/>
    </row>
    <row r="140" spans="2:6" ht="14.25" x14ac:dyDescent="0.2">
      <c r="B140" s="15"/>
      <c r="C140" s="33"/>
      <c r="D140" s="33"/>
      <c r="E140" s="31"/>
      <c r="F140" s="31"/>
    </row>
    <row r="141" spans="2:6" ht="14.25" x14ac:dyDescent="0.2">
      <c r="B141" s="15"/>
      <c r="C141" s="33"/>
      <c r="D141" s="33"/>
      <c r="E141" s="31"/>
      <c r="F141" s="31"/>
    </row>
    <row r="142" spans="2:6" ht="14.25" x14ac:dyDescent="0.2">
      <c r="B142" s="15"/>
      <c r="C142" s="33"/>
      <c r="D142" s="33"/>
      <c r="E142" s="31"/>
      <c r="F142" s="31"/>
    </row>
    <row r="143" spans="2:6" ht="14.25" x14ac:dyDescent="0.2">
      <c r="B143" s="15"/>
      <c r="C143" s="33"/>
      <c r="D143" s="33"/>
      <c r="E143" s="31"/>
      <c r="F143" s="31"/>
    </row>
    <row r="144" spans="2:6" ht="14.25" x14ac:dyDescent="0.2">
      <c r="B144" s="15"/>
      <c r="C144" s="33"/>
      <c r="D144" s="33"/>
      <c r="E144" s="31"/>
      <c r="F144" s="31"/>
    </row>
    <row r="145" spans="2:6" ht="14.25" x14ac:dyDescent="0.2">
      <c r="B145" s="15"/>
      <c r="C145" s="33"/>
      <c r="D145" s="33"/>
      <c r="E145" s="31"/>
      <c r="F145" s="31"/>
    </row>
    <row r="146" spans="2:6" ht="14.25" x14ac:dyDescent="0.2">
      <c r="B146" s="15"/>
      <c r="C146" s="33"/>
      <c r="D146" s="33"/>
      <c r="E146" s="31"/>
      <c r="F146" s="31"/>
    </row>
    <row r="147" spans="2:6" ht="14.25" x14ac:dyDescent="0.2">
      <c r="B147" s="15"/>
      <c r="C147" s="33"/>
      <c r="D147" s="33"/>
      <c r="E147" s="31"/>
      <c r="F147" s="31"/>
    </row>
    <row r="148" spans="2:6" ht="14.25" x14ac:dyDescent="0.2">
      <c r="B148" s="15"/>
      <c r="C148" s="33"/>
      <c r="D148" s="33"/>
      <c r="E148" s="31"/>
      <c r="F148" s="31"/>
    </row>
    <row r="149" spans="2:6" ht="14.25" x14ac:dyDescent="0.2">
      <c r="B149" s="15"/>
      <c r="C149" s="33"/>
      <c r="D149" s="33"/>
      <c r="E149" s="31"/>
      <c r="F149" s="31"/>
    </row>
    <row r="150" spans="2:6" ht="14.25" x14ac:dyDescent="0.2">
      <c r="B150" s="15"/>
      <c r="C150" s="33"/>
      <c r="D150" s="33"/>
      <c r="E150" s="31"/>
      <c r="F150" s="31"/>
    </row>
    <row r="151" spans="2:6" ht="14.25" x14ac:dyDescent="0.2">
      <c r="B151" s="15"/>
      <c r="C151" s="33"/>
      <c r="D151" s="33"/>
      <c r="E151" s="31"/>
      <c r="F151" s="31"/>
    </row>
    <row r="152" spans="2:6" ht="14.25" x14ac:dyDescent="0.2">
      <c r="B152" s="15"/>
      <c r="C152" s="33"/>
      <c r="D152" s="33"/>
      <c r="E152" s="31"/>
      <c r="F152" s="31"/>
    </row>
    <row r="153" spans="2:6" ht="14.25" x14ac:dyDescent="0.2">
      <c r="B153" s="15"/>
      <c r="C153" s="33"/>
      <c r="D153" s="33"/>
      <c r="E153" s="31"/>
      <c r="F153" s="31"/>
    </row>
    <row r="154" spans="2:6" ht="14.25" x14ac:dyDescent="0.2">
      <c r="B154" s="15"/>
      <c r="C154" s="33"/>
      <c r="D154" s="33"/>
      <c r="E154" s="31"/>
      <c r="F154" s="31"/>
    </row>
    <row r="155" spans="2:6" ht="14.25" x14ac:dyDescent="0.2">
      <c r="B155" s="15"/>
      <c r="C155" s="33"/>
      <c r="D155" s="33"/>
      <c r="E155" s="31"/>
      <c r="F155" s="31"/>
    </row>
    <row r="156" spans="2:6" ht="14.25" x14ac:dyDescent="0.2">
      <c r="B156" s="15"/>
      <c r="C156" s="33"/>
      <c r="D156" s="33"/>
      <c r="E156" s="31"/>
      <c r="F156" s="31"/>
    </row>
    <row r="157" spans="2:6" ht="14.25" x14ac:dyDescent="0.2">
      <c r="B157" s="15"/>
      <c r="C157" s="33"/>
      <c r="D157" s="33"/>
      <c r="E157" s="31"/>
      <c r="F157" s="31"/>
    </row>
    <row r="158" spans="2:6" ht="14.25" x14ac:dyDescent="0.2">
      <c r="B158" s="15"/>
      <c r="C158" s="33"/>
      <c r="D158" s="33"/>
      <c r="E158" s="31"/>
      <c r="F158" s="31"/>
    </row>
    <row r="159" spans="2:6" ht="14.25" x14ac:dyDescent="0.2">
      <c r="B159" s="15"/>
      <c r="C159" s="33"/>
      <c r="D159" s="33"/>
      <c r="E159" s="31"/>
      <c r="F159" s="31"/>
    </row>
  </sheetData>
  <autoFilter ref="B6:S116" xr:uid="{00000000-0001-0000-0600-000000000000}"/>
  <mergeCells count="9">
    <mergeCell ref="S2:S6"/>
    <mergeCell ref="M2:O2"/>
    <mergeCell ref="P2:R2"/>
    <mergeCell ref="E1:J1"/>
    <mergeCell ref="M1:R1"/>
    <mergeCell ref="B2:D2"/>
    <mergeCell ref="E2:G2"/>
    <mergeCell ref="H2:J2"/>
    <mergeCell ref="K2:K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16"/>
  <sheetViews>
    <sheetView tabSelected="1" topLeftCell="A439" zoomScale="40" zoomScaleNormal="40" workbookViewId="0">
      <selection activeCell="J489" sqref="J489"/>
    </sheetView>
  </sheetViews>
  <sheetFormatPr defaultColWidth="9.140625" defaultRowHeight="12.75" x14ac:dyDescent="0.2"/>
  <cols>
    <col min="1" max="1" width="5.140625" style="16" customWidth="1"/>
    <col min="2" max="2" width="51" style="16" customWidth="1"/>
    <col min="3" max="3" width="12.5703125" style="86" bestFit="1" customWidth="1"/>
    <col min="4" max="4" width="32.5703125" style="16" customWidth="1"/>
    <col min="5" max="5" width="12.7109375" style="16" bestFit="1" customWidth="1"/>
    <col min="6" max="6" width="16.42578125" style="16" bestFit="1" customWidth="1"/>
    <col min="7" max="7" width="15.7109375" style="86" bestFit="1" customWidth="1"/>
    <col min="8" max="8" width="17.140625" style="86" customWidth="1"/>
    <col min="9" max="9" width="57.140625" style="86" customWidth="1"/>
    <col min="10" max="10" width="39" style="335" customWidth="1"/>
    <col min="11" max="11" width="20.85546875" style="335" customWidth="1"/>
    <col min="12" max="12" width="29" style="335" customWidth="1"/>
    <col min="13" max="13" width="20.85546875" style="16" customWidth="1"/>
    <col min="14" max="14" width="12" style="16" bestFit="1" customWidth="1"/>
    <col min="15" max="15" width="9.7109375" style="16" customWidth="1"/>
    <col min="16" max="16384" width="9.140625" style="16"/>
  </cols>
  <sheetData>
    <row r="1" spans="1:14" ht="13.5" thickBot="1" x14ac:dyDescent="0.25">
      <c r="A1" s="338"/>
    </row>
    <row r="2" spans="1:14" ht="16.5" thickBot="1" x14ac:dyDescent="0.25">
      <c r="A2" s="537"/>
      <c r="B2" s="540" t="s">
        <v>198</v>
      </c>
      <c r="C2" s="541" t="s">
        <v>199</v>
      </c>
      <c r="D2" s="541"/>
      <c r="E2" s="541" t="s">
        <v>200</v>
      </c>
      <c r="F2" s="541"/>
      <c r="G2" s="541"/>
      <c r="H2" s="541"/>
      <c r="I2" s="541"/>
      <c r="J2" s="542" t="s">
        <v>201</v>
      </c>
      <c r="K2" s="538" t="s">
        <v>202</v>
      </c>
      <c r="L2" s="542" t="s">
        <v>203</v>
      </c>
      <c r="M2" s="539" t="s">
        <v>204</v>
      </c>
    </row>
    <row r="3" spans="1:14" ht="32.25" thickBot="1" x14ac:dyDescent="0.25">
      <c r="A3" s="537"/>
      <c r="B3" s="540"/>
      <c r="C3" s="34" t="s">
        <v>205</v>
      </c>
      <c r="D3" s="35" t="s">
        <v>206</v>
      </c>
      <c r="E3" s="36" t="s">
        <v>207</v>
      </c>
      <c r="F3" s="37" t="s">
        <v>208</v>
      </c>
      <c r="G3" s="18" t="s">
        <v>209</v>
      </c>
      <c r="H3" s="18" t="s">
        <v>210</v>
      </c>
      <c r="I3" s="18" t="s">
        <v>211</v>
      </c>
      <c r="J3" s="542"/>
      <c r="K3" s="538"/>
      <c r="L3" s="542"/>
      <c r="M3" s="539"/>
    </row>
    <row r="4" spans="1:14" ht="15.75" thickTop="1" x14ac:dyDescent="0.2">
      <c r="A4" s="537"/>
      <c r="B4" s="38" t="s">
        <v>15</v>
      </c>
      <c r="C4" s="39" t="s">
        <v>212</v>
      </c>
      <c r="D4" s="503" t="s">
        <v>213</v>
      </c>
      <c r="E4" s="40" t="s">
        <v>214</v>
      </c>
      <c r="F4" s="41">
        <v>0.97499999999999998</v>
      </c>
      <c r="G4" s="42">
        <v>2.5</v>
      </c>
      <c r="H4" s="43" t="s">
        <v>215</v>
      </c>
      <c r="I4" s="43" t="s">
        <v>216</v>
      </c>
      <c r="J4" s="80" t="s">
        <v>217</v>
      </c>
      <c r="K4" s="80"/>
      <c r="L4" s="80"/>
      <c r="M4" s="504"/>
    </row>
    <row r="5" spans="1:14" ht="63.75" customHeight="1" x14ac:dyDescent="0.2">
      <c r="A5" s="537"/>
      <c r="B5" s="38" t="s">
        <v>15</v>
      </c>
      <c r="C5" s="39" t="s">
        <v>218</v>
      </c>
      <c r="D5" s="503" t="s">
        <v>219</v>
      </c>
      <c r="E5" s="40" t="s">
        <v>214</v>
      </c>
      <c r="F5" s="44">
        <v>0</v>
      </c>
      <c r="G5" s="43">
        <v>0.1</v>
      </c>
      <c r="H5" s="43" t="s">
        <v>215</v>
      </c>
      <c r="I5" s="42" t="s">
        <v>220</v>
      </c>
      <c r="J5" s="80">
        <v>10</v>
      </c>
      <c r="K5" s="80"/>
      <c r="L5" s="80"/>
      <c r="M5" s="504"/>
    </row>
    <row r="6" spans="1:14" s="52" customFormat="1" ht="48.75" customHeight="1" x14ac:dyDescent="0.2">
      <c r="A6" s="537"/>
      <c r="B6" s="45" t="s">
        <v>20</v>
      </c>
      <c r="C6" s="39" t="s">
        <v>221</v>
      </c>
      <c r="D6" s="503" t="s">
        <v>222</v>
      </c>
      <c r="E6" s="40" t="s">
        <v>214</v>
      </c>
      <c r="F6" s="44">
        <v>0</v>
      </c>
      <c r="G6" s="43">
        <v>5.7999999999999996E-3</v>
      </c>
      <c r="H6" s="43" t="s">
        <v>223</v>
      </c>
      <c r="I6" s="42" t="s">
        <v>224</v>
      </c>
      <c r="J6" s="80">
        <v>5.22</v>
      </c>
      <c r="K6" s="80"/>
      <c r="L6" s="80"/>
      <c r="M6" s="504"/>
      <c r="N6" s="16"/>
    </row>
    <row r="7" spans="1:14" s="52" customFormat="1" ht="15" x14ac:dyDescent="0.2">
      <c r="A7" s="16"/>
      <c r="B7" s="505" t="s">
        <v>25</v>
      </c>
      <c r="C7" s="81" t="s">
        <v>225</v>
      </c>
      <c r="D7" s="506" t="s">
        <v>226</v>
      </c>
      <c r="E7" s="82" t="s">
        <v>227</v>
      </c>
      <c r="F7" s="83" t="s">
        <v>228</v>
      </c>
      <c r="G7" s="84" t="s">
        <v>229</v>
      </c>
      <c r="H7" s="84" t="s">
        <v>210</v>
      </c>
      <c r="I7" s="84" t="s">
        <v>230</v>
      </c>
      <c r="J7" s="336"/>
      <c r="K7" s="336"/>
      <c r="L7" s="336"/>
      <c r="M7" s="507"/>
      <c r="N7" s="16"/>
    </row>
    <row r="8" spans="1:14" ht="15.75" x14ac:dyDescent="0.25">
      <c r="A8" s="86"/>
      <c r="B8" s="508" t="s">
        <v>30</v>
      </c>
      <c r="C8" s="339" t="s">
        <v>221</v>
      </c>
      <c r="D8" s="340" t="s">
        <v>222</v>
      </c>
      <c r="E8" s="339" t="s">
        <v>214</v>
      </c>
      <c r="F8" s="341">
        <v>0</v>
      </c>
      <c r="G8" s="342">
        <v>0.18629999999999999</v>
      </c>
      <c r="H8" s="339" t="s">
        <v>231</v>
      </c>
      <c r="I8" s="343" t="s">
        <v>232</v>
      </c>
      <c r="J8" s="85">
        <f>INDEX('Diesel Generators PTE'!$M$6:$R$56,MATCH(C8,'Diesel Generators PTE'!$I$6:$I$56,0),MATCH(B8,'Diesel Generators PTE'!$M$5:$R$5,0))</f>
        <v>0.33913252151999995</v>
      </c>
      <c r="K8" s="85">
        <f>CONVERT(J8,"lbm","g")/8760/3600</f>
        <v>4.8778514770526638E-6</v>
      </c>
      <c r="L8" s="85">
        <f>INDEX('Diesel Generators PTE'!$S$6:$X$56,MATCH(C8,'Diesel Generators PTE'!$I$6:$I$56,0),MATCH(B8,'Diesel Generators PTE'!$S$5:$X$5,0))</f>
        <v>8.895218903999999E-2</v>
      </c>
      <c r="M8" s="509">
        <f>CONVERT(L8,"lbm","g")/24/3600</f>
        <v>4.6699113707571324E-4</v>
      </c>
      <c r="N8" s="284"/>
    </row>
    <row r="9" spans="1:14" ht="15.75" x14ac:dyDescent="0.25">
      <c r="A9" s="86"/>
      <c r="B9" s="508" t="s">
        <v>30</v>
      </c>
      <c r="C9" s="339" t="s">
        <v>233</v>
      </c>
      <c r="D9" s="340" t="s">
        <v>234</v>
      </c>
      <c r="E9" s="339" t="s">
        <v>214</v>
      </c>
      <c r="F9" s="341">
        <v>0</v>
      </c>
      <c r="G9" s="339">
        <v>0.21740000000000001</v>
      </c>
      <c r="H9" s="339" t="s">
        <v>231</v>
      </c>
      <c r="I9" s="343" t="s">
        <v>232</v>
      </c>
      <c r="J9" s="85">
        <f>INDEX('Diesel Generators PTE'!$M$6:$R$56,MATCH(C9,'Diesel Generators PTE'!$I$6:$I$56,0),MATCH(B9,'Diesel Generators PTE'!$M$5:$R$5,0))</f>
        <v>0.39574562629333332</v>
      </c>
      <c r="K9" s="85">
        <f t="shared" ref="K9:K72" si="0">CONVERT(J9,"lbm","g")/8760/3600</f>
        <v>5.6921358621108376E-6</v>
      </c>
      <c r="L9" s="85">
        <f>INDEX('Diesel Generators PTE'!$S$6:$X$56,MATCH(C9,'Diesel Generators PTE'!$I$6:$I$56,0),MATCH(B9,'Diesel Generators PTE'!$S$5:$X$5,0))</f>
        <v>0.10380142725333334</v>
      </c>
      <c r="M9" s="509">
        <f>CONVERT(L9,"lbm","g")/24/3600</f>
        <v>5.4494832635673684E-4</v>
      </c>
      <c r="N9" s="284"/>
    </row>
    <row r="10" spans="1:14" ht="15.75" x14ac:dyDescent="0.25">
      <c r="A10" s="86"/>
      <c r="B10" s="508" t="s">
        <v>30</v>
      </c>
      <c r="C10" s="339" t="s">
        <v>235</v>
      </c>
      <c r="D10" s="340" t="s">
        <v>236</v>
      </c>
      <c r="E10" s="339" t="s">
        <v>214</v>
      </c>
      <c r="F10" s="341">
        <v>0</v>
      </c>
      <c r="G10" s="339">
        <v>1.5E-3</v>
      </c>
      <c r="H10" s="339" t="s">
        <v>231</v>
      </c>
      <c r="I10" s="343" t="s">
        <v>232</v>
      </c>
      <c r="J10" s="85">
        <f>INDEX('Diesel Generators PTE'!$M$6:$R$56,MATCH(C10,'Diesel Generators PTE'!$I$6:$I$56,0),MATCH(B10,'Diesel Generators PTE'!$M$5:$R$5,0))</f>
        <v>2.6676E-3</v>
      </c>
      <c r="K10" s="85">
        <f t="shared" si="0"/>
        <v>3.8368943626712328E-8</v>
      </c>
      <c r="L10" s="85">
        <f>INDEX('Diesel Generators PTE'!$S$6:$X$56,MATCH(C10,'Diesel Generators PTE'!$I$6:$I$56,0),MATCH(B10,'Diesel Generators PTE'!$S$5:$X$5,0))</f>
        <v>7.1135999999999997E-4</v>
      </c>
      <c r="M10" s="509">
        <f t="shared" ref="M10:M72" si="1">CONVERT(L10,"lbm","g")/24/3600</f>
        <v>3.7345771796666667E-6</v>
      </c>
      <c r="N10" s="284"/>
    </row>
    <row r="11" spans="1:14" ht="15.75" x14ac:dyDescent="0.25">
      <c r="A11" s="492"/>
      <c r="B11" s="508" t="s">
        <v>30</v>
      </c>
      <c r="C11" s="339" t="s">
        <v>237</v>
      </c>
      <c r="D11" s="340" t="s">
        <v>238</v>
      </c>
      <c r="E11" s="339" t="s">
        <v>214</v>
      </c>
      <c r="F11" s="344">
        <v>0</v>
      </c>
      <c r="G11" s="339">
        <v>1.7261</v>
      </c>
      <c r="H11" s="339" t="s">
        <v>231</v>
      </c>
      <c r="I11" s="343" t="s">
        <v>232</v>
      </c>
      <c r="J11" s="85">
        <f>INDEX('Diesel Generators PTE'!$M$6:$R$56,MATCH(C11,'Diesel Generators PTE'!$I$6:$I$56,0),MATCH(B11,'Diesel Generators PTE'!$M$5:$R$5,0))</f>
        <v>3.1421183327733329</v>
      </c>
      <c r="K11" s="85">
        <f t="shared" si="0"/>
        <v>4.5194092509611389E-5</v>
      </c>
      <c r="L11" s="85">
        <f>INDEX('Diesel Generators PTE'!$S$6:$X$56,MATCH(C11,'Diesel Generators PTE'!$I$6:$I$56,0),MATCH(B11,'Diesel Generators PTE'!$S$5:$X$5,0))</f>
        <v>0.82415659421333332</v>
      </c>
      <c r="M11" s="509">
        <f t="shared" si="1"/>
        <v>4.3267493381985433E-3</v>
      </c>
      <c r="N11" s="284"/>
    </row>
    <row r="12" spans="1:14" ht="15.75" x14ac:dyDescent="0.25">
      <c r="A12" s="492"/>
      <c r="B12" s="508" t="s">
        <v>30</v>
      </c>
      <c r="C12" s="339" t="s">
        <v>239</v>
      </c>
      <c r="D12" s="340" t="s">
        <v>240</v>
      </c>
      <c r="E12" s="339" t="s">
        <v>214</v>
      </c>
      <c r="F12" s="344">
        <v>0</v>
      </c>
      <c r="G12" s="339">
        <v>1E-4</v>
      </c>
      <c r="H12" s="339" t="s">
        <v>231</v>
      </c>
      <c r="I12" s="343" t="s">
        <v>232</v>
      </c>
      <c r="J12" s="85">
        <f>INDEX('Diesel Generators PTE'!$M$6:$R$56,MATCH(C12,'Diesel Generators PTE'!$I$6:$I$56,0),MATCH(B12,'Diesel Generators PTE'!$M$5:$R$5,0))</f>
        <v>1.7784000000000002E-4</v>
      </c>
      <c r="K12" s="85">
        <f t="shared" si="0"/>
        <v>2.5579295751141554E-9</v>
      </c>
      <c r="L12" s="85">
        <f>INDEX('Diesel Generators PTE'!$S$6:$X$56,MATCH(C12,'Diesel Generators PTE'!$I$6:$I$56,0),MATCH(B12,'Diesel Generators PTE'!$S$5:$X$5,0))</f>
        <v>4.7423999999999999E-5</v>
      </c>
      <c r="M12" s="509">
        <f t="shared" si="1"/>
        <v>2.4897181197777777E-7</v>
      </c>
      <c r="N12" s="284"/>
    </row>
    <row r="13" spans="1:14" ht="15.75" x14ac:dyDescent="0.25">
      <c r="A13" s="492"/>
      <c r="B13" s="508" t="s">
        <v>30</v>
      </c>
      <c r="C13" s="339" t="s">
        <v>218</v>
      </c>
      <c r="D13" s="340" t="s">
        <v>219</v>
      </c>
      <c r="E13" s="339" t="s">
        <v>214</v>
      </c>
      <c r="F13" s="344">
        <v>0</v>
      </c>
      <c r="G13" s="339">
        <v>1.6000000000000001E-3</v>
      </c>
      <c r="H13" s="339" t="s">
        <v>231</v>
      </c>
      <c r="I13" s="343" t="s">
        <v>232</v>
      </c>
      <c r="J13" s="85">
        <f>INDEX('Diesel Generators PTE'!$M$6:$R$56,MATCH(C13,'Diesel Generators PTE'!$I$6:$I$56,0),MATCH(B13,'Diesel Generators PTE'!$M$5:$R$5,0))</f>
        <v>2.8454400000000003E-3</v>
      </c>
      <c r="K13" s="85">
        <f t="shared" si="0"/>
        <v>4.0926873201826487E-8</v>
      </c>
      <c r="L13" s="85">
        <f>INDEX('Diesel Generators PTE'!$S$6:$X$56,MATCH(C13,'Diesel Generators PTE'!$I$6:$I$56,0),MATCH(B13,'Diesel Generators PTE'!$S$5:$X$5,0))</f>
        <v>7.5878399999999998E-4</v>
      </c>
      <c r="M13" s="509">
        <f t="shared" si="1"/>
        <v>3.9835489916444443E-6</v>
      </c>
      <c r="N13" s="284"/>
    </row>
    <row r="14" spans="1:14" ht="15.75" x14ac:dyDescent="0.25">
      <c r="A14" s="492"/>
      <c r="B14" s="508" t="s">
        <v>30</v>
      </c>
      <c r="C14" s="339" t="s">
        <v>241</v>
      </c>
      <c r="D14" s="340" t="s">
        <v>242</v>
      </c>
      <c r="E14" s="339" t="s">
        <v>214</v>
      </c>
      <c r="F14" s="344">
        <v>0</v>
      </c>
      <c r="G14" s="339">
        <v>8.3000000000000001E-3</v>
      </c>
      <c r="H14" s="339" t="s">
        <v>231</v>
      </c>
      <c r="I14" s="343" t="s">
        <v>232</v>
      </c>
      <c r="J14" s="85">
        <f>INDEX('Diesel Generators PTE'!$M$6:$R$56,MATCH(C14,'Diesel Generators PTE'!$I$6:$I$56,0),MATCH(B14,'Diesel Generators PTE'!$M$5:$R$5,0))</f>
        <v>1.476072E-2</v>
      </c>
      <c r="K14" s="85">
        <f t="shared" si="0"/>
        <v>2.1230815473447492E-7</v>
      </c>
      <c r="L14" s="85">
        <f>INDEX('Diesel Generators PTE'!$S$6:$X$56,MATCH(C14,'Diesel Generators PTE'!$I$6:$I$56,0),MATCH(B14,'Diesel Generators PTE'!$S$5:$X$5,0))</f>
        <v>3.9361919999999998E-3</v>
      </c>
      <c r="M14" s="509">
        <f t="shared" si="1"/>
        <v>2.0664660394155557E-5</v>
      </c>
      <c r="N14" s="284"/>
    </row>
    <row r="15" spans="1:14" ht="15.75" x14ac:dyDescent="0.25">
      <c r="A15" s="492"/>
      <c r="B15" s="508" t="s">
        <v>30</v>
      </c>
      <c r="C15" s="339">
        <v>365</v>
      </c>
      <c r="D15" s="340" t="s">
        <v>243</v>
      </c>
      <c r="E15" s="339" t="s">
        <v>214</v>
      </c>
      <c r="F15" s="344">
        <v>0</v>
      </c>
      <c r="G15" s="339">
        <v>3.8999999999999998E-3</v>
      </c>
      <c r="H15" s="339" t="s">
        <v>231</v>
      </c>
      <c r="I15" s="343" t="s">
        <v>232</v>
      </c>
      <c r="J15" s="85">
        <f>INDEX('Diesel Generators PTE'!$M$6:$R$56,MATCH(C15,'Diesel Generators PTE'!$I$6:$I$56,0),MATCH(B15,'Diesel Generators PTE'!$M$5:$R$5,0))</f>
        <v>6.93576E-3</v>
      </c>
      <c r="K15" s="85">
        <f t="shared" si="0"/>
        <v>9.9759253429452048E-8</v>
      </c>
      <c r="L15" s="85">
        <f>INDEX('Diesel Generators PTE'!$S$6:$X$56,MATCH(C15,'Diesel Generators PTE'!$I$6:$I$56,0),MATCH(B15,'Diesel Generators PTE'!$S$5:$X$5,0))</f>
        <v>1.8495359999999999E-3</v>
      </c>
      <c r="M15" s="509">
        <f t="shared" si="1"/>
        <v>9.7099006671333323E-6</v>
      </c>
      <c r="N15" s="284"/>
    </row>
    <row r="16" spans="1:14" ht="15.75" x14ac:dyDescent="0.25">
      <c r="A16" s="492"/>
      <c r="B16" s="508" t="s">
        <v>30</v>
      </c>
      <c r="C16" s="339" t="s">
        <v>244</v>
      </c>
      <c r="D16" s="340" t="s">
        <v>245</v>
      </c>
      <c r="E16" s="339" t="s">
        <v>214</v>
      </c>
      <c r="F16" s="344">
        <v>0</v>
      </c>
      <c r="G16" s="339">
        <v>1.9699999999999999E-2</v>
      </c>
      <c r="H16" s="339" t="s">
        <v>231</v>
      </c>
      <c r="I16" s="343" t="s">
        <v>232</v>
      </c>
      <c r="J16" s="85">
        <f>INDEX('Diesel Generators PTE'!$M$6:$R$56,MATCH(C16,'Diesel Generators PTE'!$I$6:$I$56,0),MATCH(B16,'Diesel Generators PTE'!$M$5:$R$5,0))</f>
        <v>3.586103421333333E-2</v>
      </c>
      <c r="K16" s="85">
        <f t="shared" si="0"/>
        <v>5.1580071979569234E-7</v>
      </c>
      <c r="L16" s="85">
        <f>INDEX('Diesel Generators PTE'!$S$6:$X$56,MATCH(C16,'Diesel Generators PTE'!$I$6:$I$56,0),MATCH(B16,'Diesel Generators PTE'!$S$5:$X$5,0))</f>
        <v>9.4061090933333317E-3</v>
      </c>
      <c r="M16" s="509">
        <f t="shared" si="1"/>
        <v>4.9381242084764087E-5</v>
      </c>
      <c r="N16" s="284"/>
    </row>
    <row r="17" spans="1:14" ht="15.75" x14ac:dyDescent="0.25">
      <c r="A17" s="492"/>
      <c r="B17" s="508" t="s">
        <v>30</v>
      </c>
      <c r="C17" s="339">
        <v>401</v>
      </c>
      <c r="D17" s="340" t="s">
        <v>246</v>
      </c>
      <c r="E17" s="339" t="s">
        <v>214</v>
      </c>
      <c r="F17" s="344">
        <v>0</v>
      </c>
      <c r="G17" s="339">
        <v>3.6200000000000003E-2</v>
      </c>
      <c r="H17" s="339" t="s">
        <v>231</v>
      </c>
      <c r="I17" s="343" t="s">
        <v>232</v>
      </c>
      <c r="J17" s="85">
        <f>INDEX('Diesel Generators PTE'!$M$6:$R$56,MATCH(C17,'Diesel Generators PTE'!$I$6:$I$56,0),MATCH(B17,'Diesel Generators PTE'!$M$5:$R$5,0))</f>
        <v>6.589692581333334E-2</v>
      </c>
      <c r="K17" s="85">
        <f t="shared" si="0"/>
        <v>9.4781655109665298E-7</v>
      </c>
      <c r="L17" s="85">
        <f>INDEX('Diesel Generators PTE'!$S$6:$X$56,MATCH(C17,'Diesel Generators PTE'!$I$6:$I$56,0),MATCH(B17,'Diesel Generators PTE'!$S$5:$X$5,0))</f>
        <v>1.7284322293333335E-2</v>
      </c>
      <c r="M17" s="509">
        <f t="shared" si="1"/>
        <v>9.0741165658297481E-5</v>
      </c>
      <c r="N17" s="284"/>
    </row>
    <row r="18" spans="1:14" ht="15.75" x14ac:dyDescent="0.25">
      <c r="A18" s="492"/>
      <c r="B18" s="508" t="s">
        <v>30</v>
      </c>
      <c r="C18" s="339" t="s">
        <v>247</v>
      </c>
      <c r="D18" s="340" t="s">
        <v>248</v>
      </c>
      <c r="E18" s="339" t="s">
        <v>214</v>
      </c>
      <c r="F18" s="344">
        <v>0</v>
      </c>
      <c r="G18" s="339">
        <v>0.7833</v>
      </c>
      <c r="H18" s="339" t="s">
        <v>231</v>
      </c>
      <c r="I18" s="343" t="s">
        <v>232</v>
      </c>
      <c r="J18" s="85">
        <f>INDEX('Diesel Generators PTE'!$M$6:$R$56,MATCH(C18,'Diesel Generators PTE'!$I$6:$I$56,0),MATCH(B18,'Diesel Generators PTE'!$M$5:$R$5,0))</f>
        <v>1.4258856903199999</v>
      </c>
      <c r="K18" s="85">
        <f t="shared" si="0"/>
        <v>2.0508969736851052E-5</v>
      </c>
      <c r="L18" s="85">
        <f>INDEX('Diesel Generators PTE'!$S$6:$X$56,MATCH(C18,'Diesel Generators PTE'!$I$6:$I$56,0),MATCH(B18,'Diesel Generators PTE'!$S$5:$X$5,0))</f>
        <v>0.37400026663999997</v>
      </c>
      <c r="M18" s="509">
        <f t="shared" si="1"/>
        <v>1.9634683718271935E-3</v>
      </c>
      <c r="N18" s="284"/>
    </row>
    <row r="19" spans="1:14" ht="15.75" x14ac:dyDescent="0.25">
      <c r="A19" s="492"/>
      <c r="B19" s="508" t="s">
        <v>30</v>
      </c>
      <c r="C19" s="339" t="s">
        <v>249</v>
      </c>
      <c r="D19" s="340" t="s">
        <v>250</v>
      </c>
      <c r="E19" s="339" t="s">
        <v>214</v>
      </c>
      <c r="F19" s="344">
        <v>0</v>
      </c>
      <c r="G19" s="339">
        <v>3.39E-2</v>
      </c>
      <c r="H19" s="339" t="s">
        <v>231</v>
      </c>
      <c r="I19" s="343" t="s">
        <v>232</v>
      </c>
      <c r="J19" s="85">
        <f>INDEX('Diesel Generators PTE'!$M$6:$R$56,MATCH(C19,'Diesel Generators PTE'!$I$6:$I$56,0),MATCH(B19,'Diesel Generators PTE'!$M$5:$R$5,0))</f>
        <v>6.1710104559999993E-2</v>
      </c>
      <c r="K19" s="85">
        <f t="shared" si="0"/>
        <v>8.8759616249106431E-7</v>
      </c>
      <c r="L19" s="85">
        <f>INDEX('Diesel Generators PTE'!$S$6:$X$56,MATCH(C19,'Diesel Generators PTE'!$I$6:$I$56,0),MATCH(B19,'Diesel Generators PTE'!$S$5:$X$5,0))</f>
        <v>1.6186147120000001E-2</v>
      </c>
      <c r="M19" s="509">
        <f t="shared" si="1"/>
        <v>8.4975842978350419E-5</v>
      </c>
      <c r="N19" s="284"/>
    </row>
    <row r="20" spans="1:14" ht="15.75" x14ac:dyDescent="0.25">
      <c r="A20" s="492"/>
      <c r="B20" s="508" t="s">
        <v>30</v>
      </c>
      <c r="C20" s="339" t="s">
        <v>251</v>
      </c>
      <c r="D20" s="340" t="s">
        <v>252</v>
      </c>
      <c r="E20" s="339" t="s">
        <v>214</v>
      </c>
      <c r="F20" s="344">
        <v>0</v>
      </c>
      <c r="G20" s="339">
        <v>0.8</v>
      </c>
      <c r="H20" s="339" t="s">
        <v>231</v>
      </c>
      <c r="I20" s="343" t="s">
        <v>232</v>
      </c>
      <c r="J20" s="85">
        <f>INDEX('Diesel Generators PTE'!$M$6:$R$56,MATCH(C20,'Diesel Generators PTE'!$I$6:$I$56,0),MATCH(B20,'Diesel Generators PTE'!$M$5:$R$5,0))</f>
        <v>1.42272</v>
      </c>
      <c r="K20" s="85">
        <f t="shared" si="0"/>
        <v>2.0463436600913243E-5</v>
      </c>
      <c r="L20" s="85">
        <f>INDEX('Diesel Generators PTE'!$S$6:$X$56,MATCH(C20,'Diesel Generators PTE'!$I$6:$I$56,0),MATCH(B20,'Diesel Generators PTE'!$S$5:$X$5,0))</f>
        <v>0.37939200000000001</v>
      </c>
      <c r="M20" s="509">
        <f t="shared" si="1"/>
        <v>1.9917744958222222E-3</v>
      </c>
      <c r="N20" s="284"/>
    </row>
    <row r="21" spans="1:14" ht="15.75" x14ac:dyDescent="0.25">
      <c r="A21" s="492"/>
      <c r="B21" s="508" t="s">
        <v>30</v>
      </c>
      <c r="C21" s="339" t="s">
        <v>253</v>
      </c>
      <c r="D21" s="340" t="s">
        <v>254</v>
      </c>
      <c r="E21" s="339" t="s">
        <v>214</v>
      </c>
      <c r="F21" s="344">
        <v>0</v>
      </c>
      <c r="G21" s="339">
        <v>4.1000000000000003E-3</v>
      </c>
      <c r="H21" s="339" t="s">
        <v>231</v>
      </c>
      <c r="I21" s="343" t="s">
        <v>232</v>
      </c>
      <c r="J21" s="85">
        <f>INDEX('Diesel Generators PTE'!$M$6:$R$56,MATCH(C21,'Diesel Generators PTE'!$I$6:$I$56,0),MATCH(B21,'Diesel Generators PTE'!$M$5:$R$5,0))</f>
        <v>7.2914400000000006E-3</v>
      </c>
      <c r="K21" s="85">
        <f t="shared" si="0"/>
        <v>1.0487511257968038E-7</v>
      </c>
      <c r="L21" s="85">
        <f>INDEX('Diesel Generators PTE'!$S$6:$X$56,MATCH(C21,'Diesel Generators PTE'!$I$6:$I$56,0),MATCH(B21,'Diesel Generators PTE'!$S$5:$X$5,0))</f>
        <v>1.9443840000000002E-3</v>
      </c>
      <c r="M21" s="509">
        <f t="shared" si="1"/>
        <v>1.0207844291088889E-5</v>
      </c>
      <c r="N21" s="284"/>
    </row>
    <row r="22" spans="1:14" ht="15.75" x14ac:dyDescent="0.25">
      <c r="A22" s="492"/>
      <c r="B22" s="508" t="s">
        <v>30</v>
      </c>
      <c r="C22" s="339" t="s">
        <v>255</v>
      </c>
      <c r="D22" s="340" t="s">
        <v>256</v>
      </c>
      <c r="E22" s="339" t="s">
        <v>214</v>
      </c>
      <c r="F22" s="344">
        <v>0</v>
      </c>
      <c r="G22" s="339">
        <v>1.09E-2</v>
      </c>
      <c r="H22" s="339" t="s">
        <v>231</v>
      </c>
      <c r="I22" s="343" t="s">
        <v>232</v>
      </c>
      <c r="J22" s="85">
        <f>INDEX('Diesel Generators PTE'!$M$6:$R$56,MATCH(C22,'Diesel Generators PTE'!$I$6:$I$56,0),MATCH(B22,'Diesel Generators PTE'!$M$5:$R$5,0))</f>
        <v>1.9841892026666665E-2</v>
      </c>
      <c r="K22" s="85">
        <f t="shared" si="0"/>
        <v>2.8539227643518E-7</v>
      </c>
      <c r="L22" s="85">
        <f>INDEX('Diesel Generators PTE'!$S$6:$X$56,MATCH(C22,'Diesel Generators PTE'!$I$6:$I$56,0),MATCH(B22,'Diesel Generators PTE'!$S$5:$X$5,0))</f>
        <v>5.2043953866666662E-3</v>
      </c>
      <c r="M22" s="509">
        <f t="shared" si="1"/>
        <v>2.7322616178879628E-5</v>
      </c>
      <c r="N22" s="284"/>
    </row>
    <row r="23" spans="1:14" ht="15.75" x14ac:dyDescent="0.25">
      <c r="A23" s="492"/>
      <c r="B23" s="508" t="s">
        <v>30</v>
      </c>
      <c r="C23" s="339" t="s">
        <v>257</v>
      </c>
      <c r="D23" s="340" t="s">
        <v>258</v>
      </c>
      <c r="E23" s="339" t="s">
        <v>214</v>
      </c>
      <c r="F23" s="344">
        <v>0</v>
      </c>
      <c r="G23" s="339">
        <v>2.69E-2</v>
      </c>
      <c r="H23" s="339" t="s">
        <v>231</v>
      </c>
      <c r="I23" s="343" t="s">
        <v>232</v>
      </c>
      <c r="J23" s="85">
        <f>INDEX('Diesel Generators PTE'!$M$6:$R$56,MATCH(C23,'Diesel Generators PTE'!$I$6:$I$56,0),MATCH(B23,'Diesel Generators PTE'!$M$5:$R$5,0))</f>
        <v>4.8967605093333332E-2</v>
      </c>
      <c r="K23" s="85">
        <f t="shared" si="0"/>
        <v>7.0431671890883877E-7</v>
      </c>
      <c r="L23" s="85">
        <f>INDEX('Diesel Generators PTE'!$S$6:$X$56,MATCH(C23,'Diesel Generators PTE'!$I$6:$I$56,0),MATCH(B23,'Diesel Generators PTE'!$S$5:$X$5,0))</f>
        <v>1.2843874853333333E-2</v>
      </c>
      <c r="M23" s="509">
        <f t="shared" si="1"/>
        <v>6.7429208735033213E-5</v>
      </c>
      <c r="N23" s="284"/>
    </row>
    <row r="24" spans="1:14" ht="15.75" x14ac:dyDescent="0.25">
      <c r="A24" s="492"/>
      <c r="B24" s="508" t="s">
        <v>30</v>
      </c>
      <c r="C24" s="339" t="s">
        <v>259</v>
      </c>
      <c r="D24" s="340" t="s">
        <v>260</v>
      </c>
      <c r="E24" s="339" t="s">
        <v>214</v>
      </c>
      <c r="F24" s="344">
        <v>0</v>
      </c>
      <c r="G24" s="339">
        <v>0.18629999999999999</v>
      </c>
      <c r="H24" s="339" t="s">
        <v>231</v>
      </c>
      <c r="I24" s="343" t="s">
        <v>232</v>
      </c>
      <c r="J24" s="85">
        <f>INDEX('Diesel Generators PTE'!$M$6:$R$56,MATCH(C24,'Diesel Generators PTE'!$I$6:$I$56,0),MATCH(B24,'Diesel Generators PTE'!$M$5:$R$5,0))</f>
        <v>0.33913252151999995</v>
      </c>
      <c r="K24" s="85">
        <f t="shared" si="0"/>
        <v>4.8778514770526638E-6</v>
      </c>
      <c r="L24" s="85">
        <f>INDEX('Diesel Generators PTE'!$S$6:$X$56,MATCH(C24,'Diesel Generators PTE'!$I$6:$I$56,0),MATCH(B24,'Diesel Generators PTE'!$S$5:$X$5,0))</f>
        <v>8.895218903999999E-2</v>
      </c>
      <c r="M24" s="509">
        <f t="shared" si="1"/>
        <v>4.6699113707571324E-4</v>
      </c>
      <c r="N24" s="284"/>
    </row>
    <row r="25" spans="1:14" ht="15.75" x14ac:dyDescent="0.25">
      <c r="A25" s="492"/>
      <c r="B25" s="508" t="s">
        <v>30</v>
      </c>
      <c r="C25" s="339" t="s">
        <v>261</v>
      </c>
      <c r="D25" s="340" t="s">
        <v>262</v>
      </c>
      <c r="E25" s="339" t="s">
        <v>214</v>
      </c>
      <c r="F25" s="344">
        <v>0</v>
      </c>
      <c r="G25" s="339">
        <v>3.0999999999999999E-3</v>
      </c>
      <c r="H25" s="339" t="s">
        <v>231</v>
      </c>
      <c r="I25" s="343" t="s">
        <v>232</v>
      </c>
      <c r="J25" s="85">
        <f>INDEX('Diesel Generators PTE'!$M$6:$R$56,MATCH(C25,'Diesel Generators PTE'!$I$6:$I$56,0),MATCH(B25,'Diesel Generators PTE'!$M$5:$R$5,0))</f>
        <v>5.5130399999999994E-3</v>
      </c>
      <c r="K25" s="85">
        <f t="shared" si="0"/>
        <v>7.9295816828538808E-8</v>
      </c>
      <c r="L25" s="85">
        <f>INDEX('Diesel Generators PTE'!$S$6:$X$56,MATCH(C25,'Diesel Generators PTE'!$I$6:$I$56,0),MATCH(B25,'Diesel Generators PTE'!$S$5:$X$5,0))</f>
        <v>1.4701439999999998E-3</v>
      </c>
      <c r="M25" s="509">
        <f t="shared" si="1"/>
        <v>7.7181261713111101E-6</v>
      </c>
      <c r="N25" s="284"/>
    </row>
    <row r="26" spans="1:14" ht="15.75" x14ac:dyDescent="0.25">
      <c r="A26" s="492"/>
      <c r="B26" s="508" t="s">
        <v>30</v>
      </c>
      <c r="C26" s="339" t="s">
        <v>263</v>
      </c>
      <c r="D26" s="340" t="s">
        <v>264</v>
      </c>
      <c r="E26" s="339" t="s">
        <v>214</v>
      </c>
      <c r="F26" s="344">
        <v>0</v>
      </c>
      <c r="G26" s="339">
        <v>2E-3</v>
      </c>
      <c r="H26" s="339" t="s">
        <v>231</v>
      </c>
      <c r="I26" s="343" t="s">
        <v>232</v>
      </c>
      <c r="J26" s="85">
        <f>INDEX('Diesel Generators PTE'!$M$6:$R$56,MATCH(C26,'Diesel Generators PTE'!$I$6:$I$56,0),MATCH(B26,'Diesel Generators PTE'!$M$5:$R$5,0))</f>
        <v>3.5568000000000002E-3</v>
      </c>
      <c r="K26" s="85">
        <f t="shared" si="0"/>
        <v>5.1158591502283107E-8</v>
      </c>
      <c r="L26" s="85">
        <f>INDEX('Diesel Generators PTE'!$S$6:$X$56,MATCH(C26,'Diesel Generators PTE'!$I$6:$I$56,0),MATCH(B26,'Diesel Generators PTE'!$S$5:$X$5,0))</f>
        <v>9.4848000000000003E-4</v>
      </c>
      <c r="M26" s="509">
        <f t="shared" si="1"/>
        <v>4.9794362395555562E-6</v>
      </c>
      <c r="N26" s="284"/>
    </row>
    <row r="27" spans="1:14" ht="15.75" x14ac:dyDescent="0.25">
      <c r="A27" s="492"/>
      <c r="B27" s="508" t="s">
        <v>30</v>
      </c>
      <c r="C27" s="339" t="s">
        <v>265</v>
      </c>
      <c r="D27" s="340" t="s">
        <v>266</v>
      </c>
      <c r="E27" s="339" t="s">
        <v>214</v>
      </c>
      <c r="F27" s="344">
        <v>0</v>
      </c>
      <c r="G27" s="339">
        <v>2.2000000000000001E-3</v>
      </c>
      <c r="H27" s="339" t="s">
        <v>231</v>
      </c>
      <c r="I27" s="343" t="s">
        <v>232</v>
      </c>
      <c r="J27" s="85">
        <f>INDEX('Diesel Generators PTE'!$M$6:$R$56,MATCH(C27,'Diesel Generators PTE'!$I$6:$I$56,0),MATCH(B27,'Diesel Generators PTE'!$M$5:$R$5,0))</f>
        <v>3.9124800000000003E-3</v>
      </c>
      <c r="K27" s="85">
        <f t="shared" si="0"/>
        <v>5.6274450652511423E-8</v>
      </c>
      <c r="L27" s="85">
        <f>INDEX('Diesel Generators PTE'!$S$6:$X$56,MATCH(C27,'Diesel Generators PTE'!$I$6:$I$56,0),MATCH(B27,'Diesel Generators PTE'!$S$5:$X$5,0))</f>
        <v>1.0433280000000001E-3</v>
      </c>
      <c r="M27" s="509">
        <f t="shared" si="1"/>
        <v>5.4773798635111113E-6</v>
      </c>
      <c r="N27" s="284"/>
    </row>
    <row r="28" spans="1:14" ht="15.75" x14ac:dyDescent="0.25">
      <c r="A28" s="492"/>
      <c r="B28" s="508" t="s">
        <v>30</v>
      </c>
      <c r="C28" s="339" t="s">
        <v>267</v>
      </c>
      <c r="D28" s="340" t="s">
        <v>268</v>
      </c>
      <c r="E28" s="339" t="s">
        <v>214</v>
      </c>
      <c r="F28" s="344">
        <v>0</v>
      </c>
      <c r="G28" s="339">
        <v>0.10539999999999999</v>
      </c>
      <c r="H28" s="339" t="s">
        <v>231</v>
      </c>
      <c r="I28" s="343" t="s">
        <v>232</v>
      </c>
      <c r="J28" s="85">
        <f>INDEX('Diesel Generators PTE'!$M$6:$R$56,MATCH(C28,'Diesel Generators PTE'!$I$6:$I$56,0),MATCH(B28,'Diesel Generators PTE'!$M$5:$R$5,0))</f>
        <v>0.19186563482666663</v>
      </c>
      <c r="K28" s="85">
        <f t="shared" si="0"/>
        <v>2.7596647647952264E-6</v>
      </c>
      <c r="L28" s="85">
        <f>INDEX('Diesel Generators PTE'!$S$6:$X$56,MATCH(C28,'Diesel Generators PTE'!$I$6:$I$56,0),MATCH(B28,'Diesel Generators PTE'!$S$5:$X$5,0))</f>
        <v>5.0325070986666658E-2</v>
      </c>
      <c r="M28" s="509">
        <f t="shared" si="1"/>
        <v>2.6420217846366166E-4</v>
      </c>
      <c r="N28" s="284"/>
    </row>
    <row r="29" spans="1:14" ht="15.75" x14ac:dyDescent="0.25">
      <c r="A29" s="492"/>
      <c r="B29" s="508" t="s">
        <v>30</v>
      </c>
      <c r="C29" s="339" t="s">
        <v>269</v>
      </c>
      <c r="D29" s="340" t="s">
        <v>270</v>
      </c>
      <c r="E29" s="339" t="s">
        <v>214</v>
      </c>
      <c r="F29" s="344">
        <v>0</v>
      </c>
      <c r="G29" s="339">
        <v>4.24E-2</v>
      </c>
      <c r="H29" s="339" t="s">
        <v>231</v>
      </c>
      <c r="I29" s="343" t="s">
        <v>232</v>
      </c>
      <c r="J29" s="510">
        <f>INDEX('Diesel Generators PTE'!$M$6:$R$56,MATCH(C29,'Diesel Generators PTE'!$I$6:$I$56,0),MATCH(B29,'Diesel Generators PTE'!$M$5:$R$5,0))</f>
        <v>7.7183139626666661E-2</v>
      </c>
      <c r="K29" s="88">
        <f t="shared" si="0"/>
        <v>1.1101497725551955E-6</v>
      </c>
      <c r="L29" s="88">
        <f>INDEX('Diesel Generators PTE'!$S$6:$X$56,MATCH(C29,'Diesel Generators PTE'!$I$6:$I$56,0),MATCH(B29,'Diesel Generators PTE'!$S$5:$X$5,0))</f>
        <v>2.0244620586666668E-2</v>
      </c>
      <c r="M29" s="511">
        <f t="shared" si="1"/>
        <v>1.0628247027380701E-4</v>
      </c>
      <c r="N29" s="284"/>
    </row>
    <row r="30" spans="1:14" ht="15.75" x14ac:dyDescent="0.25">
      <c r="A30" s="492"/>
      <c r="B30" s="508" t="s">
        <v>30</v>
      </c>
      <c r="C30" s="339">
        <v>200</v>
      </c>
      <c r="D30" s="340" t="s">
        <v>271</v>
      </c>
      <c r="E30" s="339" t="s">
        <v>214</v>
      </c>
      <c r="F30" s="344">
        <v>0</v>
      </c>
      <c r="G30" s="339">
        <v>33.5</v>
      </c>
      <c r="H30" s="339" t="s">
        <v>231</v>
      </c>
      <c r="I30" s="343" t="s">
        <v>232</v>
      </c>
      <c r="J30" s="510">
        <f>INDEX('Diesel Generators PTE'!$M$6:$R$56,MATCH(C30,'Diesel Generators PTE'!$I$6:$I$56,0),MATCH(B30,'Diesel Generators PTE'!$M$5:$R$5,0))</f>
        <v>60.981961733333328</v>
      </c>
      <c r="K30" s="88">
        <f t="shared" si="0"/>
        <v>8.7712305142922291E-4</v>
      </c>
      <c r="L30" s="88">
        <f>INDEX('Diesel Generators PTE'!$S$6:$X$56,MATCH(C30,'Diesel Generators PTE'!$I$6:$I$56,0),MATCH(B30,'Diesel Generators PTE'!$S$5:$X$5,0))</f>
        <v>15.995160133333332</v>
      </c>
      <c r="M30" s="511">
        <f t="shared" si="1"/>
        <v>8.3973178164446549E-2</v>
      </c>
      <c r="N30" s="284"/>
    </row>
    <row r="31" spans="1:14" ht="15.75" x14ac:dyDescent="0.25">
      <c r="A31" s="492"/>
      <c r="B31" s="508" t="s">
        <v>37</v>
      </c>
      <c r="C31" s="339" t="s">
        <v>221</v>
      </c>
      <c r="D31" s="340" t="s">
        <v>222</v>
      </c>
      <c r="E31" s="339" t="s">
        <v>214</v>
      </c>
      <c r="F31" s="341">
        <v>0</v>
      </c>
      <c r="G31" s="339">
        <v>0.18629999999999999</v>
      </c>
      <c r="H31" s="339" t="s">
        <v>231</v>
      </c>
      <c r="I31" s="343" t="s">
        <v>232</v>
      </c>
      <c r="J31" s="85">
        <f>INDEX('Diesel Generators PTE'!$M$6:$R$56,MATCH(C31,'Diesel Generators PTE'!$I$6:$I$56,0),MATCH(B31,'Diesel Generators PTE'!$M$5:$R$5,0))</f>
        <v>0.33913252151999995</v>
      </c>
      <c r="K31" s="85">
        <f t="shared" si="0"/>
        <v>4.8778514770526638E-6</v>
      </c>
      <c r="L31" s="85">
        <f>INDEX('Diesel Generators PTE'!$S$6:$X$56,MATCH(C31,'Diesel Generators PTE'!$I$6:$I$56,0),MATCH(B31,'Diesel Generators PTE'!$S$5:$X$5,0))</f>
        <v>8.895218903999999E-2</v>
      </c>
      <c r="M31" s="509">
        <f t="shared" si="1"/>
        <v>4.6699113707571324E-4</v>
      </c>
      <c r="N31" s="284"/>
    </row>
    <row r="32" spans="1:14" ht="15.75" x14ac:dyDescent="0.25">
      <c r="A32" s="492"/>
      <c r="B32" s="508" t="s">
        <v>37</v>
      </c>
      <c r="C32" s="339" t="s">
        <v>233</v>
      </c>
      <c r="D32" s="340" t="s">
        <v>234</v>
      </c>
      <c r="E32" s="339" t="s">
        <v>214</v>
      </c>
      <c r="F32" s="341">
        <v>0</v>
      </c>
      <c r="G32" s="339">
        <v>0.21740000000000001</v>
      </c>
      <c r="H32" s="339" t="s">
        <v>231</v>
      </c>
      <c r="I32" s="343" t="s">
        <v>232</v>
      </c>
      <c r="J32" s="85">
        <f>INDEX('Diesel Generators PTE'!$M$6:$R$56,MATCH(C32,'Diesel Generators PTE'!$I$6:$I$56,0),MATCH(B32,'Diesel Generators PTE'!$M$5:$R$5,0))</f>
        <v>0.39574562629333332</v>
      </c>
      <c r="K32" s="85">
        <f t="shared" si="0"/>
        <v>5.6921358621108376E-6</v>
      </c>
      <c r="L32" s="85">
        <f>INDEX('Diesel Generators PTE'!$S$6:$X$56,MATCH(C32,'Diesel Generators PTE'!$I$6:$I$56,0),MATCH(B32,'Diesel Generators PTE'!$S$5:$X$5,0))</f>
        <v>0.10380142725333334</v>
      </c>
      <c r="M32" s="509">
        <f t="shared" si="1"/>
        <v>5.4494832635673684E-4</v>
      </c>
      <c r="N32" s="284"/>
    </row>
    <row r="33" spans="1:14" ht="15.75" x14ac:dyDescent="0.25">
      <c r="A33" s="492"/>
      <c r="B33" s="508" t="s">
        <v>37</v>
      </c>
      <c r="C33" s="339" t="s">
        <v>235</v>
      </c>
      <c r="D33" s="340" t="s">
        <v>236</v>
      </c>
      <c r="E33" s="339" t="s">
        <v>214</v>
      </c>
      <c r="F33" s="341">
        <v>0</v>
      </c>
      <c r="G33" s="339">
        <v>1.5E-3</v>
      </c>
      <c r="H33" s="339" t="s">
        <v>231</v>
      </c>
      <c r="I33" s="343" t="s">
        <v>232</v>
      </c>
      <c r="J33" s="85">
        <f>INDEX('Diesel Generators PTE'!$M$6:$R$56,MATCH(C33,'Diesel Generators PTE'!$I$6:$I$56,0),MATCH(B33,'Diesel Generators PTE'!$M$5:$R$5,0))</f>
        <v>2.6676E-3</v>
      </c>
      <c r="K33" s="85">
        <f t="shared" si="0"/>
        <v>3.8368943626712328E-8</v>
      </c>
      <c r="L33" s="85">
        <f>INDEX('Diesel Generators PTE'!$S$6:$X$56,MATCH(C33,'Diesel Generators PTE'!$I$6:$I$56,0),MATCH(B33,'Diesel Generators PTE'!$S$5:$X$5,0))</f>
        <v>7.1135999999999997E-4</v>
      </c>
      <c r="M33" s="509">
        <f t="shared" si="1"/>
        <v>3.7345771796666667E-6</v>
      </c>
      <c r="N33" s="284"/>
    </row>
    <row r="34" spans="1:14" ht="15.75" x14ac:dyDescent="0.25">
      <c r="A34" s="492"/>
      <c r="B34" s="508" t="s">
        <v>37</v>
      </c>
      <c r="C34" s="339" t="s">
        <v>237</v>
      </c>
      <c r="D34" s="340" t="s">
        <v>238</v>
      </c>
      <c r="E34" s="339" t="s">
        <v>214</v>
      </c>
      <c r="F34" s="344">
        <v>0</v>
      </c>
      <c r="G34" s="339">
        <v>1.7261</v>
      </c>
      <c r="H34" s="339" t="s">
        <v>231</v>
      </c>
      <c r="I34" s="343" t="s">
        <v>232</v>
      </c>
      <c r="J34" s="85">
        <f>INDEX('Diesel Generators PTE'!$M$6:$R$56,MATCH(C34,'Diesel Generators PTE'!$I$6:$I$56,0),MATCH(B34,'Diesel Generators PTE'!$M$5:$R$5,0))</f>
        <v>3.1421183327733329</v>
      </c>
      <c r="K34" s="85">
        <f t="shared" si="0"/>
        <v>4.5194092509611389E-5</v>
      </c>
      <c r="L34" s="85">
        <f>INDEX('Diesel Generators PTE'!$S$6:$X$56,MATCH(C34,'Diesel Generators PTE'!$I$6:$I$56,0),MATCH(B34,'Diesel Generators PTE'!$S$5:$X$5,0))</f>
        <v>0.82415659421333332</v>
      </c>
      <c r="M34" s="509">
        <f t="shared" si="1"/>
        <v>4.3267493381985433E-3</v>
      </c>
      <c r="N34" s="284"/>
    </row>
    <row r="35" spans="1:14" ht="15.75" x14ac:dyDescent="0.25">
      <c r="A35" s="492"/>
      <c r="B35" s="508" t="s">
        <v>37</v>
      </c>
      <c r="C35" s="339" t="s">
        <v>239</v>
      </c>
      <c r="D35" s="340" t="s">
        <v>240</v>
      </c>
      <c r="E35" s="339" t="s">
        <v>214</v>
      </c>
      <c r="F35" s="344">
        <v>0</v>
      </c>
      <c r="G35" s="339">
        <v>1E-4</v>
      </c>
      <c r="H35" s="339" t="s">
        <v>231</v>
      </c>
      <c r="I35" s="343" t="s">
        <v>232</v>
      </c>
      <c r="J35" s="85">
        <f>INDEX('Diesel Generators PTE'!$M$6:$R$56,MATCH(C35,'Diesel Generators PTE'!$I$6:$I$56,0),MATCH(B35,'Diesel Generators PTE'!$M$5:$R$5,0))</f>
        <v>1.7784000000000002E-4</v>
      </c>
      <c r="K35" s="85">
        <f t="shared" si="0"/>
        <v>2.5579295751141554E-9</v>
      </c>
      <c r="L35" s="85">
        <f>INDEX('Diesel Generators PTE'!$S$6:$X$56,MATCH(C35,'Diesel Generators PTE'!$I$6:$I$56,0),MATCH(B35,'Diesel Generators PTE'!$S$5:$X$5,0))</f>
        <v>4.7423999999999999E-5</v>
      </c>
      <c r="M35" s="509">
        <f t="shared" si="1"/>
        <v>2.4897181197777777E-7</v>
      </c>
      <c r="N35" s="284"/>
    </row>
    <row r="36" spans="1:14" ht="15.75" x14ac:dyDescent="0.25">
      <c r="A36" s="492"/>
      <c r="B36" s="508" t="s">
        <v>37</v>
      </c>
      <c r="C36" s="339" t="s">
        <v>218</v>
      </c>
      <c r="D36" s="340" t="s">
        <v>219</v>
      </c>
      <c r="E36" s="339" t="s">
        <v>214</v>
      </c>
      <c r="F36" s="344">
        <v>0</v>
      </c>
      <c r="G36" s="339">
        <v>1.6000000000000001E-3</v>
      </c>
      <c r="H36" s="339" t="s">
        <v>231</v>
      </c>
      <c r="I36" s="343" t="s">
        <v>232</v>
      </c>
      <c r="J36" s="85">
        <f>INDEX('Diesel Generators PTE'!$M$6:$R$56,MATCH(C36,'Diesel Generators PTE'!$I$6:$I$56,0),MATCH(B36,'Diesel Generators PTE'!$M$5:$R$5,0))</f>
        <v>2.8454400000000003E-3</v>
      </c>
      <c r="K36" s="85">
        <f t="shared" si="0"/>
        <v>4.0926873201826487E-8</v>
      </c>
      <c r="L36" s="85">
        <f>INDEX('Diesel Generators PTE'!$S$6:$X$56,MATCH(C36,'Diesel Generators PTE'!$I$6:$I$56,0),MATCH(B36,'Diesel Generators PTE'!$S$5:$X$5,0))</f>
        <v>7.5878399999999998E-4</v>
      </c>
      <c r="M36" s="509">
        <f t="shared" si="1"/>
        <v>3.9835489916444443E-6</v>
      </c>
      <c r="N36" s="284"/>
    </row>
    <row r="37" spans="1:14" ht="15.75" x14ac:dyDescent="0.25">
      <c r="A37" s="492"/>
      <c r="B37" s="508" t="s">
        <v>37</v>
      </c>
      <c r="C37" s="339" t="s">
        <v>241</v>
      </c>
      <c r="D37" s="340" t="s">
        <v>242</v>
      </c>
      <c r="E37" s="339" t="s">
        <v>214</v>
      </c>
      <c r="F37" s="344">
        <v>0</v>
      </c>
      <c r="G37" s="339">
        <v>8.3000000000000001E-3</v>
      </c>
      <c r="H37" s="339" t="s">
        <v>231</v>
      </c>
      <c r="I37" s="343" t="s">
        <v>232</v>
      </c>
      <c r="J37" s="85">
        <f>INDEX('Diesel Generators PTE'!$M$6:$R$56,MATCH(C37,'Diesel Generators PTE'!$I$6:$I$56,0),MATCH(B37,'Diesel Generators PTE'!$M$5:$R$5,0))</f>
        <v>1.476072E-2</v>
      </c>
      <c r="K37" s="85">
        <f t="shared" si="0"/>
        <v>2.1230815473447492E-7</v>
      </c>
      <c r="L37" s="85">
        <f>INDEX('Diesel Generators PTE'!$S$6:$X$56,MATCH(C37,'Diesel Generators PTE'!$I$6:$I$56,0),MATCH(B37,'Diesel Generators PTE'!$S$5:$X$5,0))</f>
        <v>3.9361919999999998E-3</v>
      </c>
      <c r="M37" s="509">
        <f t="shared" si="1"/>
        <v>2.0664660394155557E-5</v>
      </c>
      <c r="N37" s="284"/>
    </row>
    <row r="38" spans="1:14" ht="15.75" x14ac:dyDescent="0.25">
      <c r="A38" s="492"/>
      <c r="B38" s="508" t="s">
        <v>37</v>
      </c>
      <c r="C38" s="339">
        <v>365</v>
      </c>
      <c r="D38" s="340" t="s">
        <v>243</v>
      </c>
      <c r="E38" s="339" t="s">
        <v>214</v>
      </c>
      <c r="F38" s="344">
        <v>0</v>
      </c>
      <c r="G38" s="339">
        <v>3.8999999999999998E-3</v>
      </c>
      <c r="H38" s="339" t="s">
        <v>231</v>
      </c>
      <c r="I38" s="343" t="s">
        <v>232</v>
      </c>
      <c r="J38" s="85">
        <f>INDEX('Diesel Generators PTE'!$M$6:$R$56,MATCH(C38,'Diesel Generators PTE'!$I$6:$I$56,0),MATCH(B38,'Diesel Generators PTE'!$M$5:$R$5,0))</f>
        <v>6.93576E-3</v>
      </c>
      <c r="K38" s="85">
        <f t="shared" si="0"/>
        <v>9.9759253429452048E-8</v>
      </c>
      <c r="L38" s="85">
        <f>INDEX('Diesel Generators PTE'!$S$6:$X$56,MATCH(C38,'Diesel Generators PTE'!$I$6:$I$56,0),MATCH(B38,'Diesel Generators PTE'!$S$5:$X$5,0))</f>
        <v>1.8495359999999999E-3</v>
      </c>
      <c r="M38" s="509">
        <f t="shared" si="1"/>
        <v>9.7099006671333323E-6</v>
      </c>
      <c r="N38" s="284"/>
    </row>
    <row r="39" spans="1:14" ht="15.75" x14ac:dyDescent="0.25">
      <c r="A39" s="492"/>
      <c r="B39" s="508" t="s">
        <v>37</v>
      </c>
      <c r="C39" s="339" t="s">
        <v>244</v>
      </c>
      <c r="D39" s="340" t="s">
        <v>245</v>
      </c>
      <c r="E39" s="339" t="s">
        <v>214</v>
      </c>
      <c r="F39" s="344">
        <v>0</v>
      </c>
      <c r="G39" s="339">
        <v>1.9699999999999999E-2</v>
      </c>
      <c r="H39" s="339" t="s">
        <v>231</v>
      </c>
      <c r="I39" s="343" t="s">
        <v>232</v>
      </c>
      <c r="J39" s="85">
        <f>INDEX('Diesel Generators PTE'!$M$6:$R$56,MATCH(C39,'Diesel Generators PTE'!$I$6:$I$56,0),MATCH(B39,'Diesel Generators PTE'!$M$5:$R$5,0))</f>
        <v>3.586103421333333E-2</v>
      </c>
      <c r="K39" s="85">
        <f t="shared" si="0"/>
        <v>5.1580071979569234E-7</v>
      </c>
      <c r="L39" s="85">
        <f>INDEX('Diesel Generators PTE'!$S$6:$X$56,MATCH(C39,'Diesel Generators PTE'!$I$6:$I$56,0),MATCH(B39,'Diesel Generators PTE'!$S$5:$X$5,0))</f>
        <v>9.4061090933333317E-3</v>
      </c>
      <c r="M39" s="509">
        <f t="shared" si="1"/>
        <v>4.9381242084764087E-5</v>
      </c>
      <c r="N39" s="284"/>
    </row>
    <row r="40" spans="1:14" ht="15.75" x14ac:dyDescent="0.25">
      <c r="A40" s="492"/>
      <c r="B40" s="508" t="s">
        <v>37</v>
      </c>
      <c r="C40" s="339">
        <v>401</v>
      </c>
      <c r="D40" s="340" t="s">
        <v>246</v>
      </c>
      <c r="E40" s="339" t="s">
        <v>214</v>
      </c>
      <c r="F40" s="344">
        <v>0</v>
      </c>
      <c r="G40" s="339">
        <v>3.6200000000000003E-2</v>
      </c>
      <c r="H40" s="339" t="s">
        <v>231</v>
      </c>
      <c r="I40" s="343" t="s">
        <v>232</v>
      </c>
      <c r="J40" s="85">
        <f>INDEX('Diesel Generators PTE'!$M$6:$R$56,MATCH(C40,'Diesel Generators PTE'!$I$6:$I$56,0),MATCH(B40,'Diesel Generators PTE'!$M$5:$R$5,0))</f>
        <v>6.589692581333334E-2</v>
      </c>
      <c r="K40" s="85">
        <f t="shared" si="0"/>
        <v>9.4781655109665298E-7</v>
      </c>
      <c r="L40" s="85">
        <f>INDEX('Diesel Generators PTE'!$S$6:$X$56,MATCH(C40,'Diesel Generators PTE'!$I$6:$I$56,0),MATCH(B40,'Diesel Generators PTE'!$S$5:$X$5,0))</f>
        <v>1.7284322293333335E-2</v>
      </c>
      <c r="M40" s="509">
        <f t="shared" si="1"/>
        <v>9.0741165658297481E-5</v>
      </c>
      <c r="N40" s="284"/>
    </row>
    <row r="41" spans="1:14" ht="15.75" x14ac:dyDescent="0.25">
      <c r="A41" s="492"/>
      <c r="B41" s="508" t="s">
        <v>37</v>
      </c>
      <c r="C41" s="339" t="s">
        <v>247</v>
      </c>
      <c r="D41" s="340" t="s">
        <v>248</v>
      </c>
      <c r="E41" s="339" t="s">
        <v>214</v>
      </c>
      <c r="F41" s="344">
        <v>0</v>
      </c>
      <c r="G41" s="339">
        <v>0.7833</v>
      </c>
      <c r="H41" s="339" t="s">
        <v>231</v>
      </c>
      <c r="I41" s="343" t="s">
        <v>232</v>
      </c>
      <c r="J41" s="85">
        <f>INDEX('Diesel Generators PTE'!$M$6:$R$56,MATCH(C41,'Diesel Generators PTE'!$I$6:$I$56,0),MATCH(B41,'Diesel Generators PTE'!$M$5:$R$5,0))</f>
        <v>1.4258856903199999</v>
      </c>
      <c r="K41" s="85">
        <f t="shared" si="0"/>
        <v>2.0508969736851052E-5</v>
      </c>
      <c r="L41" s="85">
        <f>INDEX('Diesel Generators PTE'!$S$6:$X$56,MATCH(C41,'Diesel Generators PTE'!$I$6:$I$56,0),MATCH(B41,'Diesel Generators PTE'!$S$5:$X$5,0))</f>
        <v>0.37400026663999997</v>
      </c>
      <c r="M41" s="509">
        <f t="shared" si="1"/>
        <v>1.9634683718271935E-3</v>
      </c>
      <c r="N41" s="284"/>
    </row>
    <row r="42" spans="1:14" ht="15.75" x14ac:dyDescent="0.25">
      <c r="A42" s="492"/>
      <c r="B42" s="508" t="s">
        <v>37</v>
      </c>
      <c r="C42" s="339" t="s">
        <v>249</v>
      </c>
      <c r="D42" s="340" t="s">
        <v>250</v>
      </c>
      <c r="E42" s="339" t="s">
        <v>214</v>
      </c>
      <c r="F42" s="344">
        <v>0</v>
      </c>
      <c r="G42" s="339">
        <v>3.39E-2</v>
      </c>
      <c r="H42" s="339" t="s">
        <v>231</v>
      </c>
      <c r="I42" s="343" t="s">
        <v>232</v>
      </c>
      <c r="J42" s="85">
        <f>INDEX('Diesel Generators PTE'!$M$6:$R$56,MATCH(C42,'Diesel Generators PTE'!$I$6:$I$56,0),MATCH(B42,'Diesel Generators PTE'!$M$5:$R$5,0))</f>
        <v>6.1710104559999993E-2</v>
      </c>
      <c r="K42" s="85">
        <f t="shared" si="0"/>
        <v>8.8759616249106431E-7</v>
      </c>
      <c r="L42" s="85">
        <f>INDEX('Diesel Generators PTE'!$S$6:$X$56,MATCH(C42,'Diesel Generators PTE'!$I$6:$I$56,0),MATCH(B42,'Diesel Generators PTE'!$S$5:$X$5,0))</f>
        <v>1.6186147120000001E-2</v>
      </c>
      <c r="M42" s="509">
        <f t="shared" si="1"/>
        <v>8.4975842978350419E-5</v>
      </c>
      <c r="N42" s="284"/>
    </row>
    <row r="43" spans="1:14" ht="15.75" x14ac:dyDescent="0.25">
      <c r="A43" s="492"/>
      <c r="B43" s="508" t="s">
        <v>37</v>
      </c>
      <c r="C43" s="339" t="s">
        <v>251</v>
      </c>
      <c r="D43" s="340" t="s">
        <v>252</v>
      </c>
      <c r="E43" s="339" t="s">
        <v>214</v>
      </c>
      <c r="F43" s="344">
        <v>0</v>
      </c>
      <c r="G43" s="339">
        <v>0.8</v>
      </c>
      <c r="H43" s="339" t="s">
        <v>231</v>
      </c>
      <c r="I43" s="343" t="s">
        <v>232</v>
      </c>
      <c r="J43" s="85">
        <f>INDEX('Diesel Generators PTE'!$M$6:$R$56,MATCH(C43,'Diesel Generators PTE'!$I$6:$I$56,0),MATCH(B43,'Diesel Generators PTE'!$M$5:$R$5,0))</f>
        <v>1.42272</v>
      </c>
      <c r="K43" s="85">
        <f t="shared" si="0"/>
        <v>2.0463436600913243E-5</v>
      </c>
      <c r="L43" s="85">
        <f>INDEX('Diesel Generators PTE'!$S$6:$X$56,MATCH(C43,'Diesel Generators PTE'!$I$6:$I$56,0),MATCH(B43,'Diesel Generators PTE'!$S$5:$X$5,0))</f>
        <v>0.37939200000000001</v>
      </c>
      <c r="M43" s="509">
        <f t="shared" si="1"/>
        <v>1.9917744958222222E-3</v>
      </c>
      <c r="N43" s="284"/>
    </row>
    <row r="44" spans="1:14" ht="15.75" x14ac:dyDescent="0.25">
      <c r="A44" s="492"/>
      <c r="B44" s="508" t="s">
        <v>37</v>
      </c>
      <c r="C44" s="339" t="s">
        <v>253</v>
      </c>
      <c r="D44" s="340" t="s">
        <v>254</v>
      </c>
      <c r="E44" s="339" t="s">
        <v>214</v>
      </c>
      <c r="F44" s="344">
        <v>0</v>
      </c>
      <c r="G44" s="339">
        <v>4.1000000000000003E-3</v>
      </c>
      <c r="H44" s="339" t="s">
        <v>231</v>
      </c>
      <c r="I44" s="343" t="s">
        <v>232</v>
      </c>
      <c r="J44" s="85">
        <f>INDEX('Diesel Generators PTE'!$M$6:$R$56,MATCH(C44,'Diesel Generators PTE'!$I$6:$I$56,0),MATCH(B44,'Diesel Generators PTE'!$M$5:$R$5,0))</f>
        <v>7.2914400000000006E-3</v>
      </c>
      <c r="K44" s="85">
        <f t="shared" si="0"/>
        <v>1.0487511257968038E-7</v>
      </c>
      <c r="L44" s="85">
        <f>INDEX('Diesel Generators PTE'!$S$6:$X$56,MATCH(C44,'Diesel Generators PTE'!$I$6:$I$56,0),MATCH(B44,'Diesel Generators PTE'!$S$5:$X$5,0))</f>
        <v>1.9443840000000002E-3</v>
      </c>
      <c r="M44" s="509">
        <f t="shared" si="1"/>
        <v>1.0207844291088889E-5</v>
      </c>
      <c r="N44" s="284"/>
    </row>
    <row r="45" spans="1:14" ht="15.75" x14ac:dyDescent="0.25">
      <c r="A45" s="492"/>
      <c r="B45" s="508" t="s">
        <v>37</v>
      </c>
      <c r="C45" s="339" t="s">
        <v>255</v>
      </c>
      <c r="D45" s="340" t="s">
        <v>256</v>
      </c>
      <c r="E45" s="339" t="s">
        <v>214</v>
      </c>
      <c r="F45" s="344">
        <v>0</v>
      </c>
      <c r="G45" s="339">
        <v>1.09E-2</v>
      </c>
      <c r="H45" s="339" t="s">
        <v>231</v>
      </c>
      <c r="I45" s="343" t="s">
        <v>232</v>
      </c>
      <c r="J45" s="85">
        <f>INDEX('Diesel Generators PTE'!$M$6:$R$56,MATCH(C45,'Diesel Generators PTE'!$I$6:$I$56,0),MATCH(B45,'Diesel Generators PTE'!$M$5:$R$5,0))</f>
        <v>1.9841892026666665E-2</v>
      </c>
      <c r="K45" s="85">
        <f t="shared" si="0"/>
        <v>2.8539227643518E-7</v>
      </c>
      <c r="L45" s="85">
        <f>INDEX('Diesel Generators PTE'!$S$6:$X$56,MATCH(C45,'Diesel Generators PTE'!$I$6:$I$56,0),MATCH(B45,'Diesel Generators PTE'!$S$5:$X$5,0))</f>
        <v>5.2043953866666662E-3</v>
      </c>
      <c r="M45" s="509">
        <f t="shared" si="1"/>
        <v>2.7322616178879628E-5</v>
      </c>
      <c r="N45" s="284"/>
    </row>
    <row r="46" spans="1:14" ht="15.75" x14ac:dyDescent="0.25">
      <c r="A46" s="492"/>
      <c r="B46" s="508" t="s">
        <v>37</v>
      </c>
      <c r="C46" s="339" t="s">
        <v>257</v>
      </c>
      <c r="D46" s="340" t="s">
        <v>258</v>
      </c>
      <c r="E46" s="339" t="s">
        <v>214</v>
      </c>
      <c r="F46" s="344">
        <v>0</v>
      </c>
      <c r="G46" s="339">
        <v>2.69E-2</v>
      </c>
      <c r="H46" s="339" t="s">
        <v>231</v>
      </c>
      <c r="I46" s="343" t="s">
        <v>232</v>
      </c>
      <c r="J46" s="85">
        <f>INDEX('Diesel Generators PTE'!$M$6:$R$56,MATCH(C46,'Diesel Generators PTE'!$I$6:$I$56,0),MATCH(B46,'Diesel Generators PTE'!$M$5:$R$5,0))</f>
        <v>4.8967605093333332E-2</v>
      </c>
      <c r="K46" s="85">
        <f t="shared" si="0"/>
        <v>7.0431671890883877E-7</v>
      </c>
      <c r="L46" s="85">
        <f>INDEX('Diesel Generators PTE'!$S$6:$X$56,MATCH(C46,'Diesel Generators PTE'!$I$6:$I$56,0),MATCH(B46,'Diesel Generators PTE'!$S$5:$X$5,0))</f>
        <v>1.2843874853333333E-2</v>
      </c>
      <c r="M46" s="509">
        <f t="shared" si="1"/>
        <v>6.7429208735033213E-5</v>
      </c>
      <c r="N46" s="284"/>
    </row>
    <row r="47" spans="1:14" ht="15.75" x14ac:dyDescent="0.25">
      <c r="A47" s="492"/>
      <c r="B47" s="508" t="s">
        <v>37</v>
      </c>
      <c r="C47" s="339" t="s">
        <v>259</v>
      </c>
      <c r="D47" s="340" t="s">
        <v>260</v>
      </c>
      <c r="E47" s="339" t="s">
        <v>214</v>
      </c>
      <c r="F47" s="344">
        <v>0</v>
      </c>
      <c r="G47" s="339">
        <v>0.18629999999999999</v>
      </c>
      <c r="H47" s="339" t="s">
        <v>231</v>
      </c>
      <c r="I47" s="343" t="s">
        <v>232</v>
      </c>
      <c r="J47" s="85">
        <f>INDEX('Diesel Generators PTE'!$M$6:$R$56,MATCH(C47,'Diesel Generators PTE'!$I$6:$I$56,0),MATCH(B47,'Diesel Generators PTE'!$M$5:$R$5,0))</f>
        <v>0.33913252151999995</v>
      </c>
      <c r="K47" s="85">
        <f t="shared" si="0"/>
        <v>4.8778514770526638E-6</v>
      </c>
      <c r="L47" s="85">
        <f>INDEX('Diesel Generators PTE'!$S$6:$X$56,MATCH(C47,'Diesel Generators PTE'!$I$6:$I$56,0),MATCH(B47,'Diesel Generators PTE'!$S$5:$X$5,0))</f>
        <v>8.895218903999999E-2</v>
      </c>
      <c r="M47" s="509">
        <f t="shared" si="1"/>
        <v>4.6699113707571324E-4</v>
      </c>
      <c r="N47" s="284"/>
    </row>
    <row r="48" spans="1:14" ht="15.75" x14ac:dyDescent="0.25">
      <c r="A48" s="492"/>
      <c r="B48" s="508" t="s">
        <v>37</v>
      </c>
      <c r="C48" s="339" t="s">
        <v>261</v>
      </c>
      <c r="D48" s="340" t="s">
        <v>262</v>
      </c>
      <c r="E48" s="339" t="s">
        <v>214</v>
      </c>
      <c r="F48" s="344">
        <v>0</v>
      </c>
      <c r="G48" s="339">
        <v>3.0999999999999999E-3</v>
      </c>
      <c r="H48" s="339" t="s">
        <v>231</v>
      </c>
      <c r="I48" s="343" t="s">
        <v>232</v>
      </c>
      <c r="J48" s="85">
        <f>INDEX('Diesel Generators PTE'!$M$6:$R$56,MATCH(C48,'Diesel Generators PTE'!$I$6:$I$56,0),MATCH(B48,'Diesel Generators PTE'!$M$5:$R$5,0))</f>
        <v>5.5130399999999994E-3</v>
      </c>
      <c r="K48" s="85">
        <f t="shared" si="0"/>
        <v>7.9295816828538808E-8</v>
      </c>
      <c r="L48" s="85">
        <f>INDEX('Diesel Generators PTE'!$S$6:$X$56,MATCH(C48,'Diesel Generators PTE'!$I$6:$I$56,0),MATCH(B48,'Diesel Generators PTE'!$S$5:$X$5,0))</f>
        <v>1.4701439999999998E-3</v>
      </c>
      <c r="M48" s="509">
        <f t="shared" si="1"/>
        <v>7.7181261713111101E-6</v>
      </c>
      <c r="N48" s="284"/>
    </row>
    <row r="49" spans="1:14" ht="15.75" x14ac:dyDescent="0.25">
      <c r="A49" s="492"/>
      <c r="B49" s="508" t="s">
        <v>37</v>
      </c>
      <c r="C49" s="339" t="s">
        <v>263</v>
      </c>
      <c r="D49" s="340" t="s">
        <v>264</v>
      </c>
      <c r="E49" s="339" t="s">
        <v>214</v>
      </c>
      <c r="F49" s="344">
        <v>0</v>
      </c>
      <c r="G49" s="339">
        <v>2E-3</v>
      </c>
      <c r="H49" s="339" t="s">
        <v>231</v>
      </c>
      <c r="I49" s="343" t="s">
        <v>232</v>
      </c>
      <c r="J49" s="85">
        <f>INDEX('Diesel Generators PTE'!$M$6:$R$56,MATCH(C49,'Diesel Generators PTE'!$I$6:$I$56,0),MATCH(B49,'Diesel Generators PTE'!$M$5:$R$5,0))</f>
        <v>3.5568000000000002E-3</v>
      </c>
      <c r="K49" s="85">
        <f t="shared" si="0"/>
        <v>5.1158591502283107E-8</v>
      </c>
      <c r="L49" s="85">
        <f>INDEX('Diesel Generators PTE'!$S$6:$X$56,MATCH(C49,'Diesel Generators PTE'!$I$6:$I$56,0),MATCH(B49,'Diesel Generators PTE'!$S$5:$X$5,0))</f>
        <v>9.4848000000000003E-4</v>
      </c>
      <c r="M49" s="509">
        <f t="shared" si="1"/>
        <v>4.9794362395555562E-6</v>
      </c>
      <c r="N49" s="284"/>
    </row>
    <row r="50" spans="1:14" ht="15.75" x14ac:dyDescent="0.25">
      <c r="A50" s="492"/>
      <c r="B50" s="508" t="s">
        <v>37</v>
      </c>
      <c r="C50" s="339" t="s">
        <v>265</v>
      </c>
      <c r="D50" s="340" t="s">
        <v>266</v>
      </c>
      <c r="E50" s="339" t="s">
        <v>214</v>
      </c>
      <c r="F50" s="344">
        <v>0</v>
      </c>
      <c r="G50" s="339">
        <v>2.2000000000000001E-3</v>
      </c>
      <c r="H50" s="339" t="s">
        <v>231</v>
      </c>
      <c r="I50" s="343" t="s">
        <v>232</v>
      </c>
      <c r="J50" s="85">
        <f>INDEX('Diesel Generators PTE'!$M$6:$R$56,MATCH(C50,'Diesel Generators PTE'!$I$6:$I$56,0),MATCH(B50,'Diesel Generators PTE'!$M$5:$R$5,0))</f>
        <v>3.9124800000000003E-3</v>
      </c>
      <c r="K50" s="85">
        <f t="shared" si="0"/>
        <v>5.6274450652511423E-8</v>
      </c>
      <c r="L50" s="85">
        <f>INDEX('Diesel Generators PTE'!$S$6:$X$56,MATCH(C50,'Diesel Generators PTE'!$I$6:$I$56,0),MATCH(B50,'Diesel Generators PTE'!$S$5:$X$5,0))</f>
        <v>1.0433280000000001E-3</v>
      </c>
      <c r="M50" s="509">
        <f t="shared" si="1"/>
        <v>5.4773798635111113E-6</v>
      </c>
      <c r="N50" s="284"/>
    </row>
    <row r="51" spans="1:14" ht="15.75" x14ac:dyDescent="0.25">
      <c r="A51" s="492"/>
      <c r="B51" s="508" t="s">
        <v>37</v>
      </c>
      <c r="C51" s="339" t="s">
        <v>267</v>
      </c>
      <c r="D51" s="340" t="s">
        <v>268</v>
      </c>
      <c r="E51" s="339" t="s">
        <v>214</v>
      </c>
      <c r="F51" s="344">
        <v>0</v>
      </c>
      <c r="G51" s="339">
        <v>0.10539999999999999</v>
      </c>
      <c r="H51" s="339" t="s">
        <v>231</v>
      </c>
      <c r="I51" s="343" t="s">
        <v>232</v>
      </c>
      <c r="J51" s="85">
        <f>INDEX('Diesel Generators PTE'!$M$6:$R$56,MATCH(C51,'Diesel Generators PTE'!$I$6:$I$56,0),MATCH(B51,'Diesel Generators PTE'!$M$5:$R$5,0))</f>
        <v>0.19186563482666663</v>
      </c>
      <c r="K51" s="85">
        <f t="shared" si="0"/>
        <v>2.7596647647952264E-6</v>
      </c>
      <c r="L51" s="85">
        <f>INDEX('Diesel Generators PTE'!$S$6:$X$56,MATCH(C51,'Diesel Generators PTE'!$I$6:$I$56,0),MATCH(B51,'Diesel Generators PTE'!$S$5:$X$5,0))</f>
        <v>5.0325070986666658E-2</v>
      </c>
      <c r="M51" s="509">
        <f t="shared" si="1"/>
        <v>2.6420217846366166E-4</v>
      </c>
      <c r="N51" s="284"/>
    </row>
    <row r="52" spans="1:14" ht="15.75" x14ac:dyDescent="0.25">
      <c r="A52" s="492"/>
      <c r="B52" s="508" t="s">
        <v>37</v>
      </c>
      <c r="C52" s="339" t="s">
        <v>269</v>
      </c>
      <c r="D52" s="340" t="s">
        <v>270</v>
      </c>
      <c r="E52" s="339" t="s">
        <v>214</v>
      </c>
      <c r="F52" s="344">
        <v>0</v>
      </c>
      <c r="G52" s="339">
        <v>4.24E-2</v>
      </c>
      <c r="H52" s="339" t="s">
        <v>231</v>
      </c>
      <c r="I52" s="343" t="s">
        <v>232</v>
      </c>
      <c r="J52" s="85">
        <f>INDEX('Diesel Generators PTE'!$M$6:$R$56,MATCH(C52,'Diesel Generators PTE'!$I$6:$I$56,0),MATCH(B52,'Diesel Generators PTE'!$M$5:$R$5,0))</f>
        <v>7.7183139626666661E-2</v>
      </c>
      <c r="K52" s="85">
        <f t="shared" si="0"/>
        <v>1.1101497725551955E-6</v>
      </c>
      <c r="L52" s="85">
        <f>INDEX('Diesel Generators PTE'!$S$6:$X$56,MATCH(C52,'Diesel Generators PTE'!$I$6:$I$56,0),MATCH(B52,'Diesel Generators PTE'!$S$5:$X$5,0))</f>
        <v>2.0244620586666668E-2</v>
      </c>
      <c r="M52" s="509">
        <f t="shared" si="1"/>
        <v>1.0628247027380701E-4</v>
      </c>
      <c r="N52" s="284"/>
    </row>
    <row r="53" spans="1:14" ht="15.75" x14ac:dyDescent="0.25">
      <c r="A53" s="492"/>
      <c r="B53" s="508" t="s">
        <v>37</v>
      </c>
      <c r="C53" s="339">
        <v>200</v>
      </c>
      <c r="D53" s="340" t="s">
        <v>271</v>
      </c>
      <c r="E53" s="339" t="s">
        <v>214</v>
      </c>
      <c r="F53" s="344">
        <v>0</v>
      </c>
      <c r="G53" s="339">
        <v>33.5</v>
      </c>
      <c r="H53" s="339" t="s">
        <v>231</v>
      </c>
      <c r="I53" s="343" t="s">
        <v>232</v>
      </c>
      <c r="J53" s="85">
        <f>INDEX('Diesel Generators PTE'!$M$6:$R$56,MATCH(C53,'Diesel Generators PTE'!$I$6:$I$56,0),MATCH(B53,'Diesel Generators PTE'!$M$5:$R$5,0))</f>
        <v>60.981961733333328</v>
      </c>
      <c r="K53" s="85">
        <f t="shared" si="0"/>
        <v>8.7712305142922291E-4</v>
      </c>
      <c r="L53" s="85">
        <f>INDEX('Diesel Generators PTE'!$S$6:$X$56,MATCH(C53,'Diesel Generators PTE'!$I$6:$I$56,0),MATCH(B53,'Diesel Generators PTE'!$S$5:$X$5,0))</f>
        <v>15.995160133333332</v>
      </c>
      <c r="M53" s="509">
        <f t="shared" si="1"/>
        <v>8.3973178164446549E-2</v>
      </c>
      <c r="N53" s="284"/>
    </row>
    <row r="54" spans="1:14" ht="15.75" x14ac:dyDescent="0.25">
      <c r="A54" s="492"/>
      <c r="B54" s="508" t="s">
        <v>39</v>
      </c>
      <c r="C54" s="339" t="s">
        <v>221</v>
      </c>
      <c r="D54" s="340" t="s">
        <v>222</v>
      </c>
      <c r="E54" s="339" t="s">
        <v>214</v>
      </c>
      <c r="F54" s="341">
        <v>0</v>
      </c>
      <c r="G54" s="339">
        <v>0.18629999999999999</v>
      </c>
      <c r="H54" s="339" t="s">
        <v>231</v>
      </c>
      <c r="I54" s="343" t="s">
        <v>232</v>
      </c>
      <c r="J54" s="85">
        <f>INDEX('Diesel Generators PTE'!$M$6:$R$56,MATCH(C54,'Diesel Generators PTE'!$I$6:$I$56,0),MATCH(B54,'Diesel Generators PTE'!$M$5:$R$5,0))</f>
        <v>0.42574632677999991</v>
      </c>
      <c r="K54" s="85">
        <f t="shared" si="0"/>
        <v>6.123645528378191E-6</v>
      </c>
      <c r="L54" s="85">
        <f>INDEX('Diesel Generators PTE'!$S$6:$X$56,MATCH(C54,'Diesel Generators PTE'!$I$6:$I$56,0),MATCH(B54,'Diesel Generators PTE'!$S$5:$X$5,0))</f>
        <v>0.11167041005999999</v>
      </c>
      <c r="M54" s="509">
        <f t="shared" si="1"/>
        <v>5.8625979118040786E-4</v>
      </c>
      <c r="N54" s="284"/>
    </row>
    <row r="55" spans="1:14" ht="15.75" x14ac:dyDescent="0.25">
      <c r="A55" s="492"/>
      <c r="B55" s="508" t="s">
        <v>39</v>
      </c>
      <c r="C55" s="339" t="s">
        <v>233</v>
      </c>
      <c r="D55" s="340" t="s">
        <v>234</v>
      </c>
      <c r="E55" s="339" t="s">
        <v>214</v>
      </c>
      <c r="F55" s="341">
        <v>0</v>
      </c>
      <c r="G55" s="339">
        <v>0.21740000000000001</v>
      </c>
      <c r="H55" s="339" t="s">
        <v>231</v>
      </c>
      <c r="I55" s="343" t="s">
        <v>232</v>
      </c>
      <c r="J55" s="85">
        <f>INDEX('Diesel Generators PTE'!$M$6:$R$56,MATCH(C55,'Diesel Generators PTE'!$I$6:$I$56,0),MATCH(B55,'Diesel Generators PTE'!$M$5:$R$5,0))</f>
        <v>0.49681831155111106</v>
      </c>
      <c r="K55" s="85">
        <f t="shared" si="0"/>
        <v>7.1458966069211968E-6</v>
      </c>
      <c r="L55" s="85">
        <f>INDEX('Diesel Generators PTE'!$S$6:$X$56,MATCH(C55,'Diesel Generators PTE'!$I$6:$I$56,0),MATCH(B55,'Diesel Generators PTE'!$S$5:$X$5,0))</f>
        <v>0.13031211565777778</v>
      </c>
      <c r="M55" s="509">
        <f t="shared" si="1"/>
        <v>6.8412709931626775E-4</v>
      </c>
      <c r="N55" s="284"/>
    </row>
    <row r="56" spans="1:14" ht="15.75" x14ac:dyDescent="0.25">
      <c r="A56" s="492"/>
      <c r="B56" s="508" t="s">
        <v>39</v>
      </c>
      <c r="C56" s="339" t="s">
        <v>235</v>
      </c>
      <c r="D56" s="340" t="s">
        <v>236</v>
      </c>
      <c r="E56" s="339" t="s">
        <v>214</v>
      </c>
      <c r="F56" s="341">
        <v>0</v>
      </c>
      <c r="G56" s="339">
        <v>1.5E-3</v>
      </c>
      <c r="H56" s="339" t="s">
        <v>231</v>
      </c>
      <c r="I56" s="343" t="s">
        <v>232</v>
      </c>
      <c r="J56" s="85">
        <f>INDEX('Diesel Generators PTE'!$M$6:$R$56,MATCH(C56,'Diesel Generators PTE'!$I$6:$I$56,0),MATCH(B56,'Diesel Generators PTE'!$M$5:$R$5,0))</f>
        <v>3.3488999999999997E-3</v>
      </c>
      <c r="K56" s="85">
        <f t="shared" si="0"/>
        <v>4.8168299337043374E-8</v>
      </c>
      <c r="L56" s="85">
        <f>INDEX('Diesel Generators PTE'!$S$6:$X$56,MATCH(C56,'Diesel Generators PTE'!$I$6:$I$56,0),MATCH(B56,'Diesel Generators PTE'!$S$5:$X$5,0))</f>
        <v>8.9304E-4</v>
      </c>
      <c r="M56" s="509">
        <f t="shared" si="1"/>
        <v>4.6883811354722223E-6</v>
      </c>
      <c r="N56" s="284"/>
    </row>
    <row r="57" spans="1:14" ht="15.75" x14ac:dyDescent="0.25">
      <c r="A57" s="492"/>
      <c r="B57" s="508" t="s">
        <v>39</v>
      </c>
      <c r="C57" s="339" t="s">
        <v>237</v>
      </c>
      <c r="D57" s="340" t="s">
        <v>238</v>
      </c>
      <c r="E57" s="339" t="s">
        <v>214</v>
      </c>
      <c r="F57" s="344">
        <v>0</v>
      </c>
      <c r="G57" s="339">
        <v>1.7261</v>
      </c>
      <c r="H57" s="339" t="s">
        <v>231</v>
      </c>
      <c r="I57" s="343" t="s">
        <v>232</v>
      </c>
      <c r="J57" s="85">
        <f>INDEX('Diesel Generators PTE'!$M$6:$R$56,MATCH(C57,'Diesel Generators PTE'!$I$6:$I$56,0),MATCH(B57,'Diesel Generators PTE'!$M$5:$R$5,0))</f>
        <v>3.9446094184377771</v>
      </c>
      <c r="K57" s="85">
        <f t="shared" si="0"/>
        <v>5.6736578349616726E-5</v>
      </c>
      <c r="L57" s="85">
        <f>INDEX('Diesel Generators PTE'!$S$6:$X$56,MATCH(C57,'Diesel Generators PTE'!$I$6:$I$56,0),MATCH(B57,'Diesel Generators PTE'!$S$5:$X$5,0))</f>
        <v>1.0346446312644444</v>
      </c>
      <c r="M57" s="509">
        <f t="shared" si="1"/>
        <v>5.431792944479345E-3</v>
      </c>
      <c r="N57" s="284"/>
    </row>
    <row r="58" spans="1:14" ht="15.75" x14ac:dyDescent="0.25">
      <c r="A58" s="492"/>
      <c r="B58" s="508" t="s">
        <v>39</v>
      </c>
      <c r="C58" s="339" t="s">
        <v>239</v>
      </c>
      <c r="D58" s="340" t="s">
        <v>240</v>
      </c>
      <c r="E58" s="339" t="s">
        <v>214</v>
      </c>
      <c r="F58" s="344">
        <v>0</v>
      </c>
      <c r="G58" s="339">
        <v>1E-4</v>
      </c>
      <c r="H58" s="339" t="s">
        <v>231</v>
      </c>
      <c r="I58" s="343" t="s">
        <v>232</v>
      </c>
      <c r="J58" s="85">
        <f>INDEX('Diesel Generators PTE'!$M$6:$R$56,MATCH(C58,'Diesel Generators PTE'!$I$6:$I$56,0),MATCH(B58,'Diesel Generators PTE'!$M$5:$R$5,0))</f>
        <v>2.2325999999999997E-4</v>
      </c>
      <c r="K58" s="85">
        <f t="shared" si="0"/>
        <v>3.211219955802892E-9</v>
      </c>
      <c r="L58" s="85">
        <f>INDEX('Diesel Generators PTE'!$S$6:$X$56,MATCH(C58,'Diesel Generators PTE'!$I$6:$I$56,0),MATCH(B58,'Diesel Generators PTE'!$S$5:$X$5,0))</f>
        <v>5.9536000000000001E-5</v>
      </c>
      <c r="M58" s="509">
        <f t="shared" si="1"/>
        <v>3.1255874236481484E-7</v>
      </c>
      <c r="N58" s="284"/>
    </row>
    <row r="59" spans="1:14" ht="15.75" x14ac:dyDescent="0.25">
      <c r="A59" s="492"/>
      <c r="B59" s="508" t="s">
        <v>39</v>
      </c>
      <c r="C59" s="339" t="s">
        <v>218</v>
      </c>
      <c r="D59" s="340" t="s">
        <v>219</v>
      </c>
      <c r="E59" s="339" t="s">
        <v>214</v>
      </c>
      <c r="F59" s="344">
        <v>0</v>
      </c>
      <c r="G59" s="339">
        <v>1.6000000000000001E-3</v>
      </c>
      <c r="H59" s="339" t="s">
        <v>231</v>
      </c>
      <c r="I59" s="343" t="s">
        <v>232</v>
      </c>
      <c r="J59" s="85">
        <f>INDEX('Diesel Generators PTE'!$M$6:$R$56,MATCH(C59,'Diesel Generators PTE'!$I$6:$I$56,0),MATCH(B59,'Diesel Generators PTE'!$M$5:$R$5,0))</f>
        <v>3.5721599999999996E-3</v>
      </c>
      <c r="K59" s="85">
        <f t="shared" si="0"/>
        <v>5.1379519292846272E-8</v>
      </c>
      <c r="L59" s="85">
        <f>INDEX('Diesel Generators PTE'!$S$6:$X$56,MATCH(C59,'Diesel Generators PTE'!$I$6:$I$56,0),MATCH(B59,'Diesel Generators PTE'!$S$5:$X$5,0))</f>
        <v>9.5257600000000001E-4</v>
      </c>
      <c r="M59" s="509">
        <f t="shared" si="1"/>
        <v>5.0009398778370375E-6</v>
      </c>
      <c r="N59" s="284"/>
    </row>
    <row r="60" spans="1:14" ht="15.75" x14ac:dyDescent="0.25">
      <c r="A60" s="492"/>
      <c r="B60" s="508" t="s">
        <v>39</v>
      </c>
      <c r="C60" s="339" t="s">
        <v>241</v>
      </c>
      <c r="D60" s="340" t="s">
        <v>242</v>
      </c>
      <c r="E60" s="339" t="s">
        <v>214</v>
      </c>
      <c r="F60" s="344">
        <v>0</v>
      </c>
      <c r="G60" s="339">
        <v>8.3000000000000001E-3</v>
      </c>
      <c r="H60" s="339" t="s">
        <v>231</v>
      </c>
      <c r="I60" s="343" t="s">
        <v>232</v>
      </c>
      <c r="J60" s="85">
        <f>INDEX('Diesel Generators PTE'!$M$6:$R$56,MATCH(C60,'Diesel Generators PTE'!$I$6:$I$56,0),MATCH(B60,'Diesel Generators PTE'!$M$5:$R$5,0))</f>
        <v>1.8530579999999998E-2</v>
      </c>
      <c r="K60" s="85">
        <f t="shared" si="0"/>
        <v>2.6653125633164002E-7</v>
      </c>
      <c r="L60" s="85">
        <f>INDEX('Diesel Generators PTE'!$S$6:$X$56,MATCH(C60,'Diesel Generators PTE'!$I$6:$I$56,0),MATCH(B60,'Diesel Generators PTE'!$S$5:$X$5,0))</f>
        <v>4.941488E-3</v>
      </c>
      <c r="M60" s="509">
        <f t="shared" si="1"/>
        <v>2.594237561627963E-5</v>
      </c>
      <c r="N60" s="284"/>
    </row>
    <row r="61" spans="1:14" ht="15.75" x14ac:dyDescent="0.25">
      <c r="A61" s="492"/>
      <c r="B61" s="508" t="s">
        <v>39</v>
      </c>
      <c r="C61" s="339">
        <v>365</v>
      </c>
      <c r="D61" s="340" t="s">
        <v>243</v>
      </c>
      <c r="E61" s="339" t="s">
        <v>214</v>
      </c>
      <c r="F61" s="344">
        <v>0</v>
      </c>
      <c r="G61" s="339">
        <v>3.8999999999999998E-3</v>
      </c>
      <c r="H61" s="339" t="s">
        <v>231</v>
      </c>
      <c r="I61" s="343" t="s">
        <v>232</v>
      </c>
      <c r="J61" s="85">
        <f>INDEX('Diesel Generators PTE'!$M$6:$R$56,MATCH(C61,'Diesel Generators PTE'!$I$6:$I$56,0),MATCH(B61,'Diesel Generators PTE'!$M$5:$R$5,0))</f>
        <v>8.7071399999999986E-3</v>
      </c>
      <c r="K61" s="85">
        <f t="shared" si="0"/>
        <v>1.2523757827631279E-7</v>
      </c>
      <c r="L61" s="85">
        <f>INDEX('Diesel Generators PTE'!$S$6:$X$56,MATCH(C61,'Diesel Generators PTE'!$I$6:$I$56,0),MATCH(B61,'Diesel Generators PTE'!$S$5:$X$5,0))</f>
        <v>2.3219040000000001E-3</v>
      </c>
      <c r="M61" s="509">
        <f t="shared" si="1"/>
        <v>1.2189790952227779E-5</v>
      </c>
      <c r="N61" s="284"/>
    </row>
    <row r="62" spans="1:14" ht="15.75" x14ac:dyDescent="0.25">
      <c r="A62" s="492"/>
      <c r="B62" s="508" t="s">
        <v>39</v>
      </c>
      <c r="C62" s="339" t="s">
        <v>244</v>
      </c>
      <c r="D62" s="340" t="s">
        <v>245</v>
      </c>
      <c r="E62" s="339" t="s">
        <v>214</v>
      </c>
      <c r="F62" s="344">
        <v>0</v>
      </c>
      <c r="G62" s="339">
        <v>1.9699999999999999E-2</v>
      </c>
      <c r="H62" s="339" t="s">
        <v>231</v>
      </c>
      <c r="I62" s="343" t="s">
        <v>232</v>
      </c>
      <c r="J62" s="85">
        <f>INDEX('Diesel Generators PTE'!$M$6:$R$56,MATCH(C62,'Diesel Generators PTE'!$I$6:$I$56,0),MATCH(B62,'Diesel Generators PTE'!$M$5:$R$5,0))</f>
        <v>4.5019874597777766E-2</v>
      </c>
      <c r="K62" s="85">
        <f t="shared" si="0"/>
        <v>6.4753524910923444E-7</v>
      </c>
      <c r="L62" s="85">
        <f>INDEX('Diesel Generators PTE'!$S$6:$X$56,MATCH(C62,'Diesel Generators PTE'!$I$6:$I$56,0),MATCH(B62,'Diesel Generators PTE'!$S$5:$X$5,0))</f>
        <v>1.1808411584444444E-2</v>
      </c>
      <c r="M62" s="509">
        <f t="shared" si="1"/>
        <v>6.1993118015319564E-5</v>
      </c>
      <c r="N62" s="284"/>
    </row>
    <row r="63" spans="1:14" ht="15.75" x14ac:dyDescent="0.25">
      <c r="A63" s="492"/>
      <c r="B63" s="508" t="s">
        <v>39</v>
      </c>
      <c r="C63" s="339">
        <v>401</v>
      </c>
      <c r="D63" s="340" t="s">
        <v>246</v>
      </c>
      <c r="E63" s="339" t="s">
        <v>214</v>
      </c>
      <c r="F63" s="344">
        <v>0</v>
      </c>
      <c r="G63" s="339">
        <v>3.6200000000000003E-2</v>
      </c>
      <c r="H63" s="339" t="s">
        <v>231</v>
      </c>
      <c r="I63" s="343" t="s">
        <v>232</v>
      </c>
      <c r="J63" s="85">
        <f>INDEX('Diesel Generators PTE'!$M$6:$R$56,MATCH(C63,'Diesel Generators PTE'!$I$6:$I$56,0),MATCH(B63,'Diesel Generators PTE'!$M$5:$R$5,0))</f>
        <v>8.2726876164444435E-2</v>
      </c>
      <c r="K63" s="85">
        <f t="shared" si="0"/>
        <v>1.1898871075002176E-6</v>
      </c>
      <c r="L63" s="85">
        <f>INDEX('Diesel Generators PTE'!$S$6:$X$56,MATCH(C63,'Diesel Generators PTE'!$I$6:$I$56,0),MATCH(B63,'Diesel Generators PTE'!$S$5:$X$5,0))</f>
        <v>2.1698705551111114E-2</v>
      </c>
      <c r="M63" s="509">
        <f t="shared" si="1"/>
        <v>1.1391628792662785E-4</v>
      </c>
      <c r="N63" s="284"/>
    </row>
    <row r="64" spans="1:14" ht="15.75" x14ac:dyDescent="0.25">
      <c r="A64" s="492"/>
      <c r="B64" s="508" t="s">
        <v>39</v>
      </c>
      <c r="C64" s="339" t="s">
        <v>247</v>
      </c>
      <c r="D64" s="340" t="s">
        <v>248</v>
      </c>
      <c r="E64" s="339" t="s">
        <v>214</v>
      </c>
      <c r="F64" s="344">
        <v>0</v>
      </c>
      <c r="G64" s="339">
        <v>0.7833</v>
      </c>
      <c r="H64" s="339" t="s">
        <v>231</v>
      </c>
      <c r="I64" s="343" t="s">
        <v>232</v>
      </c>
      <c r="J64" s="85">
        <f>INDEX('Diesel Generators PTE'!$M$6:$R$56,MATCH(C64,'Diesel Generators PTE'!$I$6:$I$56,0),MATCH(B64,'Diesel Generators PTE'!$M$5:$R$5,0))</f>
        <v>1.7900542016466663</v>
      </c>
      <c r="K64" s="85">
        <f t="shared" si="0"/>
        <v>2.5746921859251943E-5</v>
      </c>
      <c r="L64" s="85">
        <f>INDEX('Diesel Generators PTE'!$S$6:$X$56,MATCH(C64,'Diesel Generators PTE'!$I$6:$I$56,0),MATCH(B64,'Diesel Generators PTE'!$S$5:$X$5,0))</f>
        <v>0.46951922812666663</v>
      </c>
      <c r="M64" s="509">
        <f t="shared" si="1"/>
        <v>2.4649344843350163E-3</v>
      </c>
      <c r="N64" s="284"/>
    </row>
    <row r="65" spans="1:14" ht="15.75" x14ac:dyDescent="0.25">
      <c r="A65" s="492"/>
      <c r="B65" s="508" t="s">
        <v>39</v>
      </c>
      <c r="C65" s="339" t="s">
        <v>249</v>
      </c>
      <c r="D65" s="340" t="s">
        <v>250</v>
      </c>
      <c r="E65" s="339" t="s">
        <v>214</v>
      </c>
      <c r="F65" s="344">
        <v>0</v>
      </c>
      <c r="G65" s="339">
        <v>3.39E-2</v>
      </c>
      <c r="H65" s="339" t="s">
        <v>231</v>
      </c>
      <c r="I65" s="343" t="s">
        <v>232</v>
      </c>
      <c r="J65" s="85">
        <f>INDEX('Diesel Generators PTE'!$M$6:$R$56,MATCH(C65,'Diesel Generators PTE'!$I$6:$I$56,0),MATCH(B65,'Diesel Generators PTE'!$M$5:$R$5,0))</f>
        <v>7.7470748673333312E-2</v>
      </c>
      <c r="K65" s="85">
        <f t="shared" si="0"/>
        <v>1.1142865454214741E-6</v>
      </c>
      <c r="L65" s="85">
        <f>INDEX('Diesel Generators PTE'!$S$6:$X$56,MATCH(C65,'Diesel Generators PTE'!$I$6:$I$56,0),MATCH(B65,'Diesel Generators PTE'!$S$5:$X$5,0))</f>
        <v>2.0320058513333333E-2</v>
      </c>
      <c r="M65" s="509">
        <f t="shared" si="1"/>
        <v>1.0667851272686972E-4</v>
      </c>
      <c r="N65" s="284"/>
    </row>
    <row r="66" spans="1:14" ht="15.75" x14ac:dyDescent="0.25">
      <c r="A66" s="492"/>
      <c r="B66" s="508" t="s">
        <v>39</v>
      </c>
      <c r="C66" s="339" t="s">
        <v>251</v>
      </c>
      <c r="D66" s="340" t="s">
        <v>252</v>
      </c>
      <c r="E66" s="339" t="s">
        <v>214</v>
      </c>
      <c r="F66" s="344">
        <v>0</v>
      </c>
      <c r="G66" s="339">
        <v>0.8</v>
      </c>
      <c r="H66" s="339" t="s">
        <v>231</v>
      </c>
      <c r="I66" s="343" t="s">
        <v>232</v>
      </c>
      <c r="J66" s="85">
        <f>INDEX('Diesel Generators PTE'!$M$6:$R$56,MATCH(C66,'Diesel Generators PTE'!$I$6:$I$56,0),MATCH(B66,'Diesel Generators PTE'!$M$5:$R$5,0))</f>
        <v>1.7860799999999999</v>
      </c>
      <c r="K66" s="85">
        <f t="shared" si="0"/>
        <v>2.5689759646423135E-5</v>
      </c>
      <c r="L66" s="85">
        <f>INDEX('Diesel Generators PTE'!$S$6:$X$56,MATCH(C66,'Diesel Generators PTE'!$I$6:$I$56,0),MATCH(B66,'Diesel Generators PTE'!$S$5:$X$5,0))</f>
        <v>0.47628800000000004</v>
      </c>
      <c r="M66" s="509">
        <f t="shared" si="1"/>
        <v>2.5004699389185188E-3</v>
      </c>
      <c r="N66" s="284"/>
    </row>
    <row r="67" spans="1:14" ht="15.75" x14ac:dyDescent="0.25">
      <c r="A67" s="492"/>
      <c r="B67" s="508" t="s">
        <v>39</v>
      </c>
      <c r="C67" s="339" t="s">
        <v>253</v>
      </c>
      <c r="D67" s="340" t="s">
        <v>254</v>
      </c>
      <c r="E67" s="339" t="s">
        <v>214</v>
      </c>
      <c r="F67" s="344">
        <v>0</v>
      </c>
      <c r="G67" s="339">
        <v>4.1000000000000003E-3</v>
      </c>
      <c r="H67" s="339" t="s">
        <v>231</v>
      </c>
      <c r="I67" s="343" t="s">
        <v>232</v>
      </c>
      <c r="J67" s="85">
        <f>INDEX('Diesel Generators PTE'!$M$6:$R$56,MATCH(C67,'Diesel Generators PTE'!$I$6:$I$56,0),MATCH(B67,'Diesel Generators PTE'!$M$5:$R$5,0))</f>
        <v>9.1536599999999992E-3</v>
      </c>
      <c r="K67" s="85">
        <f t="shared" si="0"/>
        <v>1.3166001818791856E-7</v>
      </c>
      <c r="L67" s="85">
        <f>INDEX('Diesel Generators PTE'!$S$6:$X$56,MATCH(C67,'Diesel Generators PTE'!$I$6:$I$56,0),MATCH(B67,'Diesel Generators PTE'!$S$5:$X$5,0))</f>
        <v>2.4409760000000001E-3</v>
      </c>
      <c r="M67" s="509">
        <f t="shared" si="1"/>
        <v>1.2814908436957409E-5</v>
      </c>
      <c r="N67" s="284"/>
    </row>
    <row r="68" spans="1:14" ht="15.75" x14ac:dyDescent="0.25">
      <c r="A68" s="492"/>
      <c r="B68" s="508" t="s">
        <v>39</v>
      </c>
      <c r="C68" s="339" t="s">
        <v>255</v>
      </c>
      <c r="D68" s="340" t="s">
        <v>256</v>
      </c>
      <c r="E68" s="339" t="s">
        <v>214</v>
      </c>
      <c r="F68" s="344">
        <v>0</v>
      </c>
      <c r="G68" s="339">
        <v>1.09E-2</v>
      </c>
      <c r="H68" s="339" t="s">
        <v>231</v>
      </c>
      <c r="I68" s="343" t="s">
        <v>232</v>
      </c>
      <c r="J68" s="85">
        <f>INDEX('Diesel Generators PTE'!$M$6:$R$56,MATCH(C68,'Diesel Generators PTE'!$I$6:$I$56,0),MATCH(B68,'Diesel Generators PTE'!$M$5:$R$5,0))</f>
        <v>2.4909473762222217E-2</v>
      </c>
      <c r="K68" s="85">
        <f t="shared" si="0"/>
        <v>3.5828092463404341E-7</v>
      </c>
      <c r="L68" s="85">
        <f>INDEX('Diesel Generators PTE'!$S$6:$X$56,MATCH(C68,'Diesel Generators PTE'!$I$6:$I$56,0),MATCH(B68,'Diesel Generators PTE'!$S$5:$X$5,0))</f>
        <v>6.5335881355555554E-3</v>
      </c>
      <c r="M68" s="509">
        <f t="shared" si="1"/>
        <v>3.4300760729288489E-5</v>
      </c>
      <c r="N68" s="284"/>
    </row>
    <row r="69" spans="1:14" ht="15.75" x14ac:dyDescent="0.25">
      <c r="A69" s="492"/>
      <c r="B69" s="508" t="s">
        <v>39</v>
      </c>
      <c r="C69" s="339" t="s">
        <v>257</v>
      </c>
      <c r="D69" s="340" t="s">
        <v>258</v>
      </c>
      <c r="E69" s="339" t="s">
        <v>214</v>
      </c>
      <c r="F69" s="344">
        <v>0</v>
      </c>
      <c r="G69" s="339">
        <v>2.69E-2</v>
      </c>
      <c r="H69" s="339" t="s">
        <v>231</v>
      </c>
      <c r="I69" s="343" t="s">
        <v>232</v>
      </c>
      <c r="J69" s="85">
        <f>INDEX('Diesel Generators PTE'!$M$6:$R$56,MATCH(C69,'Diesel Generators PTE'!$I$6:$I$56,0),MATCH(B69,'Diesel Generators PTE'!$M$5:$R$5,0))</f>
        <v>6.1473838917777766E-2</v>
      </c>
      <c r="K69" s="85">
        <f t="shared" si="0"/>
        <v>8.8419787822529972E-7</v>
      </c>
      <c r="L69" s="85">
        <f>INDEX('Diesel Generators PTE'!$S$6:$X$56,MATCH(C69,'Diesel Generators PTE'!$I$6:$I$56,0),MATCH(B69,'Diesel Generators PTE'!$S$5:$X$5,0))</f>
        <v>1.6124176224444446E-2</v>
      </c>
      <c r="M69" s="509">
        <f t="shared" si="1"/>
        <v>8.4650501249345007E-5</v>
      </c>
      <c r="N69" s="284"/>
    </row>
    <row r="70" spans="1:14" ht="15.75" x14ac:dyDescent="0.25">
      <c r="A70" s="492"/>
      <c r="B70" s="508" t="s">
        <v>39</v>
      </c>
      <c r="C70" s="339" t="s">
        <v>259</v>
      </c>
      <c r="D70" s="340" t="s">
        <v>260</v>
      </c>
      <c r="E70" s="339" t="s">
        <v>214</v>
      </c>
      <c r="F70" s="344">
        <v>0</v>
      </c>
      <c r="G70" s="339">
        <v>0.18629999999999999</v>
      </c>
      <c r="H70" s="339" t="s">
        <v>231</v>
      </c>
      <c r="I70" s="343" t="s">
        <v>232</v>
      </c>
      <c r="J70" s="85">
        <f>INDEX('Diesel Generators PTE'!$M$6:$R$56,MATCH(C70,'Diesel Generators PTE'!$I$6:$I$56,0),MATCH(B70,'Diesel Generators PTE'!$M$5:$R$5,0))</f>
        <v>0.42574632677999991</v>
      </c>
      <c r="K70" s="85">
        <f t="shared" si="0"/>
        <v>6.123645528378191E-6</v>
      </c>
      <c r="L70" s="85">
        <f>INDEX('Diesel Generators PTE'!$S$6:$X$56,MATCH(C70,'Diesel Generators PTE'!$I$6:$I$56,0),MATCH(B70,'Diesel Generators PTE'!$S$5:$X$5,0))</f>
        <v>0.11167041005999999</v>
      </c>
      <c r="M70" s="509">
        <f t="shared" si="1"/>
        <v>5.8625979118040786E-4</v>
      </c>
      <c r="N70" s="284"/>
    </row>
    <row r="71" spans="1:14" ht="15.75" x14ac:dyDescent="0.25">
      <c r="A71" s="492"/>
      <c r="B71" s="508" t="s">
        <v>39</v>
      </c>
      <c r="C71" s="339" t="s">
        <v>261</v>
      </c>
      <c r="D71" s="340" t="s">
        <v>262</v>
      </c>
      <c r="E71" s="339" t="s">
        <v>214</v>
      </c>
      <c r="F71" s="344">
        <v>0</v>
      </c>
      <c r="G71" s="339">
        <v>3.0999999999999999E-3</v>
      </c>
      <c r="H71" s="339" t="s">
        <v>231</v>
      </c>
      <c r="I71" s="343" t="s">
        <v>232</v>
      </c>
      <c r="J71" s="85">
        <f>INDEX('Diesel Generators PTE'!$M$6:$R$56,MATCH(C71,'Diesel Generators PTE'!$I$6:$I$56,0),MATCH(B71,'Diesel Generators PTE'!$M$5:$R$5,0))</f>
        <v>6.9210599999999988E-3</v>
      </c>
      <c r="K71" s="85">
        <f t="shared" si="0"/>
        <v>9.9547818629889633E-8</v>
      </c>
      <c r="L71" s="85">
        <f>INDEX('Diesel Generators PTE'!$S$6:$X$56,MATCH(C71,'Diesel Generators PTE'!$I$6:$I$56,0),MATCH(B71,'Diesel Generators PTE'!$S$5:$X$5,0))</f>
        <v>1.845616E-3</v>
      </c>
      <c r="M71" s="509">
        <f t="shared" si="1"/>
        <v>9.6893210133092606E-6</v>
      </c>
      <c r="N71" s="284"/>
    </row>
    <row r="72" spans="1:14" ht="15.75" x14ac:dyDescent="0.25">
      <c r="A72" s="492"/>
      <c r="B72" s="508" t="s">
        <v>39</v>
      </c>
      <c r="C72" s="339" t="s">
        <v>263</v>
      </c>
      <c r="D72" s="340" t="s">
        <v>264</v>
      </c>
      <c r="E72" s="339" t="s">
        <v>214</v>
      </c>
      <c r="F72" s="344">
        <v>0</v>
      </c>
      <c r="G72" s="339">
        <v>2E-3</v>
      </c>
      <c r="H72" s="339" t="s">
        <v>231</v>
      </c>
      <c r="I72" s="343" t="s">
        <v>232</v>
      </c>
      <c r="J72" s="85">
        <f>INDEX('Diesel Generators PTE'!$M$6:$R$56,MATCH(C72,'Diesel Generators PTE'!$I$6:$I$56,0),MATCH(B72,'Diesel Generators PTE'!$M$5:$R$5,0))</f>
        <v>4.4651999999999999E-3</v>
      </c>
      <c r="K72" s="85">
        <f t="shared" si="0"/>
        <v>6.4224399116057845E-8</v>
      </c>
      <c r="L72" s="85">
        <f>INDEX('Diesel Generators PTE'!$S$6:$X$56,MATCH(C72,'Diesel Generators PTE'!$I$6:$I$56,0),MATCH(B72,'Diesel Generators PTE'!$S$5:$X$5,0))</f>
        <v>1.1907199999999999E-3</v>
      </c>
      <c r="M72" s="509">
        <f t="shared" si="1"/>
        <v>6.2511748472962967E-6</v>
      </c>
      <c r="N72" s="284"/>
    </row>
    <row r="73" spans="1:14" ht="15.75" x14ac:dyDescent="0.25">
      <c r="A73" s="492"/>
      <c r="B73" s="508" t="s">
        <v>39</v>
      </c>
      <c r="C73" s="339" t="s">
        <v>265</v>
      </c>
      <c r="D73" s="340" t="s">
        <v>266</v>
      </c>
      <c r="E73" s="339" t="s">
        <v>214</v>
      </c>
      <c r="F73" s="344">
        <v>0</v>
      </c>
      <c r="G73" s="339">
        <v>2.2000000000000001E-3</v>
      </c>
      <c r="H73" s="339" t="s">
        <v>231</v>
      </c>
      <c r="I73" s="343" t="s">
        <v>232</v>
      </c>
      <c r="J73" s="85">
        <f>INDEX('Diesel Generators PTE'!$M$6:$R$56,MATCH(C73,'Diesel Generators PTE'!$I$6:$I$56,0),MATCH(B73,'Diesel Generators PTE'!$M$5:$R$5,0))</f>
        <v>4.9117199999999996E-3</v>
      </c>
      <c r="K73" s="85">
        <f t="shared" ref="K73:K136" si="2">CONVERT(J73,"lbm","g")/8760/3600</f>
        <v>7.0646839027663615E-8</v>
      </c>
      <c r="L73" s="85">
        <f>INDEX('Diesel Generators PTE'!$S$6:$X$56,MATCH(C73,'Diesel Generators PTE'!$I$6:$I$56,0),MATCH(B73,'Diesel Generators PTE'!$S$5:$X$5,0))</f>
        <v>1.3097920000000002E-3</v>
      </c>
      <c r="M73" s="509">
        <f t="shared" ref="M73:M136" si="3">CONVERT(L73,"lbm","g")/24/3600</f>
        <v>6.8762923320259271E-6</v>
      </c>
      <c r="N73" s="284"/>
    </row>
    <row r="74" spans="1:14" ht="15.75" x14ac:dyDescent="0.25">
      <c r="A74" s="492"/>
      <c r="B74" s="508" t="s">
        <v>39</v>
      </c>
      <c r="C74" s="339" t="s">
        <v>267</v>
      </c>
      <c r="D74" s="340" t="s">
        <v>268</v>
      </c>
      <c r="E74" s="339" t="s">
        <v>214</v>
      </c>
      <c r="F74" s="344">
        <v>0</v>
      </c>
      <c r="G74" s="339">
        <v>0.10539999999999999</v>
      </c>
      <c r="H74" s="339" t="s">
        <v>231</v>
      </c>
      <c r="I74" s="343" t="s">
        <v>232</v>
      </c>
      <c r="J74" s="85">
        <f>INDEX('Diesel Generators PTE'!$M$6:$R$56,MATCH(C74,'Diesel Generators PTE'!$I$6:$I$56,0),MATCH(B74,'Diesel Generators PTE'!$M$5:$R$5,0))</f>
        <v>0.24086775546222217</v>
      </c>
      <c r="K74" s="85">
        <f t="shared" si="2"/>
        <v>3.4644779317824011E-6</v>
      </c>
      <c r="L74" s="85">
        <f>INDEX('Diesel Generators PTE'!$S$6:$X$56,MATCH(C74,'Diesel Generators PTE'!$I$6:$I$56,0),MATCH(B74,'Diesel Generators PTE'!$S$5:$X$5,0))</f>
        <v>6.3177999035555557E-2</v>
      </c>
      <c r="M74" s="509">
        <f t="shared" si="3"/>
        <v>3.3167891567587222E-4</v>
      </c>
      <c r="N74" s="284"/>
    </row>
    <row r="75" spans="1:14" ht="15.75" x14ac:dyDescent="0.25">
      <c r="A75" s="492"/>
      <c r="B75" s="508" t="s">
        <v>39</v>
      </c>
      <c r="C75" s="339" t="s">
        <v>269</v>
      </c>
      <c r="D75" s="340" t="s">
        <v>270</v>
      </c>
      <c r="E75" s="339" t="s">
        <v>214</v>
      </c>
      <c r="F75" s="344">
        <v>0</v>
      </c>
      <c r="G75" s="339">
        <v>4.24E-2</v>
      </c>
      <c r="H75" s="339" t="s">
        <v>231</v>
      </c>
      <c r="I75" s="343" t="s">
        <v>232</v>
      </c>
      <c r="J75" s="85">
        <f>INDEX('Diesel Generators PTE'!$M$6:$R$56,MATCH(C75,'Diesel Generators PTE'!$I$6:$I$56,0),MATCH(B75,'Diesel Generators PTE'!$M$5:$R$5,0))</f>
        <v>9.6895567662222196E-2</v>
      </c>
      <c r="K75" s="85">
        <f t="shared" si="2"/>
        <v>1.3936799270168293E-6</v>
      </c>
      <c r="L75" s="85">
        <f>INDEX('Diesel Generators PTE'!$S$6:$X$56,MATCH(C75,'Diesel Generators PTE'!$I$6:$I$56,0),MATCH(B75,'Diesel Generators PTE'!$S$5:$X$5,0))</f>
        <v>2.5415058435555558E-2</v>
      </c>
      <c r="M75" s="509">
        <f t="shared" si="3"/>
        <v>1.3342681237814974E-4</v>
      </c>
      <c r="N75" s="284"/>
    </row>
    <row r="76" spans="1:14" ht="15.75" x14ac:dyDescent="0.25">
      <c r="A76" s="492"/>
      <c r="B76" s="508" t="s">
        <v>39</v>
      </c>
      <c r="C76" s="339">
        <v>200</v>
      </c>
      <c r="D76" s="340" t="s">
        <v>271</v>
      </c>
      <c r="E76" s="339" t="s">
        <v>214</v>
      </c>
      <c r="F76" s="344">
        <v>0</v>
      </c>
      <c r="G76" s="339">
        <v>33.5</v>
      </c>
      <c r="H76" s="339" t="s">
        <v>231</v>
      </c>
      <c r="I76" s="343" t="s">
        <v>232</v>
      </c>
      <c r="J76" s="85">
        <f>INDEX('Diesel Generators PTE'!$M$6:$R$56,MATCH(C76,'Diesel Generators PTE'!$I$6:$I$56,0),MATCH(B76,'Diesel Generators PTE'!$M$5:$R$5,0))</f>
        <v>76.556639544444437</v>
      </c>
      <c r="K76" s="85">
        <f t="shared" si="2"/>
        <v>1.101138621581693E-3</v>
      </c>
      <c r="L76" s="85">
        <f>INDEX('Diesel Generators PTE'!$S$6:$X$56,MATCH(C76,'Diesel Generators PTE'!$I$6:$I$56,0),MATCH(B76,'Diesel Generators PTE'!$S$5:$X$5,0))</f>
        <v>20.080293811111108</v>
      </c>
      <c r="M76" s="509">
        <f t="shared" si="3"/>
        <v>0.10541976921386829</v>
      </c>
      <c r="N76" s="284"/>
    </row>
    <row r="77" spans="1:14" ht="15.75" x14ac:dyDescent="0.25">
      <c r="A77" s="492"/>
      <c r="B77" s="508" t="s">
        <v>42</v>
      </c>
      <c r="C77" s="339" t="s">
        <v>221</v>
      </c>
      <c r="D77" s="340" t="s">
        <v>222</v>
      </c>
      <c r="E77" s="339" t="s">
        <v>214</v>
      </c>
      <c r="F77" s="341">
        <v>0</v>
      </c>
      <c r="G77" s="339">
        <v>0.18629999999999999</v>
      </c>
      <c r="H77" s="339" t="s">
        <v>231</v>
      </c>
      <c r="I77" s="343" t="s">
        <v>232</v>
      </c>
      <c r="J77" s="85">
        <f>INDEX('Diesel Generators PTE'!$M$6:$R$56,MATCH(C77,'Diesel Generators PTE'!$I$6:$I$56,0),MATCH(B77,'Diesel Generators PTE'!$M$5:$R$5,0))</f>
        <v>0.42574632677999991</v>
      </c>
      <c r="K77" s="85">
        <f t="shared" si="2"/>
        <v>6.123645528378191E-6</v>
      </c>
      <c r="L77" s="85">
        <f>INDEX('Diesel Generators PTE'!$S$6:$X$56,MATCH(C77,'Diesel Generators PTE'!$I$6:$I$56,0),MATCH(B77,'Diesel Generators PTE'!$S$5:$X$5,0))</f>
        <v>0.11167041005999999</v>
      </c>
      <c r="M77" s="509">
        <f t="shared" si="3"/>
        <v>5.8625979118040786E-4</v>
      </c>
      <c r="N77" s="284"/>
    </row>
    <row r="78" spans="1:14" ht="15.75" x14ac:dyDescent="0.25">
      <c r="A78" s="492"/>
      <c r="B78" s="508" t="s">
        <v>42</v>
      </c>
      <c r="C78" s="339" t="s">
        <v>233</v>
      </c>
      <c r="D78" s="340" t="s">
        <v>234</v>
      </c>
      <c r="E78" s="339" t="s">
        <v>214</v>
      </c>
      <c r="F78" s="341">
        <v>0</v>
      </c>
      <c r="G78" s="339">
        <v>0.21740000000000001</v>
      </c>
      <c r="H78" s="339" t="s">
        <v>231</v>
      </c>
      <c r="I78" s="343" t="s">
        <v>232</v>
      </c>
      <c r="J78" s="85">
        <f>INDEX('Diesel Generators PTE'!$M$6:$R$56,MATCH(C78,'Diesel Generators PTE'!$I$6:$I$56,0),MATCH(B78,'Diesel Generators PTE'!$M$5:$R$5,0))</f>
        <v>0.49681831155111106</v>
      </c>
      <c r="K78" s="85">
        <f t="shared" si="2"/>
        <v>7.1458966069211968E-6</v>
      </c>
      <c r="L78" s="85">
        <f>INDEX('Diesel Generators PTE'!$S$6:$X$56,MATCH(C78,'Diesel Generators PTE'!$I$6:$I$56,0),MATCH(B78,'Diesel Generators PTE'!$S$5:$X$5,0))</f>
        <v>0.13031211565777778</v>
      </c>
      <c r="M78" s="509">
        <f t="shared" si="3"/>
        <v>6.8412709931626775E-4</v>
      </c>
      <c r="N78" s="284"/>
    </row>
    <row r="79" spans="1:14" ht="15.75" x14ac:dyDescent="0.25">
      <c r="A79" s="492"/>
      <c r="B79" s="508" t="s">
        <v>42</v>
      </c>
      <c r="C79" s="339" t="s">
        <v>235</v>
      </c>
      <c r="D79" s="340" t="s">
        <v>236</v>
      </c>
      <c r="E79" s="339" t="s">
        <v>214</v>
      </c>
      <c r="F79" s="341">
        <v>0</v>
      </c>
      <c r="G79" s="339">
        <v>1.5E-3</v>
      </c>
      <c r="H79" s="339" t="s">
        <v>231</v>
      </c>
      <c r="I79" s="343" t="s">
        <v>232</v>
      </c>
      <c r="J79" s="85">
        <f>INDEX('Diesel Generators PTE'!$M$6:$R$56,MATCH(C79,'Diesel Generators PTE'!$I$6:$I$56,0),MATCH(B79,'Diesel Generators PTE'!$M$5:$R$5,0))</f>
        <v>3.3488999999999997E-3</v>
      </c>
      <c r="K79" s="85">
        <f t="shared" si="2"/>
        <v>4.8168299337043374E-8</v>
      </c>
      <c r="L79" s="85">
        <f>INDEX('Diesel Generators PTE'!$S$6:$X$56,MATCH(C79,'Diesel Generators PTE'!$I$6:$I$56,0),MATCH(B79,'Diesel Generators PTE'!$S$5:$X$5,0))</f>
        <v>8.9304E-4</v>
      </c>
      <c r="M79" s="509">
        <f t="shared" si="3"/>
        <v>4.6883811354722223E-6</v>
      </c>
      <c r="N79" s="284"/>
    </row>
    <row r="80" spans="1:14" ht="15.75" x14ac:dyDescent="0.25">
      <c r="A80" s="492"/>
      <c r="B80" s="508" t="s">
        <v>42</v>
      </c>
      <c r="C80" s="339" t="s">
        <v>237</v>
      </c>
      <c r="D80" s="340" t="s">
        <v>238</v>
      </c>
      <c r="E80" s="339" t="s">
        <v>214</v>
      </c>
      <c r="F80" s="344">
        <v>0</v>
      </c>
      <c r="G80" s="339">
        <v>1.7261</v>
      </c>
      <c r="H80" s="339" t="s">
        <v>231</v>
      </c>
      <c r="I80" s="343" t="s">
        <v>232</v>
      </c>
      <c r="J80" s="85">
        <f>INDEX('Diesel Generators PTE'!$M$6:$R$56,MATCH(C80,'Diesel Generators PTE'!$I$6:$I$56,0),MATCH(B80,'Diesel Generators PTE'!$M$5:$R$5,0))</f>
        <v>3.9446094184377771</v>
      </c>
      <c r="K80" s="85">
        <f t="shared" si="2"/>
        <v>5.6736578349616726E-5</v>
      </c>
      <c r="L80" s="85">
        <f>INDEX('Diesel Generators PTE'!$S$6:$X$56,MATCH(C80,'Diesel Generators PTE'!$I$6:$I$56,0),MATCH(B80,'Diesel Generators PTE'!$S$5:$X$5,0))</f>
        <v>1.0346446312644444</v>
      </c>
      <c r="M80" s="509">
        <f t="shared" si="3"/>
        <v>5.431792944479345E-3</v>
      </c>
      <c r="N80" s="284"/>
    </row>
    <row r="81" spans="1:14" ht="15.75" x14ac:dyDescent="0.25">
      <c r="A81" s="492"/>
      <c r="B81" s="508" t="s">
        <v>42</v>
      </c>
      <c r="C81" s="339" t="s">
        <v>239</v>
      </c>
      <c r="D81" s="340" t="s">
        <v>240</v>
      </c>
      <c r="E81" s="339" t="s">
        <v>214</v>
      </c>
      <c r="F81" s="344">
        <v>0</v>
      </c>
      <c r="G81" s="339">
        <v>1E-4</v>
      </c>
      <c r="H81" s="339" t="s">
        <v>231</v>
      </c>
      <c r="I81" s="343" t="s">
        <v>232</v>
      </c>
      <c r="J81" s="85">
        <f>INDEX('Diesel Generators PTE'!$M$6:$R$56,MATCH(C81,'Diesel Generators PTE'!$I$6:$I$56,0),MATCH(B81,'Diesel Generators PTE'!$M$5:$R$5,0))</f>
        <v>2.2325999999999997E-4</v>
      </c>
      <c r="K81" s="85">
        <f t="shared" si="2"/>
        <v>3.211219955802892E-9</v>
      </c>
      <c r="L81" s="85">
        <f>INDEX('Diesel Generators PTE'!$S$6:$X$56,MATCH(C81,'Diesel Generators PTE'!$I$6:$I$56,0),MATCH(B81,'Diesel Generators PTE'!$S$5:$X$5,0))</f>
        <v>5.9536000000000001E-5</v>
      </c>
      <c r="M81" s="509">
        <f t="shared" si="3"/>
        <v>3.1255874236481484E-7</v>
      </c>
      <c r="N81" s="284"/>
    </row>
    <row r="82" spans="1:14" ht="15.75" x14ac:dyDescent="0.25">
      <c r="A82" s="492"/>
      <c r="B82" s="508" t="s">
        <v>42</v>
      </c>
      <c r="C82" s="339" t="s">
        <v>218</v>
      </c>
      <c r="D82" s="340" t="s">
        <v>219</v>
      </c>
      <c r="E82" s="339" t="s">
        <v>214</v>
      </c>
      <c r="F82" s="344">
        <v>0</v>
      </c>
      <c r="G82" s="339">
        <v>1.6000000000000001E-3</v>
      </c>
      <c r="H82" s="339" t="s">
        <v>231</v>
      </c>
      <c r="I82" s="343" t="s">
        <v>232</v>
      </c>
      <c r="J82" s="85">
        <f>INDEX('Diesel Generators PTE'!$M$6:$R$56,MATCH(C82,'Diesel Generators PTE'!$I$6:$I$56,0),MATCH(B82,'Diesel Generators PTE'!$M$5:$R$5,0))</f>
        <v>3.5721599999999996E-3</v>
      </c>
      <c r="K82" s="85">
        <f t="shared" si="2"/>
        <v>5.1379519292846272E-8</v>
      </c>
      <c r="L82" s="85">
        <f>INDEX('Diesel Generators PTE'!$S$6:$X$56,MATCH(C82,'Diesel Generators PTE'!$I$6:$I$56,0),MATCH(B82,'Diesel Generators PTE'!$S$5:$X$5,0))</f>
        <v>9.5257600000000001E-4</v>
      </c>
      <c r="M82" s="509">
        <f t="shared" si="3"/>
        <v>5.0009398778370375E-6</v>
      </c>
      <c r="N82" s="284"/>
    </row>
    <row r="83" spans="1:14" ht="15.75" x14ac:dyDescent="0.25">
      <c r="A83" s="492"/>
      <c r="B83" s="508" t="s">
        <v>42</v>
      </c>
      <c r="C83" s="339" t="s">
        <v>241</v>
      </c>
      <c r="D83" s="340" t="s">
        <v>242</v>
      </c>
      <c r="E83" s="339" t="s">
        <v>214</v>
      </c>
      <c r="F83" s="344">
        <v>0</v>
      </c>
      <c r="G83" s="339">
        <v>8.3000000000000001E-3</v>
      </c>
      <c r="H83" s="339" t="s">
        <v>231</v>
      </c>
      <c r="I83" s="343" t="s">
        <v>232</v>
      </c>
      <c r="J83" s="85">
        <f>INDEX('Diesel Generators PTE'!$M$6:$R$56,MATCH(C83,'Diesel Generators PTE'!$I$6:$I$56,0),MATCH(B83,'Diesel Generators PTE'!$M$5:$R$5,0))</f>
        <v>1.8530579999999998E-2</v>
      </c>
      <c r="K83" s="85">
        <f t="shared" si="2"/>
        <v>2.6653125633164002E-7</v>
      </c>
      <c r="L83" s="85">
        <f>INDEX('Diesel Generators PTE'!$S$6:$X$56,MATCH(C83,'Diesel Generators PTE'!$I$6:$I$56,0),MATCH(B83,'Diesel Generators PTE'!$S$5:$X$5,0))</f>
        <v>4.941488E-3</v>
      </c>
      <c r="M83" s="509">
        <f t="shared" si="3"/>
        <v>2.594237561627963E-5</v>
      </c>
      <c r="N83" s="284"/>
    </row>
    <row r="84" spans="1:14" ht="15.75" x14ac:dyDescent="0.25">
      <c r="A84" s="492"/>
      <c r="B84" s="508" t="s">
        <v>42</v>
      </c>
      <c r="C84" s="339">
        <v>365</v>
      </c>
      <c r="D84" s="340" t="s">
        <v>243</v>
      </c>
      <c r="E84" s="339" t="s">
        <v>214</v>
      </c>
      <c r="F84" s="344">
        <v>0</v>
      </c>
      <c r="G84" s="339">
        <v>3.8999999999999998E-3</v>
      </c>
      <c r="H84" s="339" t="s">
        <v>231</v>
      </c>
      <c r="I84" s="343" t="s">
        <v>232</v>
      </c>
      <c r="J84" s="85">
        <f>INDEX('Diesel Generators PTE'!$M$6:$R$56,MATCH(C84,'Diesel Generators PTE'!$I$6:$I$56,0),MATCH(B84,'Diesel Generators PTE'!$M$5:$R$5,0))</f>
        <v>8.7071399999999986E-3</v>
      </c>
      <c r="K84" s="85">
        <f t="shared" si="2"/>
        <v>1.2523757827631279E-7</v>
      </c>
      <c r="L84" s="85">
        <f>INDEX('Diesel Generators PTE'!$S$6:$X$56,MATCH(C84,'Diesel Generators PTE'!$I$6:$I$56,0),MATCH(B84,'Diesel Generators PTE'!$S$5:$X$5,0))</f>
        <v>2.3219040000000001E-3</v>
      </c>
      <c r="M84" s="509">
        <f t="shared" si="3"/>
        <v>1.2189790952227779E-5</v>
      </c>
      <c r="N84" s="284"/>
    </row>
    <row r="85" spans="1:14" ht="15.75" x14ac:dyDescent="0.25">
      <c r="A85" s="492"/>
      <c r="B85" s="508" t="s">
        <v>42</v>
      </c>
      <c r="C85" s="339" t="s">
        <v>244</v>
      </c>
      <c r="D85" s="340" t="s">
        <v>245</v>
      </c>
      <c r="E85" s="339" t="s">
        <v>214</v>
      </c>
      <c r="F85" s="344">
        <v>0</v>
      </c>
      <c r="G85" s="339">
        <v>1.9699999999999999E-2</v>
      </c>
      <c r="H85" s="339" t="s">
        <v>231</v>
      </c>
      <c r="I85" s="343" t="s">
        <v>232</v>
      </c>
      <c r="J85" s="85">
        <f>INDEX('Diesel Generators PTE'!$M$6:$R$56,MATCH(C85,'Diesel Generators PTE'!$I$6:$I$56,0),MATCH(B85,'Diesel Generators PTE'!$M$5:$R$5,0))</f>
        <v>4.5019874597777766E-2</v>
      </c>
      <c r="K85" s="85">
        <f t="shared" si="2"/>
        <v>6.4753524910923444E-7</v>
      </c>
      <c r="L85" s="85">
        <f>INDEX('Diesel Generators PTE'!$S$6:$X$56,MATCH(C85,'Diesel Generators PTE'!$I$6:$I$56,0),MATCH(B85,'Diesel Generators PTE'!$S$5:$X$5,0))</f>
        <v>1.1808411584444444E-2</v>
      </c>
      <c r="M85" s="509">
        <f t="shared" si="3"/>
        <v>6.1993118015319564E-5</v>
      </c>
      <c r="N85" s="284"/>
    </row>
    <row r="86" spans="1:14" ht="15.75" x14ac:dyDescent="0.25">
      <c r="A86" s="492"/>
      <c r="B86" s="508" t="s">
        <v>42</v>
      </c>
      <c r="C86" s="339">
        <v>401</v>
      </c>
      <c r="D86" s="340" t="s">
        <v>246</v>
      </c>
      <c r="E86" s="339" t="s">
        <v>214</v>
      </c>
      <c r="F86" s="344">
        <v>0</v>
      </c>
      <c r="G86" s="339">
        <v>3.6200000000000003E-2</v>
      </c>
      <c r="H86" s="339" t="s">
        <v>231</v>
      </c>
      <c r="I86" s="343" t="s">
        <v>232</v>
      </c>
      <c r="J86" s="85">
        <f>INDEX('Diesel Generators PTE'!$M$6:$R$56,MATCH(C86,'Diesel Generators PTE'!$I$6:$I$56,0),MATCH(B86,'Diesel Generators PTE'!$M$5:$R$5,0))</f>
        <v>8.2726876164444435E-2</v>
      </c>
      <c r="K86" s="85">
        <f t="shared" si="2"/>
        <v>1.1898871075002176E-6</v>
      </c>
      <c r="L86" s="85">
        <f>INDEX('Diesel Generators PTE'!$S$6:$X$56,MATCH(C86,'Diesel Generators PTE'!$I$6:$I$56,0),MATCH(B86,'Diesel Generators PTE'!$S$5:$X$5,0))</f>
        <v>2.1698705551111114E-2</v>
      </c>
      <c r="M86" s="509">
        <f t="shared" si="3"/>
        <v>1.1391628792662785E-4</v>
      </c>
      <c r="N86" s="284"/>
    </row>
    <row r="87" spans="1:14" ht="15.75" x14ac:dyDescent="0.25">
      <c r="A87" s="492"/>
      <c r="B87" s="508" t="s">
        <v>42</v>
      </c>
      <c r="C87" s="339" t="s">
        <v>247</v>
      </c>
      <c r="D87" s="340" t="s">
        <v>248</v>
      </c>
      <c r="E87" s="339" t="s">
        <v>214</v>
      </c>
      <c r="F87" s="344">
        <v>0</v>
      </c>
      <c r="G87" s="339">
        <v>0.7833</v>
      </c>
      <c r="H87" s="339" t="s">
        <v>231</v>
      </c>
      <c r="I87" s="343" t="s">
        <v>232</v>
      </c>
      <c r="J87" s="85">
        <f>INDEX('Diesel Generators PTE'!$M$6:$R$56,MATCH(C87,'Diesel Generators PTE'!$I$6:$I$56,0),MATCH(B87,'Diesel Generators PTE'!$M$5:$R$5,0))</f>
        <v>1.7900542016466663</v>
      </c>
      <c r="K87" s="85">
        <f t="shared" si="2"/>
        <v>2.5746921859251943E-5</v>
      </c>
      <c r="L87" s="85">
        <f>INDEX('Diesel Generators PTE'!$S$6:$X$56,MATCH(C87,'Diesel Generators PTE'!$I$6:$I$56,0),MATCH(B87,'Diesel Generators PTE'!$S$5:$X$5,0))</f>
        <v>0.46951922812666663</v>
      </c>
      <c r="M87" s="509">
        <f t="shared" si="3"/>
        <v>2.4649344843350163E-3</v>
      </c>
      <c r="N87" s="284"/>
    </row>
    <row r="88" spans="1:14" ht="15.75" x14ac:dyDescent="0.25">
      <c r="A88" s="492"/>
      <c r="B88" s="508" t="s">
        <v>42</v>
      </c>
      <c r="C88" s="339" t="s">
        <v>249</v>
      </c>
      <c r="D88" s="340" t="s">
        <v>250</v>
      </c>
      <c r="E88" s="339" t="s">
        <v>214</v>
      </c>
      <c r="F88" s="344">
        <v>0</v>
      </c>
      <c r="G88" s="339">
        <v>3.39E-2</v>
      </c>
      <c r="H88" s="339" t="s">
        <v>231</v>
      </c>
      <c r="I88" s="343" t="s">
        <v>232</v>
      </c>
      <c r="J88" s="85">
        <f>INDEX('Diesel Generators PTE'!$M$6:$R$56,MATCH(C88,'Diesel Generators PTE'!$I$6:$I$56,0),MATCH(B88,'Diesel Generators PTE'!$M$5:$R$5,0))</f>
        <v>7.7470748673333312E-2</v>
      </c>
      <c r="K88" s="85">
        <f t="shared" si="2"/>
        <v>1.1142865454214741E-6</v>
      </c>
      <c r="L88" s="85">
        <f>INDEX('Diesel Generators PTE'!$S$6:$X$56,MATCH(C88,'Diesel Generators PTE'!$I$6:$I$56,0),MATCH(B88,'Diesel Generators PTE'!$S$5:$X$5,0))</f>
        <v>2.0320058513333333E-2</v>
      </c>
      <c r="M88" s="509">
        <f t="shared" si="3"/>
        <v>1.0667851272686972E-4</v>
      </c>
      <c r="N88" s="284"/>
    </row>
    <row r="89" spans="1:14" ht="15.75" x14ac:dyDescent="0.25">
      <c r="A89" s="492"/>
      <c r="B89" s="508" t="s">
        <v>42</v>
      </c>
      <c r="C89" s="339" t="s">
        <v>251</v>
      </c>
      <c r="D89" s="340" t="s">
        <v>252</v>
      </c>
      <c r="E89" s="339" t="s">
        <v>214</v>
      </c>
      <c r="F89" s="344">
        <v>0</v>
      </c>
      <c r="G89" s="339">
        <v>0.8</v>
      </c>
      <c r="H89" s="339" t="s">
        <v>231</v>
      </c>
      <c r="I89" s="343" t="s">
        <v>232</v>
      </c>
      <c r="J89" s="85">
        <f>INDEX('Diesel Generators PTE'!$M$6:$R$56,MATCH(C89,'Diesel Generators PTE'!$I$6:$I$56,0),MATCH(B89,'Diesel Generators PTE'!$M$5:$R$5,0))</f>
        <v>1.7860799999999999</v>
      </c>
      <c r="K89" s="85">
        <f t="shared" si="2"/>
        <v>2.5689759646423135E-5</v>
      </c>
      <c r="L89" s="85">
        <f>INDEX('Diesel Generators PTE'!$S$6:$X$56,MATCH(C89,'Diesel Generators PTE'!$I$6:$I$56,0),MATCH(B89,'Diesel Generators PTE'!$S$5:$X$5,0))</f>
        <v>0.47628800000000004</v>
      </c>
      <c r="M89" s="509">
        <f t="shared" si="3"/>
        <v>2.5004699389185188E-3</v>
      </c>
      <c r="N89" s="284"/>
    </row>
    <row r="90" spans="1:14" ht="15.75" x14ac:dyDescent="0.25">
      <c r="A90" s="492"/>
      <c r="B90" s="508" t="s">
        <v>42</v>
      </c>
      <c r="C90" s="339" t="s">
        <v>253</v>
      </c>
      <c r="D90" s="340" t="s">
        <v>254</v>
      </c>
      <c r="E90" s="339" t="s">
        <v>214</v>
      </c>
      <c r="F90" s="344">
        <v>0</v>
      </c>
      <c r="G90" s="339">
        <v>4.1000000000000003E-3</v>
      </c>
      <c r="H90" s="339" t="s">
        <v>231</v>
      </c>
      <c r="I90" s="343" t="s">
        <v>232</v>
      </c>
      <c r="J90" s="85">
        <f>INDEX('Diesel Generators PTE'!$M$6:$R$56,MATCH(C90,'Diesel Generators PTE'!$I$6:$I$56,0),MATCH(B90,'Diesel Generators PTE'!$M$5:$R$5,0))</f>
        <v>9.1536599999999992E-3</v>
      </c>
      <c r="K90" s="85">
        <f t="shared" si="2"/>
        <v>1.3166001818791856E-7</v>
      </c>
      <c r="L90" s="85">
        <f>INDEX('Diesel Generators PTE'!$S$6:$X$56,MATCH(C90,'Diesel Generators PTE'!$I$6:$I$56,0),MATCH(B90,'Diesel Generators PTE'!$S$5:$X$5,0))</f>
        <v>2.4409760000000001E-3</v>
      </c>
      <c r="M90" s="509">
        <f t="shared" si="3"/>
        <v>1.2814908436957409E-5</v>
      </c>
      <c r="N90" s="284"/>
    </row>
    <row r="91" spans="1:14" ht="15.75" x14ac:dyDescent="0.25">
      <c r="A91" s="492"/>
      <c r="B91" s="508" t="s">
        <v>42</v>
      </c>
      <c r="C91" s="339" t="s">
        <v>255</v>
      </c>
      <c r="D91" s="340" t="s">
        <v>256</v>
      </c>
      <c r="E91" s="339" t="s">
        <v>214</v>
      </c>
      <c r="F91" s="344">
        <v>0</v>
      </c>
      <c r="G91" s="339">
        <v>1.09E-2</v>
      </c>
      <c r="H91" s="339" t="s">
        <v>231</v>
      </c>
      <c r="I91" s="343" t="s">
        <v>232</v>
      </c>
      <c r="J91" s="85">
        <f>INDEX('Diesel Generators PTE'!$M$6:$R$56,MATCH(C91,'Diesel Generators PTE'!$I$6:$I$56,0),MATCH(B91,'Diesel Generators PTE'!$M$5:$R$5,0))</f>
        <v>2.4909473762222217E-2</v>
      </c>
      <c r="K91" s="85">
        <f t="shared" si="2"/>
        <v>3.5828092463404341E-7</v>
      </c>
      <c r="L91" s="85">
        <f>INDEX('Diesel Generators PTE'!$S$6:$X$56,MATCH(C91,'Diesel Generators PTE'!$I$6:$I$56,0),MATCH(B91,'Diesel Generators PTE'!$S$5:$X$5,0))</f>
        <v>6.5335881355555554E-3</v>
      </c>
      <c r="M91" s="509">
        <f t="shared" si="3"/>
        <v>3.4300760729288489E-5</v>
      </c>
      <c r="N91" s="284"/>
    </row>
    <row r="92" spans="1:14" ht="15.75" x14ac:dyDescent="0.25">
      <c r="A92" s="492"/>
      <c r="B92" s="508" t="s">
        <v>42</v>
      </c>
      <c r="C92" s="339" t="s">
        <v>257</v>
      </c>
      <c r="D92" s="340" t="s">
        <v>258</v>
      </c>
      <c r="E92" s="339" t="s">
        <v>214</v>
      </c>
      <c r="F92" s="344">
        <v>0</v>
      </c>
      <c r="G92" s="339">
        <v>2.69E-2</v>
      </c>
      <c r="H92" s="339" t="s">
        <v>231</v>
      </c>
      <c r="I92" s="343" t="s">
        <v>232</v>
      </c>
      <c r="J92" s="85">
        <f>INDEX('Diesel Generators PTE'!$M$6:$R$56,MATCH(C92,'Diesel Generators PTE'!$I$6:$I$56,0),MATCH(B92,'Diesel Generators PTE'!$M$5:$R$5,0))</f>
        <v>6.1473838917777766E-2</v>
      </c>
      <c r="K92" s="85">
        <f t="shared" si="2"/>
        <v>8.8419787822529972E-7</v>
      </c>
      <c r="L92" s="85">
        <f>INDEX('Diesel Generators PTE'!$S$6:$X$56,MATCH(C92,'Diesel Generators PTE'!$I$6:$I$56,0),MATCH(B92,'Diesel Generators PTE'!$S$5:$X$5,0))</f>
        <v>1.6124176224444446E-2</v>
      </c>
      <c r="M92" s="509">
        <f t="shared" si="3"/>
        <v>8.4650501249345007E-5</v>
      </c>
      <c r="N92" s="284"/>
    </row>
    <row r="93" spans="1:14" ht="15.75" x14ac:dyDescent="0.25">
      <c r="A93" s="492"/>
      <c r="B93" s="508" t="s">
        <v>42</v>
      </c>
      <c r="C93" s="339" t="s">
        <v>259</v>
      </c>
      <c r="D93" s="340" t="s">
        <v>260</v>
      </c>
      <c r="E93" s="339" t="s">
        <v>214</v>
      </c>
      <c r="F93" s="344">
        <v>0</v>
      </c>
      <c r="G93" s="339">
        <v>0.18629999999999999</v>
      </c>
      <c r="H93" s="339" t="s">
        <v>231</v>
      </c>
      <c r="I93" s="343" t="s">
        <v>232</v>
      </c>
      <c r="J93" s="85">
        <f>INDEX('Diesel Generators PTE'!$M$6:$R$56,MATCH(C93,'Diesel Generators PTE'!$I$6:$I$56,0),MATCH(B93,'Diesel Generators PTE'!$M$5:$R$5,0))</f>
        <v>0.42574632677999991</v>
      </c>
      <c r="K93" s="85">
        <f t="shared" si="2"/>
        <v>6.123645528378191E-6</v>
      </c>
      <c r="L93" s="85">
        <f>INDEX('Diesel Generators PTE'!$S$6:$X$56,MATCH(C93,'Diesel Generators PTE'!$I$6:$I$56,0),MATCH(B93,'Diesel Generators PTE'!$S$5:$X$5,0))</f>
        <v>0.11167041005999999</v>
      </c>
      <c r="M93" s="509">
        <f t="shared" si="3"/>
        <v>5.8625979118040786E-4</v>
      </c>
      <c r="N93" s="284"/>
    </row>
    <row r="94" spans="1:14" ht="15.75" x14ac:dyDescent="0.25">
      <c r="A94" s="492"/>
      <c r="B94" s="508" t="s">
        <v>42</v>
      </c>
      <c r="C94" s="339" t="s">
        <v>261</v>
      </c>
      <c r="D94" s="340" t="s">
        <v>262</v>
      </c>
      <c r="E94" s="339" t="s">
        <v>214</v>
      </c>
      <c r="F94" s="344">
        <v>0</v>
      </c>
      <c r="G94" s="339">
        <v>3.0999999999999999E-3</v>
      </c>
      <c r="H94" s="339" t="s">
        <v>231</v>
      </c>
      <c r="I94" s="343" t="s">
        <v>232</v>
      </c>
      <c r="J94" s="85">
        <f>INDEX('Diesel Generators PTE'!$M$6:$R$56,MATCH(C94,'Diesel Generators PTE'!$I$6:$I$56,0),MATCH(B94,'Diesel Generators PTE'!$M$5:$R$5,0))</f>
        <v>6.9210599999999988E-3</v>
      </c>
      <c r="K94" s="85">
        <f t="shared" si="2"/>
        <v>9.9547818629889633E-8</v>
      </c>
      <c r="L94" s="85">
        <f>INDEX('Diesel Generators PTE'!$S$6:$X$56,MATCH(C94,'Diesel Generators PTE'!$I$6:$I$56,0),MATCH(B94,'Diesel Generators PTE'!$S$5:$X$5,0))</f>
        <v>1.845616E-3</v>
      </c>
      <c r="M94" s="509">
        <f t="shared" si="3"/>
        <v>9.6893210133092606E-6</v>
      </c>
      <c r="N94" s="284"/>
    </row>
    <row r="95" spans="1:14" ht="15.75" x14ac:dyDescent="0.25">
      <c r="A95" s="492"/>
      <c r="B95" s="508" t="s">
        <v>42</v>
      </c>
      <c r="C95" s="339" t="s">
        <v>263</v>
      </c>
      <c r="D95" s="340" t="s">
        <v>264</v>
      </c>
      <c r="E95" s="339" t="s">
        <v>214</v>
      </c>
      <c r="F95" s="344">
        <v>0</v>
      </c>
      <c r="G95" s="339">
        <v>2E-3</v>
      </c>
      <c r="H95" s="339" t="s">
        <v>231</v>
      </c>
      <c r="I95" s="343" t="s">
        <v>232</v>
      </c>
      <c r="J95" s="85">
        <f>INDEX('Diesel Generators PTE'!$M$6:$R$56,MATCH(C95,'Diesel Generators PTE'!$I$6:$I$56,0),MATCH(B95,'Diesel Generators PTE'!$M$5:$R$5,0))</f>
        <v>4.4651999999999999E-3</v>
      </c>
      <c r="K95" s="85">
        <f t="shared" si="2"/>
        <v>6.4224399116057845E-8</v>
      </c>
      <c r="L95" s="85">
        <f>INDEX('Diesel Generators PTE'!$S$6:$X$56,MATCH(C95,'Diesel Generators PTE'!$I$6:$I$56,0),MATCH(B95,'Diesel Generators PTE'!$S$5:$X$5,0))</f>
        <v>1.1907199999999999E-3</v>
      </c>
      <c r="M95" s="509">
        <f t="shared" si="3"/>
        <v>6.2511748472962967E-6</v>
      </c>
      <c r="N95" s="284"/>
    </row>
    <row r="96" spans="1:14" ht="15.75" x14ac:dyDescent="0.25">
      <c r="A96" s="492"/>
      <c r="B96" s="508" t="s">
        <v>42</v>
      </c>
      <c r="C96" s="339" t="s">
        <v>265</v>
      </c>
      <c r="D96" s="340" t="s">
        <v>266</v>
      </c>
      <c r="E96" s="339" t="s">
        <v>214</v>
      </c>
      <c r="F96" s="344">
        <v>0</v>
      </c>
      <c r="G96" s="339">
        <v>2.2000000000000001E-3</v>
      </c>
      <c r="H96" s="339" t="s">
        <v>231</v>
      </c>
      <c r="I96" s="343" t="s">
        <v>232</v>
      </c>
      <c r="J96" s="85">
        <f>INDEX('Diesel Generators PTE'!$M$6:$R$56,MATCH(C96,'Diesel Generators PTE'!$I$6:$I$56,0),MATCH(B96,'Diesel Generators PTE'!$M$5:$R$5,0))</f>
        <v>4.9117199999999996E-3</v>
      </c>
      <c r="K96" s="85">
        <f t="shared" si="2"/>
        <v>7.0646839027663615E-8</v>
      </c>
      <c r="L96" s="85">
        <f>INDEX('Diesel Generators PTE'!$S$6:$X$56,MATCH(C96,'Diesel Generators PTE'!$I$6:$I$56,0),MATCH(B96,'Diesel Generators PTE'!$S$5:$X$5,0))</f>
        <v>1.3097920000000002E-3</v>
      </c>
      <c r="M96" s="509">
        <f t="shared" si="3"/>
        <v>6.8762923320259271E-6</v>
      </c>
      <c r="N96" s="284"/>
    </row>
    <row r="97" spans="1:14" ht="15.75" x14ac:dyDescent="0.25">
      <c r="A97" s="492"/>
      <c r="B97" s="508" t="s">
        <v>42</v>
      </c>
      <c r="C97" s="339" t="s">
        <v>267</v>
      </c>
      <c r="D97" s="340" t="s">
        <v>268</v>
      </c>
      <c r="E97" s="339" t="s">
        <v>214</v>
      </c>
      <c r="F97" s="344">
        <v>0</v>
      </c>
      <c r="G97" s="339">
        <v>0.10539999999999999</v>
      </c>
      <c r="H97" s="339" t="s">
        <v>231</v>
      </c>
      <c r="I97" s="343" t="s">
        <v>232</v>
      </c>
      <c r="J97" s="85">
        <f>INDEX('Diesel Generators PTE'!$M$6:$R$56,MATCH(C97,'Diesel Generators PTE'!$I$6:$I$56,0),MATCH(B97,'Diesel Generators PTE'!$M$5:$R$5,0))</f>
        <v>0.24086775546222217</v>
      </c>
      <c r="K97" s="85">
        <f t="shared" si="2"/>
        <v>3.4644779317824011E-6</v>
      </c>
      <c r="L97" s="85">
        <f>INDEX('Diesel Generators PTE'!$S$6:$X$56,MATCH(C97,'Diesel Generators PTE'!$I$6:$I$56,0),MATCH(B97,'Diesel Generators PTE'!$S$5:$X$5,0))</f>
        <v>6.3177999035555557E-2</v>
      </c>
      <c r="M97" s="509">
        <f t="shared" si="3"/>
        <v>3.3167891567587222E-4</v>
      </c>
      <c r="N97" s="284"/>
    </row>
    <row r="98" spans="1:14" ht="15.75" x14ac:dyDescent="0.25">
      <c r="A98" s="492"/>
      <c r="B98" s="508" t="s">
        <v>42</v>
      </c>
      <c r="C98" s="339" t="s">
        <v>269</v>
      </c>
      <c r="D98" s="340" t="s">
        <v>270</v>
      </c>
      <c r="E98" s="339" t="s">
        <v>214</v>
      </c>
      <c r="F98" s="344">
        <v>0</v>
      </c>
      <c r="G98" s="339">
        <v>4.24E-2</v>
      </c>
      <c r="H98" s="339" t="s">
        <v>231</v>
      </c>
      <c r="I98" s="343" t="s">
        <v>232</v>
      </c>
      <c r="J98" s="85">
        <f>INDEX('Diesel Generators PTE'!$M$6:$R$56,MATCH(C98,'Diesel Generators PTE'!$I$6:$I$56,0),MATCH(B98,'Diesel Generators PTE'!$M$5:$R$5,0))</f>
        <v>9.6895567662222196E-2</v>
      </c>
      <c r="K98" s="85">
        <f t="shared" si="2"/>
        <v>1.3936799270168293E-6</v>
      </c>
      <c r="L98" s="85">
        <f>INDEX('Diesel Generators PTE'!$S$6:$X$56,MATCH(C98,'Diesel Generators PTE'!$I$6:$I$56,0),MATCH(B98,'Diesel Generators PTE'!$S$5:$X$5,0))</f>
        <v>2.5415058435555558E-2</v>
      </c>
      <c r="M98" s="509">
        <f t="shared" si="3"/>
        <v>1.3342681237814974E-4</v>
      </c>
      <c r="N98" s="284"/>
    </row>
    <row r="99" spans="1:14" ht="15.75" x14ac:dyDescent="0.25">
      <c r="A99" s="492"/>
      <c r="B99" s="508" t="s">
        <v>42</v>
      </c>
      <c r="C99" s="339">
        <v>200</v>
      </c>
      <c r="D99" s="340" t="s">
        <v>271</v>
      </c>
      <c r="E99" s="339" t="s">
        <v>214</v>
      </c>
      <c r="F99" s="344">
        <v>0</v>
      </c>
      <c r="G99" s="339">
        <v>33.5</v>
      </c>
      <c r="H99" s="339" t="s">
        <v>231</v>
      </c>
      <c r="I99" s="343" t="s">
        <v>232</v>
      </c>
      <c r="J99" s="85">
        <f>INDEX('Diesel Generators PTE'!$M$6:$R$56,MATCH(C99,'Diesel Generators PTE'!$I$6:$I$56,0),MATCH(B99,'Diesel Generators PTE'!$M$5:$R$5,0))</f>
        <v>76.556639544444437</v>
      </c>
      <c r="K99" s="85">
        <f t="shared" si="2"/>
        <v>1.101138621581693E-3</v>
      </c>
      <c r="L99" s="85">
        <f>INDEX('Diesel Generators PTE'!$S$6:$X$56,MATCH(C99,'Diesel Generators PTE'!$I$6:$I$56,0),MATCH(B99,'Diesel Generators PTE'!$S$5:$X$5,0))</f>
        <v>20.080293811111108</v>
      </c>
      <c r="M99" s="509">
        <f t="shared" si="3"/>
        <v>0.10541976921386829</v>
      </c>
      <c r="N99" s="284"/>
    </row>
    <row r="100" spans="1:14" ht="15.75" x14ac:dyDescent="0.25">
      <c r="A100" s="492"/>
      <c r="B100" s="508" t="s">
        <v>44</v>
      </c>
      <c r="C100" s="339" t="s">
        <v>221</v>
      </c>
      <c r="D100" s="340" t="s">
        <v>222</v>
      </c>
      <c r="E100" s="339" t="s">
        <v>214</v>
      </c>
      <c r="F100" s="341">
        <v>0</v>
      </c>
      <c r="G100" s="339">
        <v>0.18629999999999999</v>
      </c>
      <c r="H100" s="339" t="s">
        <v>231</v>
      </c>
      <c r="I100" s="343" t="s">
        <v>232</v>
      </c>
      <c r="J100" s="85">
        <f>INDEX('Diesel Generators PTE'!$M$6:$R$56,MATCH(C100,'Diesel Generators PTE'!$I$6:$I$56,0),MATCH(B100,'Diesel Generators PTE'!$M$5:$R$5,0))</f>
        <v>0.42574632677999991</v>
      </c>
      <c r="K100" s="85">
        <f t="shared" si="2"/>
        <v>6.123645528378191E-6</v>
      </c>
      <c r="L100" s="85">
        <f>INDEX('Diesel Generators PTE'!$S$6:$X$56,MATCH(C100,'Diesel Generators PTE'!$I$6:$I$56,0),MATCH(B100,'Diesel Generators PTE'!$S$5:$X$5,0))</f>
        <v>0.11167041005999999</v>
      </c>
      <c r="M100" s="509">
        <f t="shared" si="3"/>
        <v>5.8625979118040786E-4</v>
      </c>
      <c r="N100" s="284"/>
    </row>
    <row r="101" spans="1:14" ht="15.75" x14ac:dyDescent="0.25">
      <c r="A101" s="492"/>
      <c r="B101" s="508" t="s">
        <v>44</v>
      </c>
      <c r="C101" s="339" t="s">
        <v>233</v>
      </c>
      <c r="D101" s="340" t="s">
        <v>234</v>
      </c>
      <c r="E101" s="339" t="s">
        <v>214</v>
      </c>
      <c r="F101" s="341">
        <v>0</v>
      </c>
      <c r="G101" s="339">
        <v>0.21740000000000001</v>
      </c>
      <c r="H101" s="339" t="s">
        <v>231</v>
      </c>
      <c r="I101" s="343" t="s">
        <v>232</v>
      </c>
      <c r="J101" s="85">
        <f>INDEX('Diesel Generators PTE'!$M$6:$R$56,MATCH(C101,'Diesel Generators PTE'!$I$6:$I$56,0),MATCH(B101,'Diesel Generators PTE'!$M$5:$R$5,0))</f>
        <v>0.49681831155111106</v>
      </c>
      <c r="K101" s="85">
        <f t="shared" si="2"/>
        <v>7.1458966069211968E-6</v>
      </c>
      <c r="L101" s="85">
        <f>INDEX('Diesel Generators PTE'!$S$6:$X$56,MATCH(C101,'Diesel Generators PTE'!$I$6:$I$56,0),MATCH(B101,'Diesel Generators PTE'!$S$5:$X$5,0))</f>
        <v>0.13031211565777778</v>
      </c>
      <c r="M101" s="509">
        <f t="shared" si="3"/>
        <v>6.8412709931626775E-4</v>
      </c>
      <c r="N101" s="284"/>
    </row>
    <row r="102" spans="1:14" ht="15.75" x14ac:dyDescent="0.25">
      <c r="A102" s="492"/>
      <c r="B102" s="508" t="s">
        <v>44</v>
      </c>
      <c r="C102" s="339" t="s">
        <v>235</v>
      </c>
      <c r="D102" s="340" t="s">
        <v>236</v>
      </c>
      <c r="E102" s="339" t="s">
        <v>214</v>
      </c>
      <c r="F102" s="341">
        <v>0</v>
      </c>
      <c r="G102" s="339">
        <v>1.5E-3</v>
      </c>
      <c r="H102" s="339" t="s">
        <v>231</v>
      </c>
      <c r="I102" s="343" t="s">
        <v>232</v>
      </c>
      <c r="J102" s="85">
        <f>INDEX('Diesel Generators PTE'!$M$6:$R$56,MATCH(C102,'Diesel Generators PTE'!$I$6:$I$56,0),MATCH(B102,'Diesel Generators PTE'!$M$5:$R$5,0))</f>
        <v>3.3488999999999997E-3</v>
      </c>
      <c r="K102" s="85">
        <f t="shared" si="2"/>
        <v>4.8168299337043374E-8</v>
      </c>
      <c r="L102" s="85">
        <f>INDEX('Diesel Generators PTE'!$S$6:$X$56,MATCH(C102,'Diesel Generators PTE'!$I$6:$I$56,0),MATCH(B102,'Diesel Generators PTE'!$S$5:$X$5,0))</f>
        <v>8.9304E-4</v>
      </c>
      <c r="M102" s="509">
        <f t="shared" si="3"/>
        <v>4.6883811354722223E-6</v>
      </c>
      <c r="N102" s="284"/>
    </row>
    <row r="103" spans="1:14" ht="15.75" x14ac:dyDescent="0.25">
      <c r="A103" s="492"/>
      <c r="B103" s="508" t="s">
        <v>44</v>
      </c>
      <c r="C103" s="339" t="s">
        <v>237</v>
      </c>
      <c r="D103" s="340" t="s">
        <v>238</v>
      </c>
      <c r="E103" s="339" t="s">
        <v>214</v>
      </c>
      <c r="F103" s="344">
        <v>0</v>
      </c>
      <c r="G103" s="339">
        <v>1.7261</v>
      </c>
      <c r="H103" s="339" t="s">
        <v>231</v>
      </c>
      <c r="I103" s="343" t="s">
        <v>232</v>
      </c>
      <c r="J103" s="85">
        <f>INDEX('Diesel Generators PTE'!$M$6:$R$56,MATCH(C103,'Diesel Generators PTE'!$I$6:$I$56,0),MATCH(B103,'Diesel Generators PTE'!$M$5:$R$5,0))</f>
        <v>3.9446094184377771</v>
      </c>
      <c r="K103" s="85">
        <f t="shared" si="2"/>
        <v>5.6736578349616726E-5</v>
      </c>
      <c r="L103" s="85">
        <f>INDEX('Diesel Generators PTE'!$S$6:$X$56,MATCH(C103,'Diesel Generators PTE'!$I$6:$I$56,0),MATCH(B103,'Diesel Generators PTE'!$S$5:$X$5,0))</f>
        <v>1.0346446312644444</v>
      </c>
      <c r="M103" s="509">
        <f t="shared" si="3"/>
        <v>5.431792944479345E-3</v>
      </c>
      <c r="N103" s="284"/>
    </row>
    <row r="104" spans="1:14" ht="15.75" x14ac:dyDescent="0.25">
      <c r="A104" s="492"/>
      <c r="B104" s="508" t="s">
        <v>44</v>
      </c>
      <c r="C104" s="339" t="s">
        <v>239</v>
      </c>
      <c r="D104" s="340" t="s">
        <v>240</v>
      </c>
      <c r="E104" s="339" t="s">
        <v>214</v>
      </c>
      <c r="F104" s="344">
        <v>0</v>
      </c>
      <c r="G104" s="339">
        <v>1E-4</v>
      </c>
      <c r="H104" s="339" t="s">
        <v>231</v>
      </c>
      <c r="I104" s="343" t="s">
        <v>232</v>
      </c>
      <c r="J104" s="85">
        <f>INDEX('Diesel Generators PTE'!$M$6:$R$56,MATCH(C104,'Diesel Generators PTE'!$I$6:$I$56,0),MATCH(B104,'Diesel Generators PTE'!$M$5:$R$5,0))</f>
        <v>2.2325999999999997E-4</v>
      </c>
      <c r="K104" s="85">
        <f t="shared" si="2"/>
        <v>3.211219955802892E-9</v>
      </c>
      <c r="L104" s="85">
        <f>INDEX('Diesel Generators PTE'!$S$6:$X$56,MATCH(C104,'Diesel Generators PTE'!$I$6:$I$56,0),MATCH(B104,'Diesel Generators PTE'!$S$5:$X$5,0))</f>
        <v>5.9536000000000001E-5</v>
      </c>
      <c r="M104" s="509">
        <f t="shared" si="3"/>
        <v>3.1255874236481484E-7</v>
      </c>
      <c r="N104" s="284"/>
    </row>
    <row r="105" spans="1:14" ht="15.75" x14ac:dyDescent="0.25">
      <c r="A105" s="492"/>
      <c r="B105" s="508" t="s">
        <v>44</v>
      </c>
      <c r="C105" s="339" t="s">
        <v>218</v>
      </c>
      <c r="D105" s="340" t="s">
        <v>219</v>
      </c>
      <c r="E105" s="339" t="s">
        <v>214</v>
      </c>
      <c r="F105" s="344">
        <v>0</v>
      </c>
      <c r="G105" s="339">
        <v>1.6000000000000001E-3</v>
      </c>
      <c r="H105" s="339" t="s">
        <v>231</v>
      </c>
      <c r="I105" s="343" t="s">
        <v>232</v>
      </c>
      <c r="J105" s="85">
        <f>INDEX('Diesel Generators PTE'!$M$6:$R$56,MATCH(C105,'Diesel Generators PTE'!$I$6:$I$56,0),MATCH(B105,'Diesel Generators PTE'!$M$5:$R$5,0))</f>
        <v>3.5721599999999996E-3</v>
      </c>
      <c r="K105" s="85">
        <f t="shared" si="2"/>
        <v>5.1379519292846272E-8</v>
      </c>
      <c r="L105" s="85">
        <f>INDEX('Diesel Generators PTE'!$S$6:$X$56,MATCH(C105,'Diesel Generators PTE'!$I$6:$I$56,0),MATCH(B105,'Diesel Generators PTE'!$S$5:$X$5,0))</f>
        <v>9.5257600000000001E-4</v>
      </c>
      <c r="M105" s="509">
        <f t="shared" si="3"/>
        <v>5.0009398778370375E-6</v>
      </c>
      <c r="N105" s="284"/>
    </row>
    <row r="106" spans="1:14" ht="15.75" x14ac:dyDescent="0.25">
      <c r="A106" s="492"/>
      <c r="B106" s="508" t="s">
        <v>44</v>
      </c>
      <c r="C106" s="339" t="s">
        <v>241</v>
      </c>
      <c r="D106" s="340" t="s">
        <v>242</v>
      </c>
      <c r="E106" s="339" t="s">
        <v>214</v>
      </c>
      <c r="F106" s="344">
        <v>0</v>
      </c>
      <c r="G106" s="339">
        <v>8.3000000000000001E-3</v>
      </c>
      <c r="H106" s="339" t="s">
        <v>231</v>
      </c>
      <c r="I106" s="343" t="s">
        <v>232</v>
      </c>
      <c r="J106" s="85">
        <f>INDEX('Diesel Generators PTE'!$M$6:$R$56,MATCH(C106,'Diesel Generators PTE'!$I$6:$I$56,0),MATCH(B106,'Diesel Generators PTE'!$M$5:$R$5,0))</f>
        <v>1.8530579999999998E-2</v>
      </c>
      <c r="K106" s="85">
        <f t="shared" si="2"/>
        <v>2.6653125633164002E-7</v>
      </c>
      <c r="L106" s="85">
        <f>INDEX('Diesel Generators PTE'!$S$6:$X$56,MATCH(C106,'Diesel Generators PTE'!$I$6:$I$56,0),MATCH(B106,'Diesel Generators PTE'!$S$5:$X$5,0))</f>
        <v>4.941488E-3</v>
      </c>
      <c r="M106" s="509">
        <f t="shared" si="3"/>
        <v>2.594237561627963E-5</v>
      </c>
      <c r="N106" s="284"/>
    </row>
    <row r="107" spans="1:14" ht="15.75" x14ac:dyDescent="0.25">
      <c r="A107" s="492"/>
      <c r="B107" s="508" t="s">
        <v>44</v>
      </c>
      <c r="C107" s="339">
        <v>365</v>
      </c>
      <c r="D107" s="340" t="s">
        <v>243</v>
      </c>
      <c r="E107" s="339" t="s">
        <v>214</v>
      </c>
      <c r="F107" s="344">
        <v>0</v>
      </c>
      <c r="G107" s="339">
        <v>3.8999999999999998E-3</v>
      </c>
      <c r="H107" s="339" t="s">
        <v>231</v>
      </c>
      <c r="I107" s="343" t="s">
        <v>232</v>
      </c>
      <c r="J107" s="85">
        <f>INDEX('Diesel Generators PTE'!$M$6:$R$56,MATCH(C107,'Diesel Generators PTE'!$I$6:$I$56,0),MATCH(B107,'Diesel Generators PTE'!$M$5:$R$5,0))</f>
        <v>8.7071399999999986E-3</v>
      </c>
      <c r="K107" s="85">
        <f t="shared" si="2"/>
        <v>1.2523757827631279E-7</v>
      </c>
      <c r="L107" s="85">
        <f>INDEX('Diesel Generators PTE'!$S$6:$X$56,MATCH(C107,'Diesel Generators PTE'!$I$6:$I$56,0),MATCH(B107,'Diesel Generators PTE'!$S$5:$X$5,0))</f>
        <v>2.3219040000000001E-3</v>
      </c>
      <c r="M107" s="509">
        <f t="shared" si="3"/>
        <v>1.2189790952227779E-5</v>
      </c>
      <c r="N107" s="284"/>
    </row>
    <row r="108" spans="1:14" ht="15.75" x14ac:dyDescent="0.25">
      <c r="A108" s="492"/>
      <c r="B108" s="508" t="s">
        <v>44</v>
      </c>
      <c r="C108" s="339" t="s">
        <v>244</v>
      </c>
      <c r="D108" s="340" t="s">
        <v>245</v>
      </c>
      <c r="E108" s="339" t="s">
        <v>214</v>
      </c>
      <c r="F108" s="344">
        <v>0</v>
      </c>
      <c r="G108" s="339">
        <v>1.9699999999999999E-2</v>
      </c>
      <c r="H108" s="339" t="s">
        <v>231</v>
      </c>
      <c r="I108" s="343" t="s">
        <v>232</v>
      </c>
      <c r="J108" s="85">
        <f>INDEX('Diesel Generators PTE'!$M$6:$R$56,MATCH(C108,'Diesel Generators PTE'!$I$6:$I$56,0),MATCH(B108,'Diesel Generators PTE'!$M$5:$R$5,0))</f>
        <v>4.5019874597777766E-2</v>
      </c>
      <c r="K108" s="85">
        <f t="shared" si="2"/>
        <v>6.4753524910923444E-7</v>
      </c>
      <c r="L108" s="85">
        <f>INDEX('Diesel Generators PTE'!$S$6:$X$56,MATCH(C108,'Diesel Generators PTE'!$I$6:$I$56,0),MATCH(B108,'Diesel Generators PTE'!$S$5:$X$5,0))</f>
        <v>1.1808411584444444E-2</v>
      </c>
      <c r="M108" s="509">
        <f t="shared" si="3"/>
        <v>6.1993118015319564E-5</v>
      </c>
      <c r="N108" s="284"/>
    </row>
    <row r="109" spans="1:14" ht="15.75" x14ac:dyDescent="0.25">
      <c r="A109" s="492"/>
      <c r="B109" s="508" t="s">
        <v>44</v>
      </c>
      <c r="C109" s="339">
        <v>401</v>
      </c>
      <c r="D109" s="340" t="s">
        <v>246</v>
      </c>
      <c r="E109" s="339" t="s">
        <v>214</v>
      </c>
      <c r="F109" s="344">
        <v>0</v>
      </c>
      <c r="G109" s="339">
        <v>3.6200000000000003E-2</v>
      </c>
      <c r="H109" s="339" t="s">
        <v>231</v>
      </c>
      <c r="I109" s="343" t="s">
        <v>232</v>
      </c>
      <c r="J109" s="85">
        <f>INDEX('Diesel Generators PTE'!$M$6:$R$56,MATCH(C109,'Diesel Generators PTE'!$I$6:$I$56,0),MATCH(B109,'Diesel Generators PTE'!$M$5:$R$5,0))</f>
        <v>8.2726876164444435E-2</v>
      </c>
      <c r="K109" s="85">
        <f t="shared" si="2"/>
        <v>1.1898871075002176E-6</v>
      </c>
      <c r="L109" s="85">
        <f>INDEX('Diesel Generators PTE'!$S$6:$X$56,MATCH(C109,'Diesel Generators PTE'!$I$6:$I$56,0),MATCH(B109,'Diesel Generators PTE'!$S$5:$X$5,0))</f>
        <v>2.1698705551111114E-2</v>
      </c>
      <c r="M109" s="509">
        <f t="shared" si="3"/>
        <v>1.1391628792662785E-4</v>
      </c>
      <c r="N109" s="284"/>
    </row>
    <row r="110" spans="1:14" ht="15.75" x14ac:dyDescent="0.25">
      <c r="A110" s="492"/>
      <c r="B110" s="508" t="s">
        <v>44</v>
      </c>
      <c r="C110" s="339" t="s">
        <v>247</v>
      </c>
      <c r="D110" s="340" t="s">
        <v>248</v>
      </c>
      <c r="E110" s="339" t="s">
        <v>214</v>
      </c>
      <c r="F110" s="344">
        <v>0</v>
      </c>
      <c r="G110" s="339">
        <v>0.7833</v>
      </c>
      <c r="H110" s="339" t="s">
        <v>231</v>
      </c>
      <c r="I110" s="343" t="s">
        <v>232</v>
      </c>
      <c r="J110" s="85">
        <f>INDEX('Diesel Generators PTE'!$M$6:$R$56,MATCH(C110,'Diesel Generators PTE'!$I$6:$I$56,0),MATCH(B110,'Diesel Generators PTE'!$M$5:$R$5,0))</f>
        <v>1.7900542016466663</v>
      </c>
      <c r="K110" s="85">
        <f t="shared" si="2"/>
        <v>2.5746921859251943E-5</v>
      </c>
      <c r="L110" s="85">
        <f>INDEX('Diesel Generators PTE'!$S$6:$X$56,MATCH(C110,'Diesel Generators PTE'!$I$6:$I$56,0),MATCH(B110,'Diesel Generators PTE'!$S$5:$X$5,0))</f>
        <v>0.46951922812666663</v>
      </c>
      <c r="M110" s="509">
        <f t="shared" si="3"/>
        <v>2.4649344843350163E-3</v>
      </c>
      <c r="N110" s="284"/>
    </row>
    <row r="111" spans="1:14" ht="15.75" x14ac:dyDescent="0.25">
      <c r="A111" s="492"/>
      <c r="B111" s="508" t="s">
        <v>44</v>
      </c>
      <c r="C111" s="339" t="s">
        <v>249</v>
      </c>
      <c r="D111" s="340" t="s">
        <v>250</v>
      </c>
      <c r="E111" s="339" t="s">
        <v>214</v>
      </c>
      <c r="F111" s="344">
        <v>0</v>
      </c>
      <c r="G111" s="339">
        <v>3.39E-2</v>
      </c>
      <c r="H111" s="339" t="s">
        <v>231</v>
      </c>
      <c r="I111" s="343" t="s">
        <v>232</v>
      </c>
      <c r="J111" s="85">
        <f>INDEX('Diesel Generators PTE'!$M$6:$R$56,MATCH(C111,'Diesel Generators PTE'!$I$6:$I$56,0),MATCH(B111,'Diesel Generators PTE'!$M$5:$R$5,0))</f>
        <v>7.7470748673333312E-2</v>
      </c>
      <c r="K111" s="85">
        <f t="shared" si="2"/>
        <v>1.1142865454214741E-6</v>
      </c>
      <c r="L111" s="85">
        <f>INDEX('Diesel Generators PTE'!$S$6:$X$56,MATCH(C111,'Diesel Generators PTE'!$I$6:$I$56,0),MATCH(B111,'Diesel Generators PTE'!$S$5:$X$5,0))</f>
        <v>2.0320058513333333E-2</v>
      </c>
      <c r="M111" s="509">
        <f t="shared" si="3"/>
        <v>1.0667851272686972E-4</v>
      </c>
      <c r="N111" s="284"/>
    </row>
    <row r="112" spans="1:14" ht="15.75" x14ac:dyDescent="0.25">
      <c r="A112" s="492"/>
      <c r="B112" s="508" t="s">
        <v>44</v>
      </c>
      <c r="C112" s="339" t="s">
        <v>251</v>
      </c>
      <c r="D112" s="340" t="s">
        <v>252</v>
      </c>
      <c r="E112" s="339" t="s">
        <v>214</v>
      </c>
      <c r="F112" s="344">
        <v>0</v>
      </c>
      <c r="G112" s="339">
        <v>0.8</v>
      </c>
      <c r="H112" s="339" t="s">
        <v>231</v>
      </c>
      <c r="I112" s="343" t="s">
        <v>232</v>
      </c>
      <c r="J112" s="85">
        <f>INDEX('Diesel Generators PTE'!$M$6:$R$56,MATCH(C112,'Diesel Generators PTE'!$I$6:$I$56,0),MATCH(B112,'Diesel Generators PTE'!$M$5:$R$5,0))</f>
        <v>1.7860799999999999</v>
      </c>
      <c r="K112" s="85">
        <f t="shared" si="2"/>
        <v>2.5689759646423135E-5</v>
      </c>
      <c r="L112" s="85">
        <f>INDEX('Diesel Generators PTE'!$S$6:$X$56,MATCH(C112,'Diesel Generators PTE'!$I$6:$I$56,0),MATCH(B112,'Diesel Generators PTE'!$S$5:$X$5,0))</f>
        <v>0.47628800000000004</v>
      </c>
      <c r="M112" s="509">
        <f t="shared" si="3"/>
        <v>2.5004699389185188E-3</v>
      </c>
      <c r="N112" s="284"/>
    </row>
    <row r="113" spans="1:14" ht="15.75" x14ac:dyDescent="0.25">
      <c r="A113" s="492"/>
      <c r="B113" s="508" t="s">
        <v>44</v>
      </c>
      <c r="C113" s="339" t="s">
        <v>253</v>
      </c>
      <c r="D113" s="340" t="s">
        <v>254</v>
      </c>
      <c r="E113" s="339" t="s">
        <v>214</v>
      </c>
      <c r="F113" s="344">
        <v>0</v>
      </c>
      <c r="G113" s="339">
        <v>4.1000000000000003E-3</v>
      </c>
      <c r="H113" s="339" t="s">
        <v>231</v>
      </c>
      <c r="I113" s="343" t="s">
        <v>232</v>
      </c>
      <c r="J113" s="85">
        <f>INDEX('Diesel Generators PTE'!$M$6:$R$56,MATCH(C113,'Diesel Generators PTE'!$I$6:$I$56,0),MATCH(B113,'Diesel Generators PTE'!$M$5:$R$5,0))</f>
        <v>9.1536599999999992E-3</v>
      </c>
      <c r="K113" s="85">
        <f t="shared" si="2"/>
        <v>1.3166001818791856E-7</v>
      </c>
      <c r="L113" s="85">
        <f>INDEX('Diesel Generators PTE'!$S$6:$X$56,MATCH(C113,'Diesel Generators PTE'!$I$6:$I$56,0),MATCH(B113,'Diesel Generators PTE'!$S$5:$X$5,0))</f>
        <v>2.4409760000000001E-3</v>
      </c>
      <c r="M113" s="509">
        <f t="shared" si="3"/>
        <v>1.2814908436957409E-5</v>
      </c>
      <c r="N113" s="284"/>
    </row>
    <row r="114" spans="1:14" ht="15.75" x14ac:dyDescent="0.25">
      <c r="A114" s="492"/>
      <c r="B114" s="508" t="s">
        <v>44</v>
      </c>
      <c r="C114" s="339" t="s">
        <v>255</v>
      </c>
      <c r="D114" s="340" t="s">
        <v>256</v>
      </c>
      <c r="E114" s="339" t="s">
        <v>214</v>
      </c>
      <c r="F114" s="344">
        <v>0</v>
      </c>
      <c r="G114" s="339">
        <v>1.09E-2</v>
      </c>
      <c r="H114" s="339" t="s">
        <v>231</v>
      </c>
      <c r="I114" s="343" t="s">
        <v>232</v>
      </c>
      <c r="J114" s="85">
        <f>INDEX('Diesel Generators PTE'!$M$6:$R$56,MATCH(C114,'Diesel Generators PTE'!$I$6:$I$56,0),MATCH(B114,'Diesel Generators PTE'!$M$5:$R$5,0))</f>
        <v>2.4909473762222217E-2</v>
      </c>
      <c r="K114" s="85">
        <f t="shared" si="2"/>
        <v>3.5828092463404341E-7</v>
      </c>
      <c r="L114" s="85">
        <f>INDEX('Diesel Generators PTE'!$S$6:$X$56,MATCH(C114,'Diesel Generators PTE'!$I$6:$I$56,0),MATCH(B114,'Diesel Generators PTE'!$S$5:$X$5,0))</f>
        <v>6.5335881355555554E-3</v>
      </c>
      <c r="M114" s="509">
        <f t="shared" si="3"/>
        <v>3.4300760729288489E-5</v>
      </c>
      <c r="N114" s="284"/>
    </row>
    <row r="115" spans="1:14" ht="15.75" x14ac:dyDescent="0.25">
      <c r="A115" s="492"/>
      <c r="B115" s="508" t="s">
        <v>44</v>
      </c>
      <c r="C115" s="339" t="s">
        <v>257</v>
      </c>
      <c r="D115" s="340" t="s">
        <v>258</v>
      </c>
      <c r="E115" s="339" t="s">
        <v>214</v>
      </c>
      <c r="F115" s="344">
        <v>0</v>
      </c>
      <c r="G115" s="339">
        <v>2.69E-2</v>
      </c>
      <c r="H115" s="339" t="s">
        <v>231</v>
      </c>
      <c r="I115" s="343" t="s">
        <v>232</v>
      </c>
      <c r="J115" s="85">
        <f>INDEX('Diesel Generators PTE'!$M$6:$R$56,MATCH(C115,'Diesel Generators PTE'!$I$6:$I$56,0),MATCH(B115,'Diesel Generators PTE'!$M$5:$R$5,0))</f>
        <v>6.1473838917777766E-2</v>
      </c>
      <c r="K115" s="85">
        <f t="shared" si="2"/>
        <v>8.8419787822529972E-7</v>
      </c>
      <c r="L115" s="85">
        <f>INDEX('Diesel Generators PTE'!$S$6:$X$56,MATCH(C115,'Diesel Generators PTE'!$I$6:$I$56,0),MATCH(B115,'Diesel Generators PTE'!$S$5:$X$5,0))</f>
        <v>1.6124176224444446E-2</v>
      </c>
      <c r="M115" s="509">
        <f t="shared" si="3"/>
        <v>8.4650501249345007E-5</v>
      </c>
      <c r="N115" s="284"/>
    </row>
    <row r="116" spans="1:14" ht="15.75" x14ac:dyDescent="0.25">
      <c r="A116" s="492"/>
      <c r="B116" s="508" t="s">
        <v>44</v>
      </c>
      <c r="C116" s="339" t="s">
        <v>259</v>
      </c>
      <c r="D116" s="340" t="s">
        <v>260</v>
      </c>
      <c r="E116" s="339" t="s">
        <v>214</v>
      </c>
      <c r="F116" s="344">
        <v>0</v>
      </c>
      <c r="G116" s="339">
        <v>0.18629999999999999</v>
      </c>
      <c r="H116" s="339" t="s">
        <v>231</v>
      </c>
      <c r="I116" s="343" t="s">
        <v>232</v>
      </c>
      <c r="J116" s="85">
        <f>INDEX('Diesel Generators PTE'!$M$6:$R$56,MATCH(C116,'Diesel Generators PTE'!$I$6:$I$56,0),MATCH(B116,'Diesel Generators PTE'!$M$5:$R$5,0))</f>
        <v>0.42574632677999991</v>
      </c>
      <c r="K116" s="85">
        <f t="shared" si="2"/>
        <v>6.123645528378191E-6</v>
      </c>
      <c r="L116" s="85">
        <f>INDEX('Diesel Generators PTE'!$S$6:$X$56,MATCH(C116,'Diesel Generators PTE'!$I$6:$I$56,0),MATCH(B116,'Diesel Generators PTE'!$S$5:$X$5,0))</f>
        <v>0.11167041005999999</v>
      </c>
      <c r="M116" s="509">
        <f t="shared" si="3"/>
        <v>5.8625979118040786E-4</v>
      </c>
      <c r="N116" s="284"/>
    </row>
    <row r="117" spans="1:14" ht="15.75" x14ac:dyDescent="0.25">
      <c r="A117" s="492"/>
      <c r="B117" s="508" t="s">
        <v>44</v>
      </c>
      <c r="C117" s="339" t="s">
        <v>261</v>
      </c>
      <c r="D117" s="340" t="s">
        <v>262</v>
      </c>
      <c r="E117" s="339" t="s">
        <v>214</v>
      </c>
      <c r="F117" s="344">
        <v>0</v>
      </c>
      <c r="G117" s="339">
        <v>3.0999999999999999E-3</v>
      </c>
      <c r="H117" s="339" t="s">
        <v>231</v>
      </c>
      <c r="I117" s="343" t="s">
        <v>232</v>
      </c>
      <c r="J117" s="85">
        <f>INDEX('Diesel Generators PTE'!$M$6:$R$56,MATCH(C117,'Diesel Generators PTE'!$I$6:$I$56,0),MATCH(B117,'Diesel Generators PTE'!$M$5:$R$5,0))</f>
        <v>6.9210599999999988E-3</v>
      </c>
      <c r="K117" s="85">
        <f t="shared" si="2"/>
        <v>9.9547818629889633E-8</v>
      </c>
      <c r="L117" s="85">
        <f>INDEX('Diesel Generators PTE'!$S$6:$X$56,MATCH(C117,'Diesel Generators PTE'!$I$6:$I$56,0),MATCH(B117,'Diesel Generators PTE'!$S$5:$X$5,0))</f>
        <v>1.845616E-3</v>
      </c>
      <c r="M117" s="509">
        <f t="shared" si="3"/>
        <v>9.6893210133092606E-6</v>
      </c>
      <c r="N117" s="284"/>
    </row>
    <row r="118" spans="1:14" ht="15.75" x14ac:dyDescent="0.25">
      <c r="A118" s="492"/>
      <c r="B118" s="508" t="s">
        <v>44</v>
      </c>
      <c r="C118" s="339" t="s">
        <v>263</v>
      </c>
      <c r="D118" s="340" t="s">
        <v>264</v>
      </c>
      <c r="E118" s="339" t="s">
        <v>214</v>
      </c>
      <c r="F118" s="344">
        <v>0</v>
      </c>
      <c r="G118" s="339">
        <v>2E-3</v>
      </c>
      <c r="H118" s="339" t="s">
        <v>231</v>
      </c>
      <c r="I118" s="343" t="s">
        <v>232</v>
      </c>
      <c r="J118" s="85">
        <f>INDEX('Diesel Generators PTE'!$M$6:$R$56,MATCH(C118,'Diesel Generators PTE'!$I$6:$I$56,0),MATCH(B118,'Diesel Generators PTE'!$M$5:$R$5,0))</f>
        <v>4.4651999999999999E-3</v>
      </c>
      <c r="K118" s="85">
        <f t="shared" si="2"/>
        <v>6.4224399116057845E-8</v>
      </c>
      <c r="L118" s="85">
        <f>INDEX('Diesel Generators PTE'!$S$6:$X$56,MATCH(C118,'Diesel Generators PTE'!$I$6:$I$56,0),MATCH(B118,'Diesel Generators PTE'!$S$5:$X$5,0))</f>
        <v>1.1907199999999999E-3</v>
      </c>
      <c r="M118" s="509">
        <f t="shared" si="3"/>
        <v>6.2511748472962967E-6</v>
      </c>
      <c r="N118" s="284"/>
    </row>
    <row r="119" spans="1:14" ht="15.75" x14ac:dyDescent="0.25">
      <c r="A119" s="492"/>
      <c r="B119" s="508" t="s">
        <v>44</v>
      </c>
      <c r="C119" s="339" t="s">
        <v>265</v>
      </c>
      <c r="D119" s="340" t="s">
        <v>266</v>
      </c>
      <c r="E119" s="339" t="s">
        <v>214</v>
      </c>
      <c r="F119" s="344">
        <v>0</v>
      </c>
      <c r="G119" s="339">
        <v>2.2000000000000001E-3</v>
      </c>
      <c r="H119" s="339" t="s">
        <v>231</v>
      </c>
      <c r="I119" s="343" t="s">
        <v>232</v>
      </c>
      <c r="J119" s="85">
        <f>INDEX('Diesel Generators PTE'!$M$6:$R$56,MATCH(C119,'Diesel Generators PTE'!$I$6:$I$56,0),MATCH(B119,'Diesel Generators PTE'!$M$5:$R$5,0))</f>
        <v>4.9117199999999996E-3</v>
      </c>
      <c r="K119" s="85">
        <f t="shared" si="2"/>
        <v>7.0646839027663615E-8</v>
      </c>
      <c r="L119" s="85">
        <f>INDEX('Diesel Generators PTE'!$S$6:$X$56,MATCH(C119,'Diesel Generators PTE'!$I$6:$I$56,0),MATCH(B119,'Diesel Generators PTE'!$S$5:$X$5,0))</f>
        <v>1.3097920000000002E-3</v>
      </c>
      <c r="M119" s="509">
        <f t="shared" si="3"/>
        <v>6.8762923320259271E-6</v>
      </c>
      <c r="N119" s="284"/>
    </row>
    <row r="120" spans="1:14" ht="15.75" x14ac:dyDescent="0.25">
      <c r="A120" s="492"/>
      <c r="B120" s="508" t="s">
        <v>44</v>
      </c>
      <c r="C120" s="339" t="s">
        <v>267</v>
      </c>
      <c r="D120" s="340" t="s">
        <v>268</v>
      </c>
      <c r="E120" s="339" t="s">
        <v>214</v>
      </c>
      <c r="F120" s="344">
        <v>0</v>
      </c>
      <c r="G120" s="339">
        <v>0.10539999999999999</v>
      </c>
      <c r="H120" s="339" t="s">
        <v>231</v>
      </c>
      <c r="I120" s="343" t="s">
        <v>232</v>
      </c>
      <c r="J120" s="85">
        <f>INDEX('Diesel Generators PTE'!$M$6:$R$56,MATCH(C120,'Diesel Generators PTE'!$I$6:$I$56,0),MATCH(B120,'Diesel Generators PTE'!$M$5:$R$5,0))</f>
        <v>0.24086775546222217</v>
      </c>
      <c r="K120" s="85">
        <f t="shared" si="2"/>
        <v>3.4644779317824011E-6</v>
      </c>
      <c r="L120" s="85">
        <f>INDEX('Diesel Generators PTE'!$S$6:$X$56,MATCH(C120,'Diesel Generators PTE'!$I$6:$I$56,0),MATCH(B120,'Diesel Generators PTE'!$S$5:$X$5,0))</f>
        <v>6.3177999035555557E-2</v>
      </c>
      <c r="M120" s="509">
        <f t="shared" si="3"/>
        <v>3.3167891567587222E-4</v>
      </c>
      <c r="N120" s="284"/>
    </row>
    <row r="121" spans="1:14" ht="15.75" x14ac:dyDescent="0.25">
      <c r="A121" s="492"/>
      <c r="B121" s="508" t="s">
        <v>44</v>
      </c>
      <c r="C121" s="339" t="s">
        <v>269</v>
      </c>
      <c r="D121" s="340" t="s">
        <v>270</v>
      </c>
      <c r="E121" s="339" t="s">
        <v>214</v>
      </c>
      <c r="F121" s="344">
        <v>0</v>
      </c>
      <c r="G121" s="339">
        <v>4.24E-2</v>
      </c>
      <c r="H121" s="339" t="s">
        <v>231</v>
      </c>
      <c r="I121" s="343" t="s">
        <v>232</v>
      </c>
      <c r="J121" s="85">
        <f>INDEX('Diesel Generators PTE'!$M$6:$R$56,MATCH(C121,'Diesel Generators PTE'!$I$6:$I$56,0),MATCH(B121,'Diesel Generators PTE'!$M$5:$R$5,0))</f>
        <v>9.6895567662222196E-2</v>
      </c>
      <c r="K121" s="85">
        <f t="shared" si="2"/>
        <v>1.3936799270168293E-6</v>
      </c>
      <c r="L121" s="85">
        <f>INDEX('Diesel Generators PTE'!$S$6:$X$56,MATCH(C121,'Diesel Generators PTE'!$I$6:$I$56,0),MATCH(B121,'Diesel Generators PTE'!$S$5:$X$5,0))</f>
        <v>2.5415058435555558E-2</v>
      </c>
      <c r="M121" s="509">
        <f t="shared" si="3"/>
        <v>1.3342681237814974E-4</v>
      </c>
      <c r="N121" s="284"/>
    </row>
    <row r="122" spans="1:14" ht="15.75" x14ac:dyDescent="0.25">
      <c r="A122" s="492"/>
      <c r="B122" s="508" t="s">
        <v>44</v>
      </c>
      <c r="C122" s="339">
        <v>200</v>
      </c>
      <c r="D122" s="340" t="s">
        <v>271</v>
      </c>
      <c r="E122" s="339" t="s">
        <v>214</v>
      </c>
      <c r="F122" s="344">
        <v>0</v>
      </c>
      <c r="G122" s="339">
        <v>33.5</v>
      </c>
      <c r="H122" s="339" t="s">
        <v>231</v>
      </c>
      <c r="I122" s="343" t="s">
        <v>232</v>
      </c>
      <c r="J122" s="85">
        <f>INDEX('Diesel Generators PTE'!$M$6:$R$56,MATCH(C122,'Diesel Generators PTE'!$I$6:$I$56,0),MATCH(B122,'Diesel Generators PTE'!$M$5:$R$5,0))</f>
        <v>76.556639544444437</v>
      </c>
      <c r="K122" s="85">
        <f t="shared" si="2"/>
        <v>1.101138621581693E-3</v>
      </c>
      <c r="L122" s="85">
        <f>INDEX('Diesel Generators PTE'!$S$6:$X$56,MATCH(C122,'Diesel Generators PTE'!$I$6:$I$56,0),MATCH(B122,'Diesel Generators PTE'!$S$5:$X$5,0))</f>
        <v>20.080293811111108</v>
      </c>
      <c r="M122" s="509">
        <f t="shared" si="3"/>
        <v>0.10541976921386829</v>
      </c>
      <c r="N122" s="284"/>
    </row>
    <row r="123" spans="1:14" ht="15.75" x14ac:dyDescent="0.25">
      <c r="A123" s="492"/>
      <c r="B123" s="508" t="s">
        <v>46</v>
      </c>
      <c r="C123" s="339" t="s">
        <v>221</v>
      </c>
      <c r="D123" s="340" t="s">
        <v>222</v>
      </c>
      <c r="E123" s="339" t="s">
        <v>214</v>
      </c>
      <c r="F123" s="341">
        <v>0</v>
      </c>
      <c r="G123" s="339">
        <v>0.18629999999999999</v>
      </c>
      <c r="H123" s="339" t="s">
        <v>231</v>
      </c>
      <c r="I123" s="343" t="s">
        <v>232</v>
      </c>
      <c r="J123" s="85">
        <f>INDEX('Diesel Generators PTE'!$M$6:$R$56,MATCH(C123,'Diesel Generators PTE'!$I$6:$I$56,0),MATCH(B123,'Diesel Generators PTE'!$M$5:$R$5,0))</f>
        <v>3.7185583499999994E-2</v>
      </c>
      <c r="K123" s="85">
        <f t="shared" si="2"/>
        <v>5.3485213564173944E-7</v>
      </c>
      <c r="L123" s="85">
        <f>INDEX('Diesel Generators PTE'!$S$6:$X$56,MATCH(C123,'Diesel Generators PTE'!$I$6:$I$56,0),MATCH(B123,'Diesel Generators PTE'!$S$5:$X$5,0))</f>
        <v>9.7535294999999984E-3</v>
      </c>
      <c r="M123" s="509">
        <f t="shared" si="3"/>
        <v>5.1205168539003644E-5</v>
      </c>
      <c r="N123" s="284"/>
    </row>
    <row r="124" spans="1:14" ht="15.75" x14ac:dyDescent="0.25">
      <c r="A124" s="492"/>
      <c r="B124" s="508" t="s">
        <v>46</v>
      </c>
      <c r="C124" s="339" t="s">
        <v>233</v>
      </c>
      <c r="D124" s="340" t="s">
        <v>234</v>
      </c>
      <c r="E124" s="339" t="s">
        <v>214</v>
      </c>
      <c r="F124" s="341">
        <v>0</v>
      </c>
      <c r="G124" s="339">
        <v>0.21740000000000001</v>
      </c>
      <c r="H124" s="339" t="s">
        <v>231</v>
      </c>
      <c r="I124" s="343" t="s">
        <v>232</v>
      </c>
      <c r="J124" s="85">
        <f>INDEX('Diesel Generators PTE'!$M$6:$R$56,MATCH(C124,'Diesel Generators PTE'!$I$6:$I$56,0),MATCH(B124,'Diesel Generators PTE'!$M$5:$R$5,0))</f>
        <v>4.3393160777777773E-2</v>
      </c>
      <c r="K124" s="85">
        <f t="shared" si="2"/>
        <v>6.2413770417881994E-7</v>
      </c>
      <c r="L124" s="85">
        <f>INDEX('Diesel Generators PTE'!$S$6:$X$56,MATCH(C124,'Diesel Generators PTE'!$I$6:$I$56,0),MATCH(B124,'Diesel Generators PTE'!$S$5:$X$5,0))</f>
        <v>1.1381735444444445E-2</v>
      </c>
      <c r="M124" s="509">
        <f t="shared" si="3"/>
        <v>5.9753105960168518E-5</v>
      </c>
      <c r="N124" s="284"/>
    </row>
    <row r="125" spans="1:14" ht="15.75" x14ac:dyDescent="0.25">
      <c r="A125" s="492"/>
      <c r="B125" s="508" t="s">
        <v>46</v>
      </c>
      <c r="C125" s="339" t="s">
        <v>235</v>
      </c>
      <c r="D125" s="340" t="s">
        <v>236</v>
      </c>
      <c r="E125" s="339" t="s">
        <v>214</v>
      </c>
      <c r="F125" s="341">
        <v>0</v>
      </c>
      <c r="G125" s="339">
        <v>1.5E-3</v>
      </c>
      <c r="H125" s="339" t="s">
        <v>231</v>
      </c>
      <c r="I125" s="343" t="s">
        <v>232</v>
      </c>
      <c r="J125" s="85">
        <f>INDEX('Diesel Generators PTE'!$M$6:$R$56,MATCH(C125,'Diesel Generators PTE'!$I$6:$I$56,0),MATCH(B125,'Diesel Generators PTE'!$M$5:$R$5,0))</f>
        <v>2.9250000000000001E-4</v>
      </c>
      <c r="K125" s="85">
        <f t="shared" si="2"/>
        <v>4.2071210117009137E-9</v>
      </c>
      <c r="L125" s="85">
        <f>INDEX('Diesel Generators PTE'!$S$6:$X$56,MATCH(C125,'Diesel Generators PTE'!$I$6:$I$56,0),MATCH(B125,'Diesel Generators PTE'!$S$5:$X$5,0))</f>
        <v>7.7999999999999999E-5</v>
      </c>
      <c r="M125" s="509">
        <f t="shared" si="3"/>
        <v>4.0949311180555555E-7</v>
      </c>
      <c r="N125" s="284"/>
    </row>
    <row r="126" spans="1:14" ht="15.75" x14ac:dyDescent="0.25">
      <c r="A126" s="492"/>
      <c r="B126" s="508" t="s">
        <v>46</v>
      </c>
      <c r="C126" s="339" t="s">
        <v>237</v>
      </c>
      <c r="D126" s="340" t="s">
        <v>238</v>
      </c>
      <c r="E126" s="339" t="s">
        <v>214</v>
      </c>
      <c r="F126" s="344">
        <v>0</v>
      </c>
      <c r="G126" s="339">
        <v>1.7261</v>
      </c>
      <c r="H126" s="339" t="s">
        <v>231</v>
      </c>
      <c r="I126" s="343" t="s">
        <v>232</v>
      </c>
      <c r="J126" s="85">
        <f>INDEX('Diesel Generators PTE'!$M$6:$R$56,MATCH(C126,'Diesel Generators PTE'!$I$6:$I$56,0),MATCH(B126,'Diesel Generators PTE'!$M$5:$R$5,0))</f>
        <v>0.34590804263888886</v>
      </c>
      <c r="K126" s="85">
        <f t="shared" si="2"/>
        <v>4.9753059634270242E-6</v>
      </c>
      <c r="L126" s="85">
        <f>INDEX('Diesel Generators PTE'!$S$6:$X$56,MATCH(C126,'Diesel Generators PTE'!$I$6:$I$56,0),MATCH(B126,'Diesel Generators PTE'!$S$5:$X$5,0))</f>
        <v>9.0474010972222213E-2</v>
      </c>
      <c r="M126" s="509">
        <f t="shared" si="3"/>
        <v>4.7498056782750318E-4</v>
      </c>
      <c r="N126" s="284"/>
    </row>
    <row r="127" spans="1:14" ht="15.75" x14ac:dyDescent="0.25">
      <c r="A127" s="492"/>
      <c r="B127" s="508" t="s">
        <v>46</v>
      </c>
      <c r="C127" s="339" t="s">
        <v>239</v>
      </c>
      <c r="D127" s="340" t="s">
        <v>240</v>
      </c>
      <c r="E127" s="339" t="s">
        <v>214</v>
      </c>
      <c r="F127" s="344">
        <v>0</v>
      </c>
      <c r="G127" s="339">
        <v>1E-4</v>
      </c>
      <c r="H127" s="339" t="s">
        <v>231</v>
      </c>
      <c r="I127" s="343" t="s">
        <v>232</v>
      </c>
      <c r="J127" s="85">
        <f>INDEX('Diesel Generators PTE'!$M$6:$R$56,MATCH(C127,'Diesel Generators PTE'!$I$6:$I$56,0),MATCH(B127,'Diesel Generators PTE'!$M$5:$R$5,0))</f>
        <v>1.9500000000000003E-5</v>
      </c>
      <c r="K127" s="85">
        <f t="shared" si="2"/>
        <v>2.8047473411339428E-10</v>
      </c>
      <c r="L127" s="85">
        <f>INDEX('Diesel Generators PTE'!$S$6:$X$56,MATCH(C127,'Diesel Generators PTE'!$I$6:$I$56,0),MATCH(B127,'Diesel Generators PTE'!$S$5:$X$5,0))</f>
        <v>5.2000000000000002E-6</v>
      </c>
      <c r="M127" s="509">
        <f t="shared" si="3"/>
        <v>2.729954078703704E-8</v>
      </c>
      <c r="N127" s="284"/>
    </row>
    <row r="128" spans="1:14" ht="15.75" x14ac:dyDescent="0.25">
      <c r="A128" s="492"/>
      <c r="B128" s="508" t="s">
        <v>46</v>
      </c>
      <c r="C128" s="339" t="s">
        <v>218</v>
      </c>
      <c r="D128" s="340" t="s">
        <v>219</v>
      </c>
      <c r="E128" s="339" t="s">
        <v>214</v>
      </c>
      <c r="F128" s="344">
        <v>0</v>
      </c>
      <c r="G128" s="339">
        <v>1.6000000000000001E-3</v>
      </c>
      <c r="H128" s="339" t="s">
        <v>231</v>
      </c>
      <c r="I128" s="343" t="s">
        <v>232</v>
      </c>
      <c r="J128" s="85">
        <f>INDEX('Diesel Generators PTE'!$M$6:$R$56,MATCH(C128,'Diesel Generators PTE'!$I$6:$I$56,0),MATCH(B128,'Diesel Generators PTE'!$M$5:$R$5,0))</f>
        <v>3.1200000000000005E-4</v>
      </c>
      <c r="K128" s="85">
        <f t="shared" si="2"/>
        <v>4.4875957458143085E-9</v>
      </c>
      <c r="L128" s="85">
        <f>INDEX('Diesel Generators PTE'!$S$6:$X$56,MATCH(C128,'Diesel Generators PTE'!$I$6:$I$56,0),MATCH(B128,'Diesel Generators PTE'!$S$5:$X$5,0))</f>
        <v>8.3200000000000003E-5</v>
      </c>
      <c r="M128" s="509">
        <f t="shared" si="3"/>
        <v>4.3679265259259263E-7</v>
      </c>
      <c r="N128" s="284"/>
    </row>
    <row r="129" spans="1:14" ht="15.75" x14ac:dyDescent="0.25">
      <c r="A129" s="492"/>
      <c r="B129" s="508" t="s">
        <v>46</v>
      </c>
      <c r="C129" s="339" t="s">
        <v>241</v>
      </c>
      <c r="D129" s="340" t="s">
        <v>242</v>
      </c>
      <c r="E129" s="339" t="s">
        <v>214</v>
      </c>
      <c r="F129" s="344">
        <v>0</v>
      </c>
      <c r="G129" s="339">
        <v>8.3000000000000001E-3</v>
      </c>
      <c r="H129" s="339" t="s">
        <v>231</v>
      </c>
      <c r="I129" s="343" t="s">
        <v>232</v>
      </c>
      <c r="J129" s="85">
        <f>INDEX('Diesel Generators PTE'!$M$6:$R$56,MATCH(C129,'Diesel Generators PTE'!$I$6:$I$56,0),MATCH(B129,'Diesel Generators PTE'!$M$5:$R$5,0))</f>
        <v>1.6185000000000001E-3</v>
      </c>
      <c r="K129" s="85">
        <f t="shared" si="2"/>
        <v>2.3279402931411724E-8</v>
      </c>
      <c r="L129" s="85">
        <f>INDEX('Diesel Generators PTE'!$S$6:$X$56,MATCH(C129,'Diesel Generators PTE'!$I$6:$I$56,0),MATCH(B129,'Diesel Generators PTE'!$S$5:$X$5,0))</f>
        <v>4.3159999999999997E-4</v>
      </c>
      <c r="M129" s="509">
        <f t="shared" si="3"/>
        <v>2.2658618853240738E-6</v>
      </c>
      <c r="N129" s="284"/>
    </row>
    <row r="130" spans="1:14" ht="15.75" x14ac:dyDescent="0.25">
      <c r="A130" s="492"/>
      <c r="B130" s="508" t="s">
        <v>46</v>
      </c>
      <c r="C130" s="339">
        <v>365</v>
      </c>
      <c r="D130" s="340" t="s">
        <v>243</v>
      </c>
      <c r="E130" s="339" t="s">
        <v>214</v>
      </c>
      <c r="F130" s="344">
        <v>0</v>
      </c>
      <c r="G130" s="339">
        <v>3.8999999999999998E-3</v>
      </c>
      <c r="H130" s="339" t="s">
        <v>231</v>
      </c>
      <c r="I130" s="343" t="s">
        <v>232</v>
      </c>
      <c r="J130" s="85">
        <f>INDEX('Diesel Generators PTE'!$M$6:$R$56,MATCH(C130,'Diesel Generators PTE'!$I$6:$I$56,0),MATCH(B130,'Diesel Generators PTE'!$M$5:$R$5,0))</f>
        <v>7.605E-4</v>
      </c>
      <c r="K130" s="85">
        <f t="shared" si="2"/>
        <v>1.0938514630422375E-8</v>
      </c>
      <c r="L130" s="85">
        <f>INDEX('Diesel Generators PTE'!$S$6:$X$56,MATCH(C130,'Diesel Generators PTE'!$I$6:$I$56,0),MATCH(B130,'Diesel Generators PTE'!$S$5:$X$5,0))</f>
        <v>2.0279999999999997E-4</v>
      </c>
      <c r="M130" s="509">
        <f t="shared" si="3"/>
        <v>1.0646820906944444E-6</v>
      </c>
      <c r="N130" s="284"/>
    </row>
    <row r="131" spans="1:14" ht="15.75" x14ac:dyDescent="0.25">
      <c r="A131" s="492"/>
      <c r="B131" s="508" t="s">
        <v>46</v>
      </c>
      <c r="C131" s="339" t="s">
        <v>244</v>
      </c>
      <c r="D131" s="340" t="s">
        <v>245</v>
      </c>
      <c r="E131" s="339" t="s">
        <v>214</v>
      </c>
      <c r="F131" s="344">
        <v>0</v>
      </c>
      <c r="G131" s="339">
        <v>1.9699999999999999E-2</v>
      </c>
      <c r="H131" s="339" t="s">
        <v>231</v>
      </c>
      <c r="I131" s="343" t="s">
        <v>232</v>
      </c>
      <c r="J131" s="85">
        <f>INDEX('Diesel Generators PTE'!$M$6:$R$56,MATCH(C131,'Diesel Generators PTE'!$I$6:$I$56,0),MATCH(B131,'Diesel Generators PTE'!$M$5:$R$5,0))</f>
        <v>3.9321309444444444E-3</v>
      </c>
      <c r="K131" s="85">
        <f t="shared" si="2"/>
        <v>5.6557096468825906E-8</v>
      </c>
      <c r="L131" s="85">
        <f>INDEX('Diesel Generators PTE'!$S$6:$X$56,MATCH(C131,'Diesel Generators PTE'!$I$6:$I$56,0),MATCH(B131,'Diesel Generators PTE'!$S$5:$X$5,0))</f>
        <v>1.031371611111111E-3</v>
      </c>
      <c r="M131" s="509">
        <f t="shared" si="3"/>
        <v>5.4146098777153616E-6</v>
      </c>
      <c r="N131" s="284"/>
    </row>
    <row r="132" spans="1:14" ht="15.75" x14ac:dyDescent="0.25">
      <c r="A132" s="492"/>
      <c r="B132" s="508" t="s">
        <v>46</v>
      </c>
      <c r="C132" s="339">
        <v>401</v>
      </c>
      <c r="D132" s="340" t="s">
        <v>246</v>
      </c>
      <c r="E132" s="339" t="s">
        <v>214</v>
      </c>
      <c r="F132" s="344">
        <v>0</v>
      </c>
      <c r="G132" s="339">
        <v>3.6200000000000003E-2</v>
      </c>
      <c r="H132" s="339" t="s">
        <v>231</v>
      </c>
      <c r="I132" s="343" t="s">
        <v>232</v>
      </c>
      <c r="J132" s="85">
        <f>INDEX('Diesel Generators PTE'!$M$6:$R$56,MATCH(C132,'Diesel Generators PTE'!$I$6:$I$56,0),MATCH(B132,'Diesel Generators PTE'!$M$5:$R$5,0))</f>
        <v>7.2255401111111115E-3</v>
      </c>
      <c r="K132" s="85">
        <f t="shared" si="2"/>
        <v>1.0392725340972071E-7</v>
      </c>
      <c r="L132" s="85">
        <f>INDEX('Diesel Generators PTE'!$S$6:$X$56,MATCH(C132,'Diesel Generators PTE'!$I$6:$I$56,0),MATCH(B132,'Diesel Generators PTE'!$S$5:$X$5,0))</f>
        <v>1.8952107777777778E-3</v>
      </c>
      <c r="M132" s="509">
        <f t="shared" si="3"/>
        <v>9.9496892169185823E-6</v>
      </c>
      <c r="N132" s="284"/>
    </row>
    <row r="133" spans="1:14" ht="15.75" x14ac:dyDescent="0.25">
      <c r="A133" s="492"/>
      <c r="B133" s="508" t="s">
        <v>46</v>
      </c>
      <c r="C133" s="339" t="s">
        <v>247</v>
      </c>
      <c r="D133" s="340" t="s">
        <v>248</v>
      </c>
      <c r="E133" s="339" t="s">
        <v>214</v>
      </c>
      <c r="F133" s="344">
        <v>0</v>
      </c>
      <c r="G133" s="339">
        <v>0.7833</v>
      </c>
      <c r="H133" s="339" t="s">
        <v>231</v>
      </c>
      <c r="I133" s="343" t="s">
        <v>232</v>
      </c>
      <c r="J133" s="85">
        <f>INDEX('Diesel Generators PTE'!$M$6:$R$56,MATCH(C133,'Diesel Generators PTE'!$I$6:$I$56,0),MATCH(B133,'Diesel Generators PTE'!$M$5:$R$5,0))</f>
        <v>0.15634711516666666</v>
      </c>
      <c r="K133" s="85">
        <f t="shared" si="2"/>
        <v>2.2487905413213874E-6</v>
      </c>
      <c r="L133" s="85">
        <f>INDEX('Diesel Generators PTE'!$S$6:$X$56,MATCH(C133,'Diesel Generators PTE'!$I$6:$I$56,0),MATCH(B133,'Diesel Generators PTE'!$S$5:$X$5,0))</f>
        <v>4.1008801166666664E-2</v>
      </c>
      <c r="M133" s="509">
        <f t="shared" si="3"/>
        <v>2.1529258463017474E-4</v>
      </c>
      <c r="N133" s="284"/>
    </row>
    <row r="134" spans="1:14" ht="15.75" x14ac:dyDescent="0.25">
      <c r="A134" s="492"/>
      <c r="B134" s="508" t="s">
        <v>46</v>
      </c>
      <c r="C134" s="339" t="s">
        <v>249</v>
      </c>
      <c r="D134" s="340" t="s">
        <v>250</v>
      </c>
      <c r="E134" s="339" t="s">
        <v>214</v>
      </c>
      <c r="F134" s="344">
        <v>0</v>
      </c>
      <c r="G134" s="339">
        <v>3.39E-2</v>
      </c>
      <c r="H134" s="339" t="s">
        <v>231</v>
      </c>
      <c r="I134" s="343" t="s">
        <v>232</v>
      </c>
      <c r="J134" s="85">
        <f>INDEX('Diesel Generators PTE'!$M$6:$R$56,MATCH(C134,'Diesel Generators PTE'!$I$6:$I$56,0),MATCH(B134,'Diesel Generators PTE'!$M$5:$R$5,0))</f>
        <v>6.7664588333333333E-3</v>
      </c>
      <c r="K134" s="85">
        <f t="shared" si="2"/>
        <v>9.7324140624020233E-8</v>
      </c>
      <c r="L134" s="85">
        <f>INDEX('Diesel Generators PTE'!$S$6:$X$56,MATCH(C134,'Diesel Generators PTE'!$I$6:$I$56,0),MATCH(B134,'Diesel Generators PTE'!$S$5:$X$5,0))</f>
        <v>1.7747968333333333E-3</v>
      </c>
      <c r="M134" s="509">
        <f t="shared" si="3"/>
        <v>9.3175266423629833E-6</v>
      </c>
      <c r="N134" s="284"/>
    </row>
    <row r="135" spans="1:14" ht="15.75" x14ac:dyDescent="0.25">
      <c r="A135" s="492"/>
      <c r="B135" s="508" t="s">
        <v>46</v>
      </c>
      <c r="C135" s="339" t="s">
        <v>251</v>
      </c>
      <c r="D135" s="340" t="s">
        <v>252</v>
      </c>
      <c r="E135" s="339" t="s">
        <v>214</v>
      </c>
      <c r="F135" s="344">
        <v>0</v>
      </c>
      <c r="G135" s="339">
        <v>0.8</v>
      </c>
      <c r="H135" s="339" t="s">
        <v>231</v>
      </c>
      <c r="I135" s="343" t="s">
        <v>232</v>
      </c>
      <c r="J135" s="85">
        <f>INDEX('Diesel Generators PTE'!$M$6:$R$56,MATCH(C135,'Diesel Generators PTE'!$I$6:$I$56,0),MATCH(B135,'Diesel Generators PTE'!$M$5:$R$5,0))</f>
        <v>0.15600000000000003</v>
      </c>
      <c r="K135" s="85">
        <f t="shared" si="2"/>
        <v>2.243797872907154E-6</v>
      </c>
      <c r="L135" s="85">
        <f>INDEX('Diesel Generators PTE'!$S$6:$X$56,MATCH(C135,'Diesel Generators PTE'!$I$6:$I$56,0),MATCH(B135,'Diesel Generators PTE'!$S$5:$X$5,0))</f>
        <v>4.1599999999999998E-2</v>
      </c>
      <c r="M135" s="509">
        <f t="shared" si="3"/>
        <v>2.1839632629629626E-4</v>
      </c>
      <c r="N135" s="284"/>
    </row>
    <row r="136" spans="1:14" ht="15.75" x14ac:dyDescent="0.25">
      <c r="A136" s="492"/>
      <c r="B136" s="508" t="s">
        <v>46</v>
      </c>
      <c r="C136" s="339" t="s">
        <v>253</v>
      </c>
      <c r="D136" s="340" t="s">
        <v>254</v>
      </c>
      <c r="E136" s="339" t="s">
        <v>214</v>
      </c>
      <c r="F136" s="344">
        <v>0</v>
      </c>
      <c r="G136" s="339">
        <v>4.1000000000000003E-3</v>
      </c>
      <c r="H136" s="339" t="s">
        <v>231</v>
      </c>
      <c r="I136" s="343" t="s">
        <v>232</v>
      </c>
      <c r="J136" s="85">
        <f>INDEX('Diesel Generators PTE'!$M$6:$R$56,MATCH(C136,'Diesel Generators PTE'!$I$6:$I$56,0),MATCH(B136,'Diesel Generators PTE'!$M$5:$R$5,0))</f>
        <v>7.9950000000000008E-4</v>
      </c>
      <c r="K136" s="85">
        <f t="shared" si="2"/>
        <v>1.1499464098649164E-8</v>
      </c>
      <c r="L136" s="85">
        <f>INDEX('Diesel Generators PTE'!$S$6:$X$56,MATCH(C136,'Diesel Generators PTE'!$I$6:$I$56,0),MATCH(B136,'Diesel Generators PTE'!$S$5:$X$5,0))</f>
        <v>2.1320000000000001E-4</v>
      </c>
      <c r="M136" s="509">
        <f t="shared" si="3"/>
        <v>1.1192811722685185E-6</v>
      </c>
      <c r="N136" s="284"/>
    </row>
    <row r="137" spans="1:14" ht="15.75" x14ac:dyDescent="0.25">
      <c r="A137" s="492"/>
      <c r="B137" s="508" t="s">
        <v>46</v>
      </c>
      <c r="C137" s="339" t="s">
        <v>255</v>
      </c>
      <c r="D137" s="340" t="s">
        <v>256</v>
      </c>
      <c r="E137" s="339" t="s">
        <v>214</v>
      </c>
      <c r="F137" s="344">
        <v>0</v>
      </c>
      <c r="G137" s="339">
        <v>1.09E-2</v>
      </c>
      <c r="H137" s="339" t="s">
        <v>231</v>
      </c>
      <c r="I137" s="343" t="s">
        <v>232</v>
      </c>
      <c r="J137" s="85">
        <f>INDEX('Diesel Generators PTE'!$M$6:$R$56,MATCH(C137,'Diesel Generators PTE'!$I$6:$I$56,0),MATCH(B137,'Diesel Generators PTE'!$M$5:$R$5,0))</f>
        <v>2.1756460555555556E-3</v>
      </c>
      <c r="K137" s="85">
        <f t="shared" ref="K137:K200" si="4">CONVERT(J137,"lbm","g")/8760/3600</f>
        <v>3.1293012767015358E-8</v>
      </c>
      <c r="L137" s="85">
        <f>INDEX('Diesel Generators PTE'!$S$6:$X$56,MATCH(C137,'Diesel Generators PTE'!$I$6:$I$56,0),MATCH(B137,'Diesel Generators PTE'!$S$5:$X$5,0))</f>
        <v>5.7065738888888889E-4</v>
      </c>
      <c r="M137" s="509">
        <f t="shared" ref="M137:M200" si="5">CONVERT(L137,"lbm","g")/24/3600</f>
        <v>2.9959008968069766E-6</v>
      </c>
      <c r="N137" s="284"/>
    </row>
    <row r="138" spans="1:14" ht="15.75" x14ac:dyDescent="0.25">
      <c r="A138" s="492"/>
      <c r="B138" s="508" t="s">
        <v>46</v>
      </c>
      <c r="C138" s="339" t="s">
        <v>257</v>
      </c>
      <c r="D138" s="340" t="s">
        <v>258</v>
      </c>
      <c r="E138" s="339" t="s">
        <v>214</v>
      </c>
      <c r="F138" s="344">
        <v>0</v>
      </c>
      <c r="G138" s="339">
        <v>2.69E-2</v>
      </c>
      <c r="H138" s="339" t="s">
        <v>231</v>
      </c>
      <c r="I138" s="343" t="s">
        <v>232</v>
      </c>
      <c r="J138" s="85">
        <f>INDEX('Diesel Generators PTE'!$M$6:$R$56,MATCH(C138,'Diesel Generators PTE'!$I$6:$I$56,0),MATCH(B138,'Diesel Generators PTE'!$M$5:$R$5,0))</f>
        <v>5.369254944444444E-3</v>
      </c>
      <c r="K138" s="85">
        <f t="shared" si="4"/>
        <v>7.7227710406670909E-8</v>
      </c>
      <c r="L138" s="85">
        <f>INDEX('Diesel Generators PTE'!$S$6:$X$56,MATCH(C138,'Diesel Generators PTE'!$I$6:$I$56,0),MATCH(B138,'Diesel Generators PTE'!$S$5:$X$5,0))</f>
        <v>1.408319611111111E-3</v>
      </c>
      <c r="M138" s="509">
        <f t="shared" si="5"/>
        <v>7.3935535893676757E-6</v>
      </c>
      <c r="N138" s="284"/>
    </row>
    <row r="139" spans="1:14" ht="15.75" x14ac:dyDescent="0.25">
      <c r="A139" s="492"/>
      <c r="B139" s="508" t="s">
        <v>46</v>
      </c>
      <c r="C139" s="339" t="s">
        <v>259</v>
      </c>
      <c r="D139" s="340" t="s">
        <v>260</v>
      </c>
      <c r="E139" s="339" t="s">
        <v>214</v>
      </c>
      <c r="F139" s="344">
        <v>0</v>
      </c>
      <c r="G139" s="339">
        <v>0.18629999999999999</v>
      </c>
      <c r="H139" s="339" t="s">
        <v>231</v>
      </c>
      <c r="I139" s="343" t="s">
        <v>232</v>
      </c>
      <c r="J139" s="85">
        <f>INDEX('Diesel Generators PTE'!$M$6:$R$56,MATCH(C139,'Diesel Generators PTE'!$I$6:$I$56,0),MATCH(B139,'Diesel Generators PTE'!$M$5:$R$5,0))</f>
        <v>3.7185583499999994E-2</v>
      </c>
      <c r="K139" s="85">
        <f t="shared" si="4"/>
        <v>5.3485213564173944E-7</v>
      </c>
      <c r="L139" s="85">
        <f>INDEX('Diesel Generators PTE'!$S$6:$X$56,MATCH(C139,'Diesel Generators PTE'!$I$6:$I$56,0),MATCH(B139,'Diesel Generators PTE'!$S$5:$X$5,0))</f>
        <v>9.7535294999999984E-3</v>
      </c>
      <c r="M139" s="509">
        <f t="shared" si="5"/>
        <v>5.1205168539003644E-5</v>
      </c>
      <c r="N139" s="284"/>
    </row>
    <row r="140" spans="1:14" ht="15.75" x14ac:dyDescent="0.25">
      <c r="A140" s="492"/>
      <c r="B140" s="508" t="s">
        <v>46</v>
      </c>
      <c r="C140" s="339" t="s">
        <v>261</v>
      </c>
      <c r="D140" s="340" t="s">
        <v>262</v>
      </c>
      <c r="E140" s="339" t="s">
        <v>214</v>
      </c>
      <c r="F140" s="344">
        <v>0</v>
      </c>
      <c r="G140" s="339">
        <v>3.0999999999999999E-3</v>
      </c>
      <c r="H140" s="339" t="s">
        <v>231</v>
      </c>
      <c r="I140" s="343" t="s">
        <v>232</v>
      </c>
      <c r="J140" s="85">
        <f>INDEX('Diesel Generators PTE'!$M$6:$R$56,MATCH(C140,'Diesel Generators PTE'!$I$6:$I$56,0),MATCH(B140,'Diesel Generators PTE'!$M$5:$R$5,0))</f>
        <v>6.045E-4</v>
      </c>
      <c r="K140" s="85">
        <f t="shared" si="4"/>
        <v>8.6947167575152197E-9</v>
      </c>
      <c r="L140" s="85">
        <f>INDEX('Diesel Generators PTE'!$S$6:$X$56,MATCH(C140,'Diesel Generators PTE'!$I$6:$I$56,0),MATCH(B140,'Diesel Generators PTE'!$S$5:$X$5,0))</f>
        <v>1.6119999999999999E-4</v>
      </c>
      <c r="M140" s="509">
        <f t="shared" si="5"/>
        <v>8.4628576439814802E-7</v>
      </c>
      <c r="N140" s="284"/>
    </row>
    <row r="141" spans="1:14" ht="15.75" x14ac:dyDescent="0.25">
      <c r="A141" s="492"/>
      <c r="B141" s="508" t="s">
        <v>46</v>
      </c>
      <c r="C141" s="339" t="s">
        <v>263</v>
      </c>
      <c r="D141" s="340" t="s">
        <v>264</v>
      </c>
      <c r="E141" s="339" t="s">
        <v>214</v>
      </c>
      <c r="F141" s="344">
        <v>0</v>
      </c>
      <c r="G141" s="339">
        <v>2E-3</v>
      </c>
      <c r="H141" s="339" t="s">
        <v>231</v>
      </c>
      <c r="I141" s="343" t="s">
        <v>232</v>
      </c>
      <c r="J141" s="85">
        <f>INDEX('Diesel Generators PTE'!$M$6:$R$56,MATCH(C141,'Diesel Generators PTE'!$I$6:$I$56,0),MATCH(B141,'Diesel Generators PTE'!$M$5:$R$5,0))</f>
        <v>3.9000000000000005E-4</v>
      </c>
      <c r="K141" s="85">
        <f t="shared" si="4"/>
        <v>5.6094946822678844E-9</v>
      </c>
      <c r="L141" s="85">
        <f>INDEX('Diesel Generators PTE'!$S$6:$X$56,MATCH(C141,'Diesel Generators PTE'!$I$6:$I$56,0),MATCH(B141,'Diesel Generators PTE'!$S$5:$X$5,0))</f>
        <v>1.0399999999999999E-4</v>
      </c>
      <c r="M141" s="509">
        <f t="shared" si="5"/>
        <v>5.4599081574074077E-7</v>
      </c>
      <c r="N141" s="284"/>
    </row>
    <row r="142" spans="1:14" ht="15.75" x14ac:dyDescent="0.25">
      <c r="A142" s="492"/>
      <c r="B142" s="508" t="s">
        <v>46</v>
      </c>
      <c r="C142" s="339" t="s">
        <v>265</v>
      </c>
      <c r="D142" s="340" t="s">
        <v>266</v>
      </c>
      <c r="E142" s="339" t="s">
        <v>214</v>
      </c>
      <c r="F142" s="344">
        <v>0</v>
      </c>
      <c r="G142" s="339">
        <v>2.2000000000000001E-3</v>
      </c>
      <c r="H142" s="339" t="s">
        <v>231</v>
      </c>
      <c r="I142" s="343" t="s">
        <v>232</v>
      </c>
      <c r="J142" s="85">
        <f>INDEX('Diesel Generators PTE'!$M$6:$R$56,MATCH(C142,'Diesel Generators PTE'!$I$6:$I$56,0),MATCH(B142,'Diesel Generators PTE'!$M$5:$R$5,0))</f>
        <v>4.2900000000000002E-4</v>
      </c>
      <c r="K142" s="85">
        <f t="shared" si="4"/>
        <v>6.1704441504946732E-9</v>
      </c>
      <c r="L142" s="85">
        <f>INDEX('Diesel Generators PTE'!$S$6:$X$56,MATCH(C142,'Diesel Generators PTE'!$I$6:$I$56,0),MATCH(B142,'Diesel Generators PTE'!$S$5:$X$5,0))</f>
        <v>1.144E-4</v>
      </c>
      <c r="M142" s="509">
        <f t="shared" si="5"/>
        <v>6.0058989731481483E-7</v>
      </c>
      <c r="N142" s="284"/>
    </row>
    <row r="143" spans="1:14" ht="15.75" x14ac:dyDescent="0.25">
      <c r="A143" s="492"/>
      <c r="B143" s="508" t="s">
        <v>46</v>
      </c>
      <c r="C143" s="339" t="s">
        <v>267</v>
      </c>
      <c r="D143" s="340" t="s">
        <v>268</v>
      </c>
      <c r="E143" s="339" t="s">
        <v>214</v>
      </c>
      <c r="F143" s="344">
        <v>0</v>
      </c>
      <c r="G143" s="339">
        <v>0.10539999999999999</v>
      </c>
      <c r="H143" s="339" t="s">
        <v>231</v>
      </c>
      <c r="I143" s="343" t="s">
        <v>232</v>
      </c>
      <c r="J143" s="85">
        <f>INDEX('Diesel Generators PTE'!$M$6:$R$56,MATCH(C143,'Diesel Generators PTE'!$I$6:$I$56,0),MATCH(B143,'Diesel Generators PTE'!$M$5:$R$5,0))</f>
        <v>2.1037898555555552E-2</v>
      </c>
      <c r="K143" s="85">
        <f t="shared" si="4"/>
        <v>3.0259482070123097E-7</v>
      </c>
      <c r="L143" s="85">
        <f>INDEX('Diesel Generators PTE'!$S$6:$X$56,MATCH(C143,'Diesel Generators PTE'!$I$6:$I$56,0),MATCH(B143,'Diesel Generators PTE'!$S$5:$X$5,0))</f>
        <v>5.5180998888888881E-3</v>
      </c>
      <c r="M143" s="509">
        <f t="shared" si="5"/>
        <v>2.8969537112243608E-5</v>
      </c>
      <c r="N143" s="284"/>
    </row>
    <row r="144" spans="1:14" ht="15.75" x14ac:dyDescent="0.25">
      <c r="A144" s="492"/>
      <c r="B144" s="508" t="s">
        <v>46</v>
      </c>
      <c r="C144" s="339" t="s">
        <v>269</v>
      </c>
      <c r="D144" s="340" t="s">
        <v>270</v>
      </c>
      <c r="E144" s="339" t="s">
        <v>214</v>
      </c>
      <c r="F144" s="344">
        <v>0</v>
      </c>
      <c r="G144" s="339">
        <v>4.24E-2</v>
      </c>
      <c r="H144" s="339" t="s">
        <v>231</v>
      </c>
      <c r="I144" s="343" t="s">
        <v>232</v>
      </c>
      <c r="J144" s="85">
        <f>INDEX('Diesel Generators PTE'!$M$6:$R$56,MATCH(C144,'Diesel Generators PTE'!$I$6:$I$56,0),MATCH(B144,'Diesel Generators PTE'!$M$5:$R$5,0))</f>
        <v>8.4630635555555563E-3</v>
      </c>
      <c r="K144" s="85">
        <f t="shared" si="4"/>
        <v>1.2172694874508725E-7</v>
      </c>
      <c r="L144" s="85">
        <f>INDEX('Diesel Generators PTE'!$S$6:$X$56,MATCH(C144,'Diesel Generators PTE'!$I$6:$I$56,0),MATCH(B144,'Diesel Generators PTE'!$S$5:$X$5,0))</f>
        <v>2.2198048888888888E-3</v>
      </c>
      <c r="M144" s="509">
        <f t="shared" si="5"/>
        <v>1.1653779635285855E-5</v>
      </c>
      <c r="N144" s="284"/>
    </row>
    <row r="145" spans="1:14" ht="15.75" x14ac:dyDescent="0.25">
      <c r="A145" s="492"/>
      <c r="B145" s="508" t="s">
        <v>46</v>
      </c>
      <c r="C145" s="339">
        <v>200</v>
      </c>
      <c r="D145" s="340" t="s">
        <v>271</v>
      </c>
      <c r="E145" s="339" t="s">
        <v>214</v>
      </c>
      <c r="F145" s="344">
        <v>0</v>
      </c>
      <c r="G145" s="339">
        <v>33.5</v>
      </c>
      <c r="H145" s="339" t="s">
        <v>231</v>
      </c>
      <c r="I145" s="343" t="s">
        <v>232</v>
      </c>
      <c r="J145" s="88">
        <f>INDEX('Diesel Generators PTE'!$M$6:$R$56,MATCH(C145,'Diesel Generators PTE'!$I$6:$I$56,0),MATCH(B145,'Diesel Generators PTE'!$M$5:$R$5,0))</f>
        <v>6.6866186111111112</v>
      </c>
      <c r="K145" s="85">
        <f t="shared" si="4"/>
        <v>9.6175773183028852E-5</v>
      </c>
      <c r="L145" s="85">
        <f>INDEX('Diesel Generators PTE'!$S$6:$X$56,MATCH(C145,'Diesel Generators PTE'!$I$6:$I$56,0),MATCH(B145,'Diesel Generators PTE'!$S$5:$X$5,0))</f>
        <v>1.7538552777777778</v>
      </c>
      <c r="M145" s="509">
        <f t="shared" si="5"/>
        <v>9.2075853250489659E-3</v>
      </c>
      <c r="N145" s="284"/>
    </row>
    <row r="146" spans="1:14" ht="15.75" x14ac:dyDescent="0.25">
      <c r="A146" s="86"/>
      <c r="B146" s="508" t="s">
        <v>49</v>
      </c>
      <c r="C146" s="339" t="s">
        <v>221</v>
      </c>
      <c r="D146" s="340" t="s">
        <v>222</v>
      </c>
      <c r="E146" s="339" t="s">
        <v>214</v>
      </c>
      <c r="F146" s="341">
        <v>0</v>
      </c>
      <c r="G146" s="339">
        <v>5.7999999999999996E-3</v>
      </c>
      <c r="H146" s="339" t="s">
        <v>223</v>
      </c>
      <c r="I146" s="339" t="s">
        <v>272</v>
      </c>
      <c r="J146" s="85">
        <f>IF(B146="",IF(CONCATENATE(C146,D146,E146,F146,G146,H146,I146)="","",ws3_EU_ID_blank),IF(ISERROR(MATCH(B146,'2. Emissions Units &amp; Activities'!$B$7:$B$193,0)),ws3_matching_error_msg,G146*IF(E146="Y",1,1-F146)*INDEX('2. Emissions Units &amp; Activities'!$G$7:$G$193,MATCH(B146,'2. Emissions Units &amp; Activities'!$B$7:$B$193,0))))</f>
        <v>0.62588482352941166</v>
      </c>
      <c r="K146" s="85">
        <f t="shared" si="4"/>
        <v>9.0023015110266894E-6</v>
      </c>
      <c r="L146" s="85">
        <f>IF(B146="",IF(CONCATENATE(C146,D146,E146,F146,G146,H146,I146)="","",ws3_EU_ID_blank),IF(ISERROR(MATCH(B146,'2. Emissions Units &amp; Activities'!$B$7:$B$193,0)),ws3_matching_error_msg,G146*IF(E146="Y",1,1-F146)*INDEX('2. Emissions Units &amp; Activities'!$J$7:$J$193,MATCH(B146,'2. Emissions Units &amp; Activities'!$B$7:$B$193,0))))</f>
        <v>1.7147529411764705E-3</v>
      </c>
      <c r="M146" s="509">
        <f>CONVERT(L146,"lbm","g")/24/3600</f>
        <v>9.0023015110266877E-6</v>
      </c>
      <c r="N146" s="284"/>
    </row>
    <row r="147" spans="1:14" ht="15.75" x14ac:dyDescent="0.25">
      <c r="A147" s="86"/>
      <c r="B147" s="508" t="s">
        <v>49</v>
      </c>
      <c r="C147" s="339" t="s">
        <v>237</v>
      </c>
      <c r="D147" s="340" t="s">
        <v>238</v>
      </c>
      <c r="E147" s="339" t="s">
        <v>214</v>
      </c>
      <c r="F147" s="341">
        <v>0</v>
      </c>
      <c r="G147" s="339">
        <v>1.23E-2</v>
      </c>
      <c r="H147" s="339" t="s">
        <v>223</v>
      </c>
      <c r="I147" s="339" t="s">
        <v>272</v>
      </c>
      <c r="J147" s="85">
        <f>IF(B147="",IF(CONCATENATE(C147,D147,E147,F147,G147,H147,I147)="","",ws3_EU_ID_blank),IF(ISERROR(MATCH(B147,'2. Emissions Units &amp; Activities'!$B$7:$B$193,0)),ws3_matching_error_msg,G147*IF(E147="Y",1,1-F147)*INDEX('2. Emissions Units &amp; Activities'!$G$7:$G$193,MATCH(B147,'2. Emissions Units &amp; Activities'!$B$7:$B$193,0))))</f>
        <v>1.3273074705882353</v>
      </c>
      <c r="K147" s="85">
        <f t="shared" si="4"/>
        <v>1.909108768717729E-5</v>
      </c>
      <c r="L147" s="85">
        <f>IF(B147="",IF(CONCATENATE(C147,D147,E147,F147,G147,H147,I147)="","",ws3_EU_ID_blank),IF(ISERROR(MATCH(B147,'2. Emissions Units &amp; Activities'!$B$7:$B$193,0)),ws3_matching_error_msg,G147*IF(E147="Y",1,1-F147)*INDEX('2. Emissions Units &amp; Activities'!$J$7:$J$193,MATCH(B147,'2. Emissions Units &amp; Activities'!$B$7:$B$193,0))))</f>
        <v>3.6364588235294122E-3</v>
      </c>
      <c r="M147" s="509">
        <f t="shared" si="5"/>
        <v>1.909108768717729E-5</v>
      </c>
      <c r="N147" s="284"/>
    </row>
    <row r="148" spans="1:14" ht="15.75" x14ac:dyDescent="0.25">
      <c r="A148" s="86"/>
      <c r="B148" s="508" t="s">
        <v>49</v>
      </c>
      <c r="C148" s="339">
        <v>401</v>
      </c>
      <c r="D148" s="340" t="s">
        <v>246</v>
      </c>
      <c r="E148" s="339" t="s">
        <v>214</v>
      </c>
      <c r="F148" s="341">
        <v>0</v>
      </c>
      <c r="G148" s="339">
        <v>1E-4</v>
      </c>
      <c r="H148" s="339" t="s">
        <v>223</v>
      </c>
      <c r="I148" s="339" t="s">
        <v>272</v>
      </c>
      <c r="J148" s="85">
        <f>IF(B148="",IF(CONCATENATE(C148,D148,E148,F148,G148,H148,I148)="","",ws3_EU_ID_blank),IF(ISERROR(MATCH(B148,'2. Emissions Units &amp; Activities'!$B$7:$B$193,0)),ws3_matching_error_msg,G148*IF(E148="Y",1,1-F148)*INDEX('2. Emissions Units &amp; Activities'!$G$7:$G$193,MATCH(B148,'2. Emissions Units &amp; Activities'!$B$7:$B$193,0))))</f>
        <v>1.0791117647058824E-2</v>
      </c>
      <c r="K148" s="85">
        <f t="shared" si="4"/>
        <v>1.5521209501770153E-7</v>
      </c>
      <c r="L148" s="85">
        <f>IF(B148="",IF(CONCATENATE(C148,D148,E148,F148,G148,H148,I148)="","",ws3_EU_ID_blank),IF(ISERROR(MATCH(B148,'2. Emissions Units &amp; Activities'!$B$7:$B$193,0)),ws3_matching_error_msg,G148*IF(E148="Y",1,1-F148)*INDEX('2. Emissions Units &amp; Activities'!$J$7:$J$193,MATCH(B148,'2. Emissions Units &amp; Activities'!$B$7:$B$193,0))))</f>
        <v>2.9564705882352946E-5</v>
      </c>
      <c r="M148" s="509">
        <f t="shared" si="5"/>
        <v>1.5521209501770156E-7</v>
      </c>
      <c r="N148" s="284"/>
    </row>
    <row r="149" spans="1:14" ht="15.75" x14ac:dyDescent="0.25">
      <c r="A149" s="86"/>
      <c r="B149" s="508" t="s">
        <v>49</v>
      </c>
      <c r="C149" s="339" t="s">
        <v>273</v>
      </c>
      <c r="D149" s="340" t="s">
        <v>274</v>
      </c>
      <c r="E149" s="339" t="s">
        <v>214</v>
      </c>
      <c r="F149" s="341">
        <v>0</v>
      </c>
      <c r="G149" s="339">
        <v>1.1999999999999999E-6</v>
      </c>
      <c r="H149" s="339" t="s">
        <v>223</v>
      </c>
      <c r="I149" s="339" t="s">
        <v>272</v>
      </c>
      <c r="J149" s="85">
        <f>IF(B149="",IF(CONCATENATE(C149,D149,E149,F149,G149,H149,I149)="","",ws3_EU_ID_blank),IF(ISERROR(MATCH(B149,'2. Emissions Units &amp; Activities'!$B$7:$B$193,0)),ws3_matching_error_msg,G149*IF(E149="Y",1,1-F149)*INDEX('2. Emissions Units &amp; Activities'!$G$7:$G$193,MATCH(B149,'2. Emissions Units &amp; Activities'!$B$7:$B$193,0))))</f>
        <v>1.2949341176470588E-4</v>
      </c>
      <c r="K149" s="85">
        <f t="shared" si="4"/>
        <v>1.8625451402124183E-9</v>
      </c>
      <c r="L149" s="85">
        <f>IF(B149="",IF(CONCATENATE(C149,D149,E149,F149,G149,H149,I149)="","",ws3_EU_ID_blank),IF(ISERROR(MATCH(B149,'2. Emissions Units &amp; Activities'!$B$7:$B$193,0)),ws3_matching_error_msg,G149*IF(E149="Y",1,1-F149)*INDEX('2. Emissions Units &amp; Activities'!$J$7:$J$193,MATCH(B149,'2. Emissions Units &amp; Activities'!$B$7:$B$193,0))))</f>
        <v>3.5477647058823528E-7</v>
      </c>
      <c r="M149" s="509">
        <f t="shared" si="5"/>
        <v>1.8625451402124183E-9</v>
      </c>
      <c r="N149" s="284"/>
    </row>
    <row r="150" spans="1:14" ht="15.75" x14ac:dyDescent="0.25">
      <c r="A150" s="86"/>
      <c r="B150" s="508" t="s">
        <v>49</v>
      </c>
      <c r="C150" s="339" t="s">
        <v>244</v>
      </c>
      <c r="D150" s="340" t="s">
        <v>245</v>
      </c>
      <c r="E150" s="339" t="s">
        <v>214</v>
      </c>
      <c r="F150" s="341">
        <v>0</v>
      </c>
      <c r="G150" s="339">
        <v>2.9999999999999997E-4</v>
      </c>
      <c r="H150" s="339" t="s">
        <v>223</v>
      </c>
      <c r="I150" s="339" t="s">
        <v>272</v>
      </c>
      <c r="J150" s="85">
        <f>IF(B150="",IF(CONCATENATE(C150,D150,E150,F150,G150,H150,I150)="","",ws3_EU_ID_blank),IF(ISERROR(MATCH(B150,'2. Emissions Units &amp; Activities'!$B$7:$B$193,0)),ws3_matching_error_msg,G150*IF(E150="Y",1,1-F150)*INDEX('2. Emissions Units &amp; Activities'!$G$7:$G$193,MATCH(B150,'2. Emissions Units &amp; Activities'!$B$7:$B$193,0))))</f>
        <v>3.2373352941176464E-2</v>
      </c>
      <c r="K150" s="85">
        <f t="shared" si="4"/>
        <v>4.6563628505310447E-7</v>
      </c>
      <c r="L150" s="85">
        <f>IF(B150="",IF(CONCATENATE(C150,D150,E150,F150,G150,H150,I150)="","",ws3_EU_ID_blank),IF(ISERROR(MATCH(B150,'2. Emissions Units &amp; Activities'!$B$7:$B$193,0)),ws3_matching_error_msg,G150*IF(E150="Y",1,1-F150)*INDEX('2. Emissions Units &amp; Activities'!$J$7:$J$193,MATCH(B150,'2. Emissions Units &amp; Activities'!$B$7:$B$193,0))))</f>
        <v>8.8694117647058817E-5</v>
      </c>
      <c r="M150" s="509">
        <f t="shared" si="5"/>
        <v>4.6563628505310452E-7</v>
      </c>
      <c r="N150" s="284"/>
    </row>
    <row r="151" spans="1:14" ht="15.75" x14ac:dyDescent="0.25">
      <c r="A151" s="86"/>
      <c r="B151" s="508" t="s">
        <v>49</v>
      </c>
      <c r="C151" s="339" t="s">
        <v>247</v>
      </c>
      <c r="D151" s="340" t="s">
        <v>248</v>
      </c>
      <c r="E151" s="339" t="s">
        <v>214</v>
      </c>
      <c r="F151" s="341">
        <v>0</v>
      </c>
      <c r="G151" s="339">
        <v>3.0999999999999999E-3</v>
      </c>
      <c r="H151" s="339" t="s">
        <v>223</v>
      </c>
      <c r="I151" s="339" t="s">
        <v>272</v>
      </c>
      <c r="J151" s="85">
        <f>IF(B151="",IF(CONCATENATE(C151,D151,E151,F151,G151,H151,I151)="","",ws3_EU_ID_blank),IF(ISERROR(MATCH(B151,'2. Emissions Units &amp; Activities'!$B$7:$B$193,0)),ws3_matching_error_msg,G151*IF(E151="Y",1,1-F151)*INDEX('2. Emissions Units &amp; Activities'!$G$7:$G$193,MATCH(B151,'2. Emissions Units &amp; Activities'!$B$7:$B$193,0))))</f>
        <v>0.33452464705882351</v>
      </c>
      <c r="K151" s="85">
        <f t="shared" si="4"/>
        <v>4.8115749455487468E-6</v>
      </c>
      <c r="L151" s="85">
        <f>IF(B151="",IF(CONCATENATE(C151,D151,E151,F151,G151,H151,I151)="","",ws3_EU_ID_blank),IF(ISERROR(MATCH(B151,'2. Emissions Units &amp; Activities'!$B$7:$B$193,0)),ws3_matching_error_msg,G151*IF(E151="Y",1,1-F151)*INDEX('2. Emissions Units &amp; Activities'!$J$7:$J$193,MATCH(B151,'2. Emissions Units &amp; Activities'!$B$7:$B$193,0))))</f>
        <v>9.1650588235294122E-4</v>
      </c>
      <c r="M151" s="509">
        <f t="shared" si="5"/>
        <v>4.8115749455487476E-6</v>
      </c>
      <c r="N151" s="284"/>
    </row>
    <row r="152" spans="1:14" ht="15.75" x14ac:dyDescent="0.25">
      <c r="A152" s="86"/>
      <c r="B152" s="508" t="s">
        <v>49</v>
      </c>
      <c r="C152" s="339" t="s">
        <v>249</v>
      </c>
      <c r="D152" s="340" t="s">
        <v>250</v>
      </c>
      <c r="E152" s="339" t="s">
        <v>214</v>
      </c>
      <c r="F152" s="341">
        <v>0</v>
      </c>
      <c r="G152" s="339">
        <v>2.7000000000000001E-3</v>
      </c>
      <c r="H152" s="339" t="s">
        <v>223</v>
      </c>
      <c r="I152" s="339" t="s">
        <v>272</v>
      </c>
      <c r="J152" s="85">
        <f>IF(B152="",IF(CONCATENATE(C152,D152,E152,F152,G152,H152,I152)="","",ws3_EU_ID_blank),IF(ISERROR(MATCH(B152,'2. Emissions Units &amp; Activities'!$B$7:$B$193,0)),ws3_matching_error_msg,G152*IF(E152="Y",1,1-F152)*INDEX('2. Emissions Units &amp; Activities'!$G$7:$G$193,MATCH(B152,'2. Emissions Units &amp; Activities'!$B$7:$B$193,0))))</f>
        <v>0.29136017647058826</v>
      </c>
      <c r="K152" s="85">
        <f t="shared" si="4"/>
        <v>4.1907265654779418E-6</v>
      </c>
      <c r="L152" s="85">
        <f>IF(B152="",IF(CONCATENATE(C152,D152,E152,F152,G152,H152,I152)="","",ws3_EU_ID_blank),IF(ISERROR(MATCH(B152,'2. Emissions Units &amp; Activities'!$B$7:$B$193,0)),ws3_matching_error_msg,G152*IF(E152="Y",1,1-F152)*INDEX('2. Emissions Units &amp; Activities'!$J$7:$J$193,MATCH(B152,'2. Emissions Units &amp; Activities'!$B$7:$B$193,0))))</f>
        <v>7.9824705882352946E-4</v>
      </c>
      <c r="M152" s="509">
        <f t="shared" si="5"/>
        <v>4.1907265654779418E-6</v>
      </c>
      <c r="N152" s="284"/>
    </row>
    <row r="153" spans="1:14" ht="15.75" x14ac:dyDescent="0.25">
      <c r="A153" s="86"/>
      <c r="B153" s="508" t="s">
        <v>49</v>
      </c>
      <c r="C153" s="339" t="s">
        <v>251</v>
      </c>
      <c r="D153" s="340" t="s">
        <v>252</v>
      </c>
      <c r="E153" s="339" t="s">
        <v>214</v>
      </c>
      <c r="F153" s="341">
        <v>0</v>
      </c>
      <c r="G153" s="339">
        <v>3.2</v>
      </c>
      <c r="H153" s="339" t="s">
        <v>223</v>
      </c>
      <c r="I153" s="339" t="s">
        <v>272</v>
      </c>
      <c r="J153" s="85">
        <f>IF(B153="",IF(CONCATENATE(C153,D153,E153,F153,G153,H153,I153)="","",ws3_EU_ID_blank),IF(ISERROR(MATCH(B153,'2. Emissions Units &amp; Activities'!$B$7:$B$193,0)),ws3_matching_error_msg,G153*IF(E153="Y",1,1-F153)*INDEX('2. Emissions Units &amp; Activities'!$G$7:$G$193,MATCH(B153,'2. Emissions Units &amp; Activities'!$B$7:$B$193,0))))</f>
        <v>345.31576470588237</v>
      </c>
      <c r="K153" s="85">
        <f t="shared" si="4"/>
        <v>4.9667870405664498E-3</v>
      </c>
      <c r="L153" s="85">
        <f>IF(B153="",IF(CONCATENATE(C153,D153,E153,F153,G153,H153,I153)="","",ws3_EU_ID_blank),IF(ISERROR(MATCH(B153,'2. Emissions Units &amp; Activities'!$B$7:$B$193,0)),ws3_matching_error_msg,G153*IF(E153="Y",1,1-F153)*INDEX('2. Emissions Units &amp; Activities'!$J$7:$J$193,MATCH(B153,'2. Emissions Units &amp; Activities'!$B$7:$B$193,0))))</f>
        <v>0.94607058823529422</v>
      </c>
      <c r="M153" s="509">
        <f t="shared" si="5"/>
        <v>4.9667870405664498E-3</v>
      </c>
      <c r="N153" s="284"/>
    </row>
    <row r="154" spans="1:14" ht="15.75" x14ac:dyDescent="0.25">
      <c r="A154" s="86"/>
      <c r="B154" s="508" t="s">
        <v>49</v>
      </c>
      <c r="C154" s="339" t="s">
        <v>218</v>
      </c>
      <c r="D154" s="340" t="s">
        <v>219</v>
      </c>
      <c r="E154" s="339" t="s">
        <v>214</v>
      </c>
      <c r="F154" s="341">
        <v>0</v>
      </c>
      <c r="G154" s="339">
        <v>2.0000000000000001E-4</v>
      </c>
      <c r="H154" s="339" t="s">
        <v>223</v>
      </c>
      <c r="I154" s="339" t="s">
        <v>272</v>
      </c>
      <c r="J154" s="85">
        <f>IF(B154="",IF(CONCATENATE(C154,D154,E154,F154,G154,H154,I154)="","",ws3_EU_ID_blank),IF(ISERROR(MATCH(B154,'2. Emissions Units &amp; Activities'!$B$7:$B$193,0)),ws3_matching_error_msg,G154*IF(E154="Y",1,1-F154)*INDEX('2. Emissions Units &amp; Activities'!$G$7:$G$193,MATCH(B154,'2. Emissions Units &amp; Activities'!$B$7:$B$193,0))))</f>
        <v>2.1582235294117649E-2</v>
      </c>
      <c r="K154" s="85">
        <f t="shared" si="4"/>
        <v>3.1042419003540307E-7</v>
      </c>
      <c r="L154" s="85">
        <f>IF(B154="",IF(CONCATENATE(C154,D154,E154,F154,G154,H154,I154)="","",ws3_EU_ID_blank),IF(ISERROR(MATCH(B154,'2. Emissions Units &amp; Activities'!$B$7:$B$193,0)),ws3_matching_error_msg,G154*IF(E154="Y",1,1-F154)*INDEX('2. Emissions Units &amp; Activities'!$J$7:$J$193,MATCH(B154,'2. Emissions Units &amp; Activities'!$B$7:$B$193,0))))</f>
        <v>5.9129411764705892E-5</v>
      </c>
      <c r="M154" s="509">
        <f t="shared" si="5"/>
        <v>3.1042419003540312E-7</v>
      </c>
      <c r="N154" s="284"/>
    </row>
    <row r="155" spans="1:14" ht="15.75" x14ac:dyDescent="0.25">
      <c r="A155" s="86"/>
      <c r="B155" s="508" t="s">
        <v>49</v>
      </c>
      <c r="C155" s="339" t="s">
        <v>275</v>
      </c>
      <c r="D155" s="340" t="s">
        <v>276</v>
      </c>
      <c r="E155" s="339" t="s">
        <v>214</v>
      </c>
      <c r="F155" s="341">
        <v>0</v>
      </c>
      <c r="G155" s="339">
        <v>4.4000000000000003E-3</v>
      </c>
      <c r="H155" s="339" t="s">
        <v>223</v>
      </c>
      <c r="I155" s="339" t="s">
        <v>272</v>
      </c>
      <c r="J155" s="85">
        <f>IF(B155="",IF(CONCATENATE(C155,D155,E155,F155,G155,H155,I155)="","",ws3_EU_ID_blank),IF(ISERROR(MATCH(B155,'2. Emissions Units &amp; Activities'!$B$7:$B$193,0)),ws3_matching_error_msg,G155*IF(E155="Y",1,1-F155)*INDEX('2. Emissions Units &amp; Activities'!$G$7:$G$193,MATCH(B155,'2. Emissions Units &amp; Activities'!$B$7:$B$193,0))))</f>
        <v>0.47480917647058823</v>
      </c>
      <c r="K155" s="85">
        <f t="shared" si="4"/>
        <v>6.8293321807788674E-6</v>
      </c>
      <c r="L155" s="85">
        <f>IF(B155="",IF(CONCATENATE(C155,D155,E155,F155,G155,H155,I155)="","",ws3_EU_ID_blank),IF(ISERROR(MATCH(B155,'2. Emissions Units &amp; Activities'!$B$7:$B$193,0)),ws3_matching_error_msg,G155*IF(E155="Y",1,1-F155)*INDEX('2. Emissions Units &amp; Activities'!$J$7:$J$193,MATCH(B155,'2. Emissions Units &amp; Activities'!$B$7:$B$193,0))))</f>
        <v>1.3008470588235295E-3</v>
      </c>
      <c r="M155" s="509">
        <f t="shared" si="5"/>
        <v>6.8293321807788682E-6</v>
      </c>
      <c r="N155" s="284"/>
    </row>
    <row r="156" spans="1:14" ht="15.75" x14ac:dyDescent="0.25">
      <c r="A156" s="86"/>
      <c r="B156" s="508" t="s">
        <v>49</v>
      </c>
      <c r="C156" s="339" t="s">
        <v>277</v>
      </c>
      <c r="D156" s="340" t="s">
        <v>278</v>
      </c>
      <c r="E156" s="339" t="s">
        <v>214</v>
      </c>
      <c r="F156" s="341">
        <v>0</v>
      </c>
      <c r="G156" s="339">
        <v>1.2E-5</v>
      </c>
      <c r="H156" s="339" t="s">
        <v>223</v>
      </c>
      <c r="I156" s="339" t="s">
        <v>272</v>
      </c>
      <c r="J156" s="85">
        <f>IF(B156="",IF(CONCATENATE(C156,D156,E156,F156,G156,H156,I156)="","",ws3_EU_ID_blank),IF(ISERROR(MATCH(B156,'2. Emissions Units &amp; Activities'!$B$7:$B$193,0)),ws3_matching_error_msg,G156*IF(E156="Y",1,1-F156)*INDEX('2. Emissions Units &amp; Activities'!$G$7:$G$193,MATCH(B156,'2. Emissions Units &amp; Activities'!$B$7:$B$193,0))))</f>
        <v>1.2949341176470587E-3</v>
      </c>
      <c r="K156" s="85">
        <f t="shared" si="4"/>
        <v>1.8625451402124181E-8</v>
      </c>
      <c r="L156" s="85">
        <f>IF(B156="",IF(CONCATENATE(C156,D156,E156,F156,G156,H156,I156)="","",ws3_EU_ID_blank),IF(ISERROR(MATCH(B156,'2. Emissions Units &amp; Activities'!$B$7:$B$193,0)),ws3_matching_error_msg,G156*IF(E156="Y",1,1-F156)*INDEX('2. Emissions Units &amp; Activities'!$J$7:$J$193,MATCH(B156,'2. Emissions Units &amp; Activities'!$B$7:$B$193,0))))</f>
        <v>3.5477647058823533E-6</v>
      </c>
      <c r="M156" s="509">
        <f t="shared" si="5"/>
        <v>1.8625451402124185E-8</v>
      </c>
      <c r="N156" s="284"/>
    </row>
    <row r="157" spans="1:14" ht="15.75" x14ac:dyDescent="0.25">
      <c r="A157" s="86"/>
      <c r="B157" s="508" t="s">
        <v>49</v>
      </c>
      <c r="C157" s="339" t="s">
        <v>235</v>
      </c>
      <c r="D157" s="340" t="s">
        <v>236</v>
      </c>
      <c r="E157" s="339" t="s">
        <v>214</v>
      </c>
      <c r="F157" s="341">
        <v>0</v>
      </c>
      <c r="G157" s="339">
        <v>1.1000000000000001E-3</v>
      </c>
      <c r="H157" s="339" t="s">
        <v>223</v>
      </c>
      <c r="I157" s="339" t="s">
        <v>272</v>
      </c>
      <c r="J157" s="85">
        <f>IF(B157="",IF(CONCATENATE(C157,D157,E157,F157,G157,H157,I157)="","",ws3_EU_ID_blank),IF(ISERROR(MATCH(B157,'2. Emissions Units &amp; Activities'!$B$7:$B$193,0)),ws3_matching_error_msg,G157*IF(E157="Y",1,1-F157)*INDEX('2. Emissions Units &amp; Activities'!$G$7:$G$193,MATCH(B157,'2. Emissions Units &amp; Activities'!$B$7:$B$193,0))))</f>
        <v>0.11870229411764706</v>
      </c>
      <c r="K157" s="85">
        <f t="shared" si="4"/>
        <v>1.7073330451947168E-6</v>
      </c>
      <c r="L157" s="85">
        <f>IF(B157="",IF(CONCATENATE(C157,D157,E157,F157,G157,H157,I157)="","",ws3_EU_ID_blank),IF(ISERROR(MATCH(B157,'2. Emissions Units &amp; Activities'!$B$7:$B$193,0)),ws3_matching_error_msg,G157*IF(E157="Y",1,1-F157)*INDEX('2. Emissions Units &amp; Activities'!$J$7:$J$193,MATCH(B157,'2. Emissions Units &amp; Activities'!$B$7:$B$193,0))))</f>
        <v>3.2521176470588238E-4</v>
      </c>
      <c r="M157" s="509">
        <f t="shared" si="5"/>
        <v>1.7073330451947171E-6</v>
      </c>
      <c r="N157" s="284"/>
    </row>
    <row r="158" spans="1:14" ht="15.75" x14ac:dyDescent="0.25">
      <c r="A158" s="86"/>
      <c r="B158" s="508" t="s">
        <v>49</v>
      </c>
      <c r="C158" s="339" t="s">
        <v>239</v>
      </c>
      <c r="D158" s="340" t="s">
        <v>240</v>
      </c>
      <c r="E158" s="339" t="s">
        <v>214</v>
      </c>
      <c r="F158" s="341">
        <v>0</v>
      </c>
      <c r="G158" s="339">
        <v>1.4E-3</v>
      </c>
      <c r="H158" s="339" t="s">
        <v>223</v>
      </c>
      <c r="I158" s="339" t="s">
        <v>272</v>
      </c>
      <c r="J158" s="85">
        <f>IF(B158="",IF(CONCATENATE(C158,D158,E158,F158,G158,H158,I158)="","",ws3_EU_ID_blank),IF(ISERROR(MATCH(B158,'2. Emissions Units &amp; Activities'!$B$7:$B$193,0)),ws3_matching_error_msg,G158*IF(E158="Y",1,1-F158)*INDEX('2. Emissions Units &amp; Activities'!$G$7:$G$193,MATCH(B158,'2. Emissions Units &amp; Activities'!$B$7:$B$193,0))))</f>
        <v>0.15107564705882351</v>
      </c>
      <c r="K158" s="85">
        <f t="shared" si="4"/>
        <v>2.1729693302478212E-6</v>
      </c>
      <c r="L158" s="85">
        <f>IF(B158="",IF(CONCATENATE(C158,D158,E158,F158,G158,H158,I158)="","",ws3_EU_ID_blank),IF(ISERROR(MATCH(B158,'2. Emissions Units &amp; Activities'!$B$7:$B$193,0)),ws3_matching_error_msg,G158*IF(E158="Y",1,1-F158)*INDEX('2. Emissions Units &amp; Activities'!$J$7:$J$193,MATCH(B158,'2. Emissions Units &amp; Activities'!$B$7:$B$193,0))))</f>
        <v>4.139058823529412E-4</v>
      </c>
      <c r="M158" s="509">
        <f t="shared" si="5"/>
        <v>2.1729693302478216E-6</v>
      </c>
      <c r="N158" s="284"/>
    </row>
    <row r="159" spans="1:14" ht="15.75" x14ac:dyDescent="0.25">
      <c r="A159" s="86"/>
      <c r="B159" s="508" t="s">
        <v>49</v>
      </c>
      <c r="C159" s="339" t="s">
        <v>279</v>
      </c>
      <c r="D159" s="340" t="s">
        <v>280</v>
      </c>
      <c r="E159" s="339" t="s">
        <v>214</v>
      </c>
      <c r="F159" s="341">
        <v>0</v>
      </c>
      <c r="G159" s="339">
        <v>8.3999999999999995E-5</v>
      </c>
      <c r="H159" s="339" t="s">
        <v>223</v>
      </c>
      <c r="I159" s="339" t="s">
        <v>272</v>
      </c>
      <c r="J159" s="85">
        <f>IF(B159="",IF(CONCATENATE(C159,D159,E159,F159,G159,H159,I159)="","",ws3_EU_ID_blank),IF(ISERROR(MATCH(B159,'2. Emissions Units &amp; Activities'!$B$7:$B$193,0)),ws3_matching_error_msg,G159*IF(E159="Y",1,1-F159)*INDEX('2. Emissions Units &amp; Activities'!$G$7:$G$193,MATCH(B159,'2. Emissions Units &amp; Activities'!$B$7:$B$193,0))))</f>
        <v>9.0645388235294101E-3</v>
      </c>
      <c r="K159" s="85">
        <f t="shared" si="4"/>
        <v>1.3037815981486925E-7</v>
      </c>
      <c r="L159" s="85">
        <f>IF(B159="",IF(CONCATENATE(C159,D159,E159,F159,G159,H159,I159)="","",ws3_EU_ID_blank),IF(ISERROR(MATCH(B159,'2. Emissions Units &amp; Activities'!$B$7:$B$193,0)),ws3_matching_error_msg,G159*IF(E159="Y",1,1-F159)*INDEX('2. Emissions Units &amp; Activities'!$J$7:$J$193,MATCH(B159,'2. Emissions Units &amp; Activities'!$B$7:$B$193,0))))</f>
        <v>2.4834352941176471E-5</v>
      </c>
      <c r="M159" s="509">
        <f t="shared" si="5"/>
        <v>1.3037815981486928E-7</v>
      </c>
      <c r="N159" s="284"/>
    </row>
    <row r="160" spans="1:14" ht="15.75" x14ac:dyDescent="0.25">
      <c r="A160" s="86"/>
      <c r="B160" s="508" t="s">
        <v>49</v>
      </c>
      <c r="C160" s="339" t="s">
        <v>253</v>
      </c>
      <c r="D160" s="340" t="s">
        <v>254</v>
      </c>
      <c r="E160" s="339" t="s">
        <v>214</v>
      </c>
      <c r="F160" s="341">
        <v>0</v>
      </c>
      <c r="G160" s="339">
        <v>8.4999999999999995E-4</v>
      </c>
      <c r="H160" s="339" t="s">
        <v>223</v>
      </c>
      <c r="I160" s="339" t="s">
        <v>272</v>
      </c>
      <c r="J160" s="85">
        <f>IF(B160="",IF(CONCATENATE(C160,D160,E160,F160,G160,H160,I160)="","",ws3_EU_ID_blank),IF(ISERROR(MATCH(B160,'2. Emissions Units &amp; Activities'!$B$7:$B$193,0)),ws3_matching_error_msg,G160*IF(E160="Y",1,1-F160)*INDEX('2. Emissions Units &amp; Activities'!$G$7:$G$193,MATCH(B160,'2. Emissions Units &amp; Activities'!$B$7:$B$193,0))))</f>
        <v>9.1724499999999987E-2</v>
      </c>
      <c r="K160" s="85">
        <f t="shared" si="4"/>
        <v>1.3193028076504628E-6</v>
      </c>
      <c r="L160" s="85">
        <f>IF(B160="",IF(CONCATENATE(C160,D160,E160,F160,G160,H160,I160)="","",ws3_EU_ID_blank),IF(ISERROR(MATCH(B160,'2. Emissions Units &amp; Activities'!$B$7:$B$193,0)),ws3_matching_error_msg,G160*IF(E160="Y",1,1-F160)*INDEX('2. Emissions Units &amp; Activities'!$J$7:$J$193,MATCH(B160,'2. Emissions Units &amp; Activities'!$B$7:$B$193,0))))</f>
        <v>2.5129999999999998E-4</v>
      </c>
      <c r="M160" s="509">
        <f t="shared" si="5"/>
        <v>1.3193028076504628E-6</v>
      </c>
      <c r="N160" s="284"/>
    </row>
    <row r="161" spans="1:14" ht="15.75" x14ac:dyDescent="0.25">
      <c r="A161" s="86"/>
      <c r="B161" s="508" t="s">
        <v>49</v>
      </c>
      <c r="C161" s="339" t="s">
        <v>255</v>
      </c>
      <c r="D161" s="340" t="s">
        <v>256</v>
      </c>
      <c r="E161" s="339" t="s">
        <v>214</v>
      </c>
      <c r="F161" s="341">
        <v>0</v>
      </c>
      <c r="G161" s="339">
        <v>6.8999999999999999E-3</v>
      </c>
      <c r="H161" s="339" t="s">
        <v>223</v>
      </c>
      <c r="I161" s="339" t="s">
        <v>272</v>
      </c>
      <c r="J161" s="85">
        <f>IF(B161="",IF(CONCATENATE(C161,D161,E161,F161,G161,H161,I161)="","",ws3_EU_ID_blank),IF(ISERROR(MATCH(B161,'2. Emissions Units &amp; Activities'!$B$7:$B$193,0)),ws3_matching_error_msg,G161*IF(E161="Y",1,1-F161)*INDEX('2. Emissions Units &amp; Activities'!$G$7:$G$193,MATCH(B161,'2. Emissions Units &amp; Activities'!$B$7:$B$193,0))))</f>
        <v>0.74458711764705876</v>
      </c>
      <c r="K161" s="85">
        <f t="shared" si="4"/>
        <v>1.0709634556221405E-5</v>
      </c>
      <c r="L161" s="85">
        <f>IF(B161="",IF(CONCATENATE(C161,D161,E161,F161,G161,H161,I161)="","",ws3_EU_ID_blank),IF(ISERROR(MATCH(B161,'2. Emissions Units &amp; Activities'!$B$7:$B$193,0)),ws3_matching_error_msg,G161*IF(E161="Y",1,1-F161)*INDEX('2. Emissions Units &amp; Activities'!$J$7:$J$193,MATCH(B161,'2. Emissions Units &amp; Activities'!$B$7:$B$193,0))))</f>
        <v>2.039964705882353E-3</v>
      </c>
      <c r="M161" s="509">
        <f t="shared" si="5"/>
        <v>1.0709634556221405E-5</v>
      </c>
      <c r="N161" s="284"/>
    </row>
    <row r="162" spans="1:14" ht="15.75" x14ac:dyDescent="0.25">
      <c r="A162" s="86"/>
      <c r="B162" s="508" t="s">
        <v>49</v>
      </c>
      <c r="C162" s="339" t="s">
        <v>257</v>
      </c>
      <c r="D162" s="340" t="s">
        <v>258</v>
      </c>
      <c r="E162" s="339" t="s">
        <v>214</v>
      </c>
      <c r="F162" s="341">
        <v>0</v>
      </c>
      <c r="G162" s="339">
        <v>4.5999999999999999E-3</v>
      </c>
      <c r="H162" s="339" t="s">
        <v>223</v>
      </c>
      <c r="I162" s="339" t="s">
        <v>272</v>
      </c>
      <c r="J162" s="85">
        <f>IF(B162="",IF(CONCATENATE(C162,D162,E162,F162,G162,H162,I162)="","",ws3_EU_ID_blank),IF(ISERROR(MATCH(B162,'2. Emissions Units &amp; Activities'!$B$7:$B$193,0)),ws3_matching_error_msg,G162*IF(E162="Y",1,1-F162)*INDEX('2. Emissions Units &amp; Activities'!$G$7:$G$193,MATCH(B162,'2. Emissions Units &amp; Activities'!$B$7:$B$193,0))))</f>
        <v>0.49639141176470586</v>
      </c>
      <c r="K162" s="85">
        <f t="shared" si="4"/>
        <v>7.1397563708142703E-6</v>
      </c>
      <c r="L162" s="85">
        <f>IF(B162="",IF(CONCATENATE(C162,D162,E162,F162,G162,H162,I162)="","",ws3_EU_ID_blank),IF(ISERROR(MATCH(B162,'2. Emissions Units &amp; Activities'!$B$7:$B$193,0)),ws3_matching_error_msg,G162*IF(E162="Y",1,1-F162)*INDEX('2. Emissions Units &amp; Activities'!$J$7:$J$193,MATCH(B162,'2. Emissions Units &amp; Activities'!$B$7:$B$193,0))))</f>
        <v>1.3599764705882354E-3</v>
      </c>
      <c r="M162" s="509">
        <f t="shared" si="5"/>
        <v>7.1397563708142711E-6</v>
      </c>
      <c r="N162" s="284"/>
    </row>
    <row r="163" spans="1:14" ht="15.75" x14ac:dyDescent="0.25">
      <c r="A163" s="86"/>
      <c r="B163" s="508" t="s">
        <v>49</v>
      </c>
      <c r="C163" s="339" t="s">
        <v>241</v>
      </c>
      <c r="D163" s="340" t="s">
        <v>242</v>
      </c>
      <c r="E163" s="339" t="s">
        <v>214</v>
      </c>
      <c r="F163" s="341">
        <v>0</v>
      </c>
      <c r="G163" s="339">
        <v>5.0000000000000001E-4</v>
      </c>
      <c r="H163" s="339" t="s">
        <v>223</v>
      </c>
      <c r="I163" s="339" t="s">
        <v>272</v>
      </c>
      <c r="J163" s="85">
        <f>IF(B163="",IF(CONCATENATE(C163,D163,E163,F163,G163,H163,I163)="","",ws3_EU_ID_blank),IF(ISERROR(MATCH(B163,'2. Emissions Units &amp; Activities'!$B$7:$B$193,0)),ws3_matching_error_msg,G163*IF(E163="Y",1,1-F163)*INDEX('2. Emissions Units &amp; Activities'!$G$7:$G$193,MATCH(B163,'2. Emissions Units &amp; Activities'!$B$7:$B$193,0))))</f>
        <v>5.3955588235294116E-2</v>
      </c>
      <c r="K163" s="85">
        <f t="shared" si="4"/>
        <v>7.760604750885077E-7</v>
      </c>
      <c r="L163" s="85">
        <f>IF(B163="",IF(CONCATENATE(C163,D163,E163,F163,G163,H163,I163)="","",ws3_EU_ID_blank),IF(ISERROR(MATCH(B163,'2. Emissions Units &amp; Activities'!$B$7:$B$193,0)),ws3_matching_error_msg,G163*IF(E163="Y",1,1-F163)*INDEX('2. Emissions Units &amp; Activities'!$J$7:$J$193,MATCH(B163,'2. Emissions Units &amp; Activities'!$B$7:$B$193,0))))</f>
        <v>1.4782352941176472E-4</v>
      </c>
      <c r="M163" s="509">
        <f t="shared" si="5"/>
        <v>7.760604750885077E-7</v>
      </c>
      <c r="N163" s="284"/>
    </row>
    <row r="164" spans="1:14" ht="15.75" x14ac:dyDescent="0.25">
      <c r="A164" s="86"/>
      <c r="B164" s="508" t="s">
        <v>49</v>
      </c>
      <c r="C164" s="339" t="s">
        <v>261</v>
      </c>
      <c r="D164" s="340" t="s">
        <v>262</v>
      </c>
      <c r="E164" s="339" t="s">
        <v>214</v>
      </c>
      <c r="F164" s="341">
        <v>0</v>
      </c>
      <c r="G164" s="339">
        <v>3.8000000000000002E-4</v>
      </c>
      <c r="H164" s="339" t="s">
        <v>223</v>
      </c>
      <c r="I164" s="339" t="s">
        <v>272</v>
      </c>
      <c r="J164" s="85">
        <f>IF(B164="",IF(CONCATENATE(C164,D164,E164,F164,G164,H164,I164)="","",ws3_EU_ID_blank),IF(ISERROR(MATCH(B164,'2. Emissions Units &amp; Activities'!$B$7:$B$193,0)),ws3_matching_error_msg,G164*IF(E164="Y",1,1-F164)*INDEX('2. Emissions Units &amp; Activities'!$G$7:$G$193,MATCH(B164,'2. Emissions Units &amp; Activities'!$B$7:$B$193,0))))</f>
        <v>4.1006247058823532E-2</v>
      </c>
      <c r="K164" s="85">
        <f t="shared" si="4"/>
        <v>5.8980596106726593E-7</v>
      </c>
      <c r="L164" s="85">
        <f>IF(B164="",IF(CONCATENATE(C164,D164,E164,F164,G164,H164,I164)="","",ws3_EU_ID_blank),IF(ISERROR(MATCH(B164,'2. Emissions Units &amp; Activities'!$B$7:$B$193,0)),ws3_matching_error_msg,G164*IF(E164="Y",1,1-F164)*INDEX('2. Emissions Units &amp; Activities'!$J$7:$J$193,MATCH(B164,'2. Emissions Units &amp; Activities'!$B$7:$B$193,0))))</f>
        <v>1.123458823529412E-4</v>
      </c>
      <c r="M164" s="509">
        <f t="shared" si="5"/>
        <v>5.8980596106726593E-7</v>
      </c>
      <c r="N164" s="284"/>
    </row>
    <row r="165" spans="1:14" ht="15.75" x14ac:dyDescent="0.25">
      <c r="A165" s="86"/>
      <c r="B165" s="508" t="s">
        <v>49</v>
      </c>
      <c r="C165" s="339" t="s">
        <v>263</v>
      </c>
      <c r="D165" s="340" t="s">
        <v>264</v>
      </c>
      <c r="E165" s="339" t="s">
        <v>214</v>
      </c>
      <c r="F165" s="341">
        <v>0</v>
      </c>
      <c r="G165" s="339">
        <v>2.5999999999999998E-4</v>
      </c>
      <c r="H165" s="339" t="s">
        <v>223</v>
      </c>
      <c r="I165" s="339" t="s">
        <v>272</v>
      </c>
      <c r="J165" s="85">
        <f>IF(B165="",IF(CONCATENATE(C165,D165,E165,F165,G165,H165,I165)="","",ws3_EU_ID_blank),IF(ISERROR(MATCH(B165,'2. Emissions Units &amp; Activities'!$B$7:$B$193,0)),ws3_matching_error_msg,G165*IF(E165="Y",1,1-F165)*INDEX('2. Emissions Units &amp; Activities'!$G$7:$G$193,MATCH(B165,'2. Emissions Units &amp; Activities'!$B$7:$B$193,0))))</f>
        <v>2.8056905882352937E-2</v>
      </c>
      <c r="K165" s="85">
        <f t="shared" si="4"/>
        <v>4.035514470460239E-7</v>
      </c>
      <c r="L165" s="85">
        <f>IF(B165="",IF(CONCATENATE(C165,D165,E165,F165,G165,H165,I165)="","",ws3_EU_ID_blank),IF(ISERROR(MATCH(B165,'2. Emissions Units &amp; Activities'!$B$7:$B$193,0)),ws3_matching_error_msg,G165*IF(E165="Y",1,1-F165)*INDEX('2. Emissions Units &amp; Activities'!$J$7:$J$193,MATCH(B165,'2. Emissions Units &amp; Activities'!$B$7:$B$193,0))))</f>
        <v>7.6868235294117642E-5</v>
      </c>
      <c r="M165" s="509">
        <f t="shared" si="5"/>
        <v>4.035514470460239E-7</v>
      </c>
      <c r="N165" s="284"/>
    </row>
    <row r="166" spans="1:14" ht="15.75" x14ac:dyDescent="0.25">
      <c r="A166" s="86"/>
      <c r="B166" s="508" t="s">
        <v>49</v>
      </c>
      <c r="C166" s="339" t="s">
        <v>281</v>
      </c>
      <c r="D166" s="340" t="s">
        <v>282</v>
      </c>
      <c r="E166" s="339" t="s">
        <v>214</v>
      </c>
      <c r="F166" s="341">
        <v>0</v>
      </c>
      <c r="G166" s="339">
        <v>1.65E-3</v>
      </c>
      <c r="H166" s="339" t="s">
        <v>223</v>
      </c>
      <c r="I166" s="339" t="s">
        <v>272</v>
      </c>
      <c r="J166" s="85">
        <f>IF(B166="",IF(CONCATENATE(C166,D166,E166,F166,G166,H166,I166)="","",ws3_EU_ID_blank),IF(ISERROR(MATCH(B166,'2. Emissions Units &amp; Activities'!$B$7:$B$193,0)),ws3_matching_error_msg,G166*IF(E166="Y",1,1-F166)*INDEX('2. Emissions Units &amp; Activities'!$G$7:$G$193,MATCH(B166,'2. Emissions Units &amp; Activities'!$B$7:$B$193,0))))</f>
        <v>0.17805344117647057</v>
      </c>
      <c r="K166" s="85">
        <f t="shared" si="4"/>
        <v>2.5609995677920748E-6</v>
      </c>
      <c r="L166" s="85">
        <f>IF(B166="",IF(CONCATENATE(C166,D166,E166,F166,G166,H166,I166)="","",ws3_EU_ID_blank),IF(ISERROR(MATCH(B166,'2. Emissions Units &amp; Activities'!$B$7:$B$193,0)),ws3_matching_error_msg,G166*IF(E166="Y",1,1-F166)*INDEX('2. Emissions Units &amp; Activities'!$J$7:$J$193,MATCH(B166,'2. Emissions Units &amp; Activities'!$B$7:$B$193,0))))</f>
        <v>4.8781764705882355E-4</v>
      </c>
      <c r="M166" s="509">
        <f t="shared" si="5"/>
        <v>2.5609995677920753E-6</v>
      </c>
      <c r="N166" s="284"/>
    </row>
    <row r="167" spans="1:14" ht="15.75" x14ac:dyDescent="0.25">
      <c r="A167" s="86"/>
      <c r="B167" s="508" t="s">
        <v>49</v>
      </c>
      <c r="C167" s="339">
        <v>365</v>
      </c>
      <c r="D167" s="340" t="s">
        <v>243</v>
      </c>
      <c r="E167" s="339" t="s">
        <v>214</v>
      </c>
      <c r="F167" s="341">
        <v>0</v>
      </c>
      <c r="G167" s="339">
        <v>2.0999999999999999E-3</v>
      </c>
      <c r="H167" s="339" t="s">
        <v>223</v>
      </c>
      <c r="I167" s="339" t="s">
        <v>272</v>
      </c>
      <c r="J167" s="85">
        <f>IF(B167="",IF(CONCATENATE(C167,D167,E167,F167,G167,H167,I167)="","",ws3_EU_ID_blank),IF(ISERROR(MATCH(B167,'2. Emissions Units &amp; Activities'!$B$7:$B$193,0)),ws3_matching_error_msg,G167*IF(E167="Y",1,1-F167)*INDEX('2. Emissions Units &amp; Activities'!$G$7:$G$193,MATCH(B167,'2. Emissions Units &amp; Activities'!$B$7:$B$193,0))))</f>
        <v>0.22661347058823528</v>
      </c>
      <c r="K167" s="85">
        <f t="shared" si="4"/>
        <v>3.2594539953717314E-6</v>
      </c>
      <c r="L167" s="85">
        <f>IF(B167="",IF(CONCATENATE(C167,D167,E167,F167,G167,H167,I167)="","",ws3_EU_ID_blank),IF(ISERROR(MATCH(B167,'2. Emissions Units &amp; Activities'!$B$7:$B$193,0)),ws3_matching_error_msg,G167*IF(E167="Y",1,1-F167)*INDEX('2. Emissions Units &amp; Activities'!$J$7:$J$193,MATCH(B167,'2. Emissions Units &amp; Activities'!$B$7:$B$193,0))))</f>
        <v>6.2085882352941172E-4</v>
      </c>
      <c r="M167" s="509">
        <f t="shared" si="5"/>
        <v>3.2594539953717318E-6</v>
      </c>
      <c r="N167" s="284"/>
    </row>
    <row r="168" spans="1:14" ht="15.75" x14ac:dyDescent="0.25">
      <c r="A168" s="86"/>
      <c r="B168" s="508" t="s">
        <v>49</v>
      </c>
      <c r="C168" s="339" t="s">
        <v>265</v>
      </c>
      <c r="D168" s="340" t="s">
        <v>266</v>
      </c>
      <c r="E168" s="339" t="s">
        <v>214</v>
      </c>
      <c r="F168" s="341">
        <v>0</v>
      </c>
      <c r="G168" s="339">
        <v>2.4000000000000001E-5</v>
      </c>
      <c r="H168" s="339" t="s">
        <v>223</v>
      </c>
      <c r="I168" s="339" t="s">
        <v>272</v>
      </c>
      <c r="J168" s="85">
        <f>IF(B168="",IF(CONCATENATE(C168,D168,E168,F168,G168,H168,I168)="","",ws3_EU_ID_blank),IF(ISERROR(MATCH(B168,'2. Emissions Units &amp; Activities'!$B$7:$B$193,0)),ws3_matching_error_msg,G168*IF(E168="Y",1,1-F168)*INDEX('2. Emissions Units &amp; Activities'!$G$7:$G$193,MATCH(B168,'2. Emissions Units &amp; Activities'!$B$7:$B$193,0))))</f>
        <v>2.5898682352941175E-3</v>
      </c>
      <c r="K168" s="85">
        <f t="shared" si="4"/>
        <v>3.7250902804248363E-8</v>
      </c>
      <c r="L168" s="85">
        <f>IF(B168="",IF(CONCATENATE(C168,D168,E168,F168,G168,H168,I168)="","",ws3_EU_ID_blank),IF(ISERROR(MATCH(B168,'2. Emissions Units &amp; Activities'!$B$7:$B$193,0)),ws3_matching_error_msg,G168*IF(E168="Y",1,1-F168)*INDEX('2. Emissions Units &amp; Activities'!$J$7:$J$193,MATCH(B168,'2. Emissions Units &amp; Activities'!$B$7:$B$193,0))))</f>
        <v>7.0955294117647066E-6</v>
      </c>
      <c r="M168" s="509">
        <f t="shared" si="5"/>
        <v>3.7250902804248369E-8</v>
      </c>
      <c r="N168" s="284"/>
    </row>
    <row r="169" spans="1:14" ht="15.75" x14ac:dyDescent="0.25">
      <c r="A169" s="86"/>
      <c r="B169" s="508" t="s">
        <v>49</v>
      </c>
      <c r="C169" s="339" t="s">
        <v>267</v>
      </c>
      <c r="D169" s="340" t="s">
        <v>268</v>
      </c>
      <c r="E169" s="339" t="s">
        <v>214</v>
      </c>
      <c r="F169" s="341">
        <v>0</v>
      </c>
      <c r="G169" s="339">
        <v>2.6499999999999999E-2</v>
      </c>
      <c r="H169" s="339" t="s">
        <v>223</v>
      </c>
      <c r="I169" s="339" t="s">
        <v>272</v>
      </c>
      <c r="J169" s="85">
        <f>IF(B169="",IF(CONCATENATE(C169,D169,E169,F169,G169,H169,I169)="","",ws3_EU_ID_blank),IF(ISERROR(MATCH(B169,'2. Emissions Units &amp; Activities'!$B$7:$B$193,0)),ws3_matching_error_msg,G169*IF(E169="Y",1,1-F169)*INDEX('2. Emissions Units &amp; Activities'!$G$7:$G$193,MATCH(B169,'2. Emissions Units &amp; Activities'!$B$7:$B$193,0))))</f>
        <v>2.8596461764705881</v>
      </c>
      <c r="K169" s="85">
        <f t="shared" si="4"/>
        <v>4.1131205179690908E-5</v>
      </c>
      <c r="L169" s="85">
        <f>IF(B169="",IF(CONCATENATE(C169,D169,E169,F169,G169,H169,I169)="","",ws3_EU_ID_blank),IF(ISERROR(MATCH(B169,'2. Emissions Units &amp; Activities'!$B$7:$B$193,0)),ws3_matching_error_msg,G169*IF(E169="Y",1,1-F169)*INDEX('2. Emissions Units &amp; Activities'!$J$7:$J$193,MATCH(B169,'2. Emissions Units &amp; Activities'!$B$7:$B$193,0))))</f>
        <v>7.8346470588235295E-3</v>
      </c>
      <c r="M169" s="509">
        <f t="shared" si="5"/>
        <v>4.1131205179690908E-5</v>
      </c>
      <c r="N169" s="284"/>
    </row>
    <row r="170" spans="1:14" ht="15.75" x14ac:dyDescent="0.25">
      <c r="A170" s="86"/>
      <c r="B170" s="508" t="s">
        <v>49</v>
      </c>
      <c r="C170" s="339" t="s">
        <v>283</v>
      </c>
      <c r="D170" s="340" t="s">
        <v>284</v>
      </c>
      <c r="E170" s="339" t="s">
        <v>214</v>
      </c>
      <c r="F170" s="341">
        <v>0</v>
      </c>
      <c r="G170" s="339">
        <v>2.3E-3</v>
      </c>
      <c r="H170" s="339" t="s">
        <v>223</v>
      </c>
      <c r="I170" s="339" t="s">
        <v>272</v>
      </c>
      <c r="J170" s="85">
        <f>IF(B170="",IF(CONCATENATE(C170,D170,E170,F170,G170,H170,I170)="","",ws3_EU_ID_blank),IF(ISERROR(MATCH(B170,'2. Emissions Units &amp; Activities'!$B$7:$B$193,0)),ws3_matching_error_msg,G170*IF(E170="Y",1,1-F170)*INDEX('2. Emissions Units &amp; Activities'!$G$7:$G$193,MATCH(B170,'2. Emissions Units &amp; Activities'!$B$7:$B$193,0))))</f>
        <v>0.24819570588235293</v>
      </c>
      <c r="K170" s="85">
        <f t="shared" si="4"/>
        <v>3.5698781854071351E-6</v>
      </c>
      <c r="L170" s="85">
        <f>IF(B170="",IF(CONCATENATE(C170,D170,E170,F170,G170,H170,I170)="","",ws3_EU_ID_blank),IF(ISERROR(MATCH(B170,'2. Emissions Units &amp; Activities'!$B$7:$B$193,0)),ws3_matching_error_msg,G170*IF(E170="Y",1,1-F170)*INDEX('2. Emissions Units &amp; Activities'!$J$7:$J$193,MATCH(B170,'2. Emissions Units &amp; Activities'!$B$7:$B$193,0))))</f>
        <v>6.7998823529411771E-4</v>
      </c>
      <c r="M170" s="509">
        <f t="shared" si="5"/>
        <v>3.5698781854071356E-6</v>
      </c>
      <c r="N170" s="284"/>
    </row>
    <row r="171" spans="1:14" ht="15.75" x14ac:dyDescent="0.25">
      <c r="A171" s="86"/>
      <c r="B171" s="508" t="s">
        <v>49</v>
      </c>
      <c r="C171" s="339" t="s">
        <v>269</v>
      </c>
      <c r="D171" s="340" t="s">
        <v>270</v>
      </c>
      <c r="E171" s="339" t="s">
        <v>214</v>
      </c>
      <c r="F171" s="341">
        <v>0</v>
      </c>
      <c r="G171" s="339">
        <v>1.9699999999999999E-2</v>
      </c>
      <c r="H171" s="339" t="s">
        <v>223</v>
      </c>
      <c r="I171" s="339" t="s">
        <v>272</v>
      </c>
      <c r="J171" s="85">
        <f>IF(B171="",IF(CONCATENATE(C171,D171,E171,F171,G171,H171,I171)="","",ws3_EU_ID_blank),IF(ISERROR(MATCH(B171,'2. Emissions Units &amp; Activities'!$B$7:$B$193,0)),ws3_matching_error_msg,G171*IF(E171="Y",1,1-F171)*INDEX('2. Emissions Units &amp; Activities'!$G$7:$G$193,MATCH(B171,'2. Emissions Units &amp; Activities'!$B$7:$B$193,0))))</f>
        <v>2.1258501764705882</v>
      </c>
      <c r="K171" s="85">
        <f t="shared" si="4"/>
        <v>3.0576782718487199E-5</v>
      </c>
      <c r="L171" s="85">
        <f>IF(B171="",IF(CONCATENATE(C171,D171,E171,F171,G171,H171,I171)="","",ws3_EU_ID_blank),IF(ISERROR(MATCH(B171,'2. Emissions Units &amp; Activities'!$B$7:$B$193,0)),ws3_matching_error_msg,G171*IF(E171="Y",1,1-F171)*INDEX('2. Emissions Units &amp; Activities'!$J$7:$J$193,MATCH(B171,'2. Emissions Units &amp; Activities'!$B$7:$B$193,0))))</f>
        <v>5.8242470588235297E-3</v>
      </c>
      <c r="M171" s="509">
        <f t="shared" si="5"/>
        <v>3.0576782718487199E-5</v>
      </c>
      <c r="N171" s="284"/>
    </row>
    <row r="172" spans="1:14" ht="15.75" x14ac:dyDescent="0.25">
      <c r="A172" s="86"/>
      <c r="B172" s="508" t="s">
        <v>49</v>
      </c>
      <c r="C172" s="339" t="s">
        <v>285</v>
      </c>
      <c r="D172" s="340" t="s">
        <v>286</v>
      </c>
      <c r="E172" s="339" t="s">
        <v>214</v>
      </c>
      <c r="F172" s="341">
        <v>0</v>
      </c>
      <c r="G172" s="339">
        <v>2.9000000000000001E-2</v>
      </c>
      <c r="H172" s="339" t="s">
        <v>223</v>
      </c>
      <c r="I172" s="339" t="s">
        <v>272</v>
      </c>
      <c r="J172" s="85">
        <f>IF(B172="",IF(CONCATENATE(C172,D172,E172,F172,G172,H172,I172)="","",ws3_EU_ID_blank),IF(ISERROR(MATCH(B172,'2. Emissions Units &amp; Activities'!$B$7:$B$193,0)),ws3_matching_error_msg,G172*IF(E172="Y",1,1-F172)*INDEX('2. Emissions Units &amp; Activities'!$G$7:$G$193,MATCH(B172,'2. Emissions Units &amp; Activities'!$B$7:$B$193,0))))</f>
        <v>3.129424117647059</v>
      </c>
      <c r="K172" s="85">
        <f t="shared" si="4"/>
        <v>4.5011507555133447E-5</v>
      </c>
      <c r="L172" s="85">
        <f>IF(B172="",IF(CONCATENATE(C172,D172,E172,F172,G172,H172,I172)="","",ws3_EU_ID_blank),IF(ISERROR(MATCH(B172,'2. Emissions Units &amp; Activities'!$B$7:$B$193,0)),ws3_matching_error_msg,G172*IF(E172="Y",1,1-F172)*INDEX('2. Emissions Units &amp; Activities'!$J$7:$J$193,MATCH(B172,'2. Emissions Units &amp; Activities'!$B$7:$B$193,0))))</f>
        <v>8.5737647058823536E-3</v>
      </c>
      <c r="M172" s="509">
        <f t="shared" si="5"/>
        <v>4.5011507555133447E-5</v>
      </c>
      <c r="N172" s="284"/>
    </row>
    <row r="173" spans="1:14" ht="15.75" x14ac:dyDescent="0.25">
      <c r="A173" s="86"/>
      <c r="B173" s="508" t="s">
        <v>53</v>
      </c>
      <c r="C173" s="339" t="s">
        <v>221</v>
      </c>
      <c r="D173" s="340" t="s">
        <v>222</v>
      </c>
      <c r="E173" s="339" t="s">
        <v>214</v>
      </c>
      <c r="F173" s="341">
        <v>0</v>
      </c>
      <c r="G173" s="339">
        <v>5.7999999999999996E-3</v>
      </c>
      <c r="H173" s="339" t="s">
        <v>223</v>
      </c>
      <c r="I173" s="339" t="s">
        <v>272</v>
      </c>
      <c r="J173" s="85">
        <f>IF(B173="",IF(CONCATENATE(C173,D173,E173,F173,G173,H173,I173)="","",ws3_EU_ID_blank),IF(ISERROR(MATCH(B173,'2. Emissions Units &amp; Activities'!$B$7:$B$193,0)),ws3_matching_error_msg,G173*IF(E173="Y",1,1-F173)*INDEX('2. Emissions Units &amp; Activities'!$G$7:$G$193,MATCH(B173,'2. Emissions Units &amp; Activities'!$B$7:$B$193,0))))</f>
        <v>0.62588482352941166</v>
      </c>
      <c r="K173" s="85">
        <f t="shared" si="4"/>
        <v>9.0023015110266894E-6</v>
      </c>
      <c r="L173" s="85">
        <f>IF(B173="",IF(CONCATENATE(C173,D173,E173,F173,G173,H173,I173)="","",ws3_EU_ID_blank),IF(ISERROR(MATCH(B173,'2. Emissions Units &amp; Activities'!$B$7:$B$193,0)),ws3_matching_error_msg,G173*IF(E173="Y",1,1-F173)*INDEX('2. Emissions Units &amp; Activities'!$J$7:$J$193,MATCH(B173,'2. Emissions Units &amp; Activities'!$B$7:$B$193,0))))</f>
        <v>1.7147529411764705E-3</v>
      </c>
      <c r="M173" s="509">
        <f t="shared" si="5"/>
        <v>9.0023015110266877E-6</v>
      </c>
      <c r="N173" s="284"/>
    </row>
    <row r="174" spans="1:14" ht="15.75" x14ac:dyDescent="0.25">
      <c r="A174" s="86"/>
      <c r="B174" s="508" t="s">
        <v>53</v>
      </c>
      <c r="C174" s="339" t="s">
        <v>237</v>
      </c>
      <c r="D174" s="340" t="s">
        <v>238</v>
      </c>
      <c r="E174" s="339" t="s">
        <v>214</v>
      </c>
      <c r="F174" s="341">
        <v>0</v>
      </c>
      <c r="G174" s="339">
        <v>1.23E-2</v>
      </c>
      <c r="H174" s="339" t="s">
        <v>223</v>
      </c>
      <c r="I174" s="339" t="s">
        <v>272</v>
      </c>
      <c r="J174" s="85">
        <f>IF(B174="",IF(CONCATENATE(C174,D174,E174,F174,G174,H174,I174)="","",ws3_EU_ID_blank),IF(ISERROR(MATCH(B174,'2. Emissions Units &amp; Activities'!$B$7:$B$193,0)),ws3_matching_error_msg,G174*IF(E174="Y",1,1-F174)*INDEX('2. Emissions Units &amp; Activities'!$G$7:$G$193,MATCH(B174,'2. Emissions Units &amp; Activities'!$B$7:$B$193,0))))</f>
        <v>1.3273074705882353</v>
      </c>
      <c r="K174" s="85">
        <f t="shared" si="4"/>
        <v>1.909108768717729E-5</v>
      </c>
      <c r="L174" s="85">
        <f>IF(B174="",IF(CONCATENATE(C174,D174,E174,F174,G174,H174,I174)="","",ws3_EU_ID_blank),IF(ISERROR(MATCH(B174,'2. Emissions Units &amp; Activities'!$B$7:$B$193,0)),ws3_matching_error_msg,G174*IF(E174="Y",1,1-F174)*INDEX('2. Emissions Units &amp; Activities'!$J$7:$J$193,MATCH(B174,'2. Emissions Units &amp; Activities'!$B$7:$B$193,0))))</f>
        <v>3.6364588235294122E-3</v>
      </c>
      <c r="M174" s="509">
        <f t="shared" si="5"/>
        <v>1.909108768717729E-5</v>
      </c>
      <c r="N174" s="284"/>
    </row>
    <row r="175" spans="1:14" ht="15.75" x14ac:dyDescent="0.25">
      <c r="A175" s="86"/>
      <c r="B175" s="508" t="s">
        <v>53</v>
      </c>
      <c r="C175" s="339">
        <v>401</v>
      </c>
      <c r="D175" s="340" t="s">
        <v>246</v>
      </c>
      <c r="E175" s="339" t="s">
        <v>214</v>
      </c>
      <c r="F175" s="341">
        <v>0</v>
      </c>
      <c r="G175" s="339">
        <v>1E-4</v>
      </c>
      <c r="H175" s="339" t="s">
        <v>223</v>
      </c>
      <c r="I175" s="339" t="s">
        <v>272</v>
      </c>
      <c r="J175" s="85">
        <f>IF(B175="",IF(CONCATENATE(C175,D175,E175,F175,G175,H175,I175)="","",ws3_EU_ID_blank),IF(ISERROR(MATCH(B175,'2. Emissions Units &amp; Activities'!$B$7:$B$193,0)),ws3_matching_error_msg,G175*IF(E175="Y",1,1-F175)*INDEX('2. Emissions Units &amp; Activities'!$G$7:$G$193,MATCH(B175,'2. Emissions Units &amp; Activities'!$B$7:$B$193,0))))</f>
        <v>1.0791117647058824E-2</v>
      </c>
      <c r="K175" s="85">
        <f t="shared" si="4"/>
        <v>1.5521209501770153E-7</v>
      </c>
      <c r="L175" s="85">
        <f>IF(B175="",IF(CONCATENATE(C175,D175,E175,F175,G175,H175,I175)="","",ws3_EU_ID_blank),IF(ISERROR(MATCH(B175,'2. Emissions Units &amp; Activities'!$B$7:$B$193,0)),ws3_matching_error_msg,G175*IF(E175="Y",1,1-F175)*INDEX('2. Emissions Units &amp; Activities'!$J$7:$J$193,MATCH(B175,'2. Emissions Units &amp; Activities'!$B$7:$B$193,0))))</f>
        <v>2.9564705882352946E-5</v>
      </c>
      <c r="M175" s="509">
        <f t="shared" si="5"/>
        <v>1.5521209501770156E-7</v>
      </c>
      <c r="N175" s="284"/>
    </row>
    <row r="176" spans="1:14" ht="15.75" x14ac:dyDescent="0.25">
      <c r="A176" s="86"/>
      <c r="B176" s="508" t="s">
        <v>53</v>
      </c>
      <c r="C176" s="339" t="s">
        <v>273</v>
      </c>
      <c r="D176" s="340" t="s">
        <v>274</v>
      </c>
      <c r="E176" s="339" t="s">
        <v>214</v>
      </c>
      <c r="F176" s="341">
        <v>0</v>
      </c>
      <c r="G176" s="339">
        <v>1.1999999999999999E-6</v>
      </c>
      <c r="H176" s="339" t="s">
        <v>223</v>
      </c>
      <c r="I176" s="339" t="s">
        <v>272</v>
      </c>
      <c r="J176" s="85">
        <f>IF(B176="",IF(CONCATENATE(C176,D176,E176,F176,G176,H176,I176)="","",ws3_EU_ID_blank),IF(ISERROR(MATCH(B176,'2. Emissions Units &amp; Activities'!$B$7:$B$193,0)),ws3_matching_error_msg,G176*IF(E176="Y",1,1-F176)*INDEX('2. Emissions Units &amp; Activities'!$G$7:$G$193,MATCH(B176,'2. Emissions Units &amp; Activities'!$B$7:$B$193,0))))</f>
        <v>1.2949341176470588E-4</v>
      </c>
      <c r="K176" s="85">
        <f t="shared" si="4"/>
        <v>1.8625451402124183E-9</v>
      </c>
      <c r="L176" s="85">
        <f>IF(B176="",IF(CONCATENATE(C176,D176,E176,F176,G176,H176,I176)="","",ws3_EU_ID_blank),IF(ISERROR(MATCH(B176,'2. Emissions Units &amp; Activities'!$B$7:$B$193,0)),ws3_matching_error_msg,G176*IF(E176="Y",1,1-F176)*INDEX('2. Emissions Units &amp; Activities'!$J$7:$J$193,MATCH(B176,'2. Emissions Units &amp; Activities'!$B$7:$B$193,0))))</f>
        <v>3.5477647058823528E-7</v>
      </c>
      <c r="M176" s="509">
        <f t="shared" si="5"/>
        <v>1.8625451402124183E-9</v>
      </c>
      <c r="N176" s="284"/>
    </row>
    <row r="177" spans="1:14" ht="15.75" x14ac:dyDescent="0.25">
      <c r="A177" s="86"/>
      <c r="B177" s="508" t="s">
        <v>53</v>
      </c>
      <c r="C177" s="339" t="s">
        <v>244</v>
      </c>
      <c r="D177" s="340" t="s">
        <v>245</v>
      </c>
      <c r="E177" s="339" t="s">
        <v>214</v>
      </c>
      <c r="F177" s="341">
        <v>0</v>
      </c>
      <c r="G177" s="339">
        <v>2.9999999999999997E-4</v>
      </c>
      <c r="H177" s="339" t="s">
        <v>223</v>
      </c>
      <c r="I177" s="339" t="s">
        <v>272</v>
      </c>
      <c r="J177" s="85">
        <f>IF(B177="",IF(CONCATENATE(C177,D177,E177,F177,G177,H177,I177)="","",ws3_EU_ID_blank),IF(ISERROR(MATCH(B177,'2. Emissions Units &amp; Activities'!$B$7:$B$193,0)),ws3_matching_error_msg,G177*IF(E177="Y",1,1-F177)*INDEX('2. Emissions Units &amp; Activities'!$G$7:$G$193,MATCH(B177,'2. Emissions Units &amp; Activities'!$B$7:$B$193,0))))</f>
        <v>3.2373352941176464E-2</v>
      </c>
      <c r="K177" s="85">
        <f t="shared" si="4"/>
        <v>4.6563628505310447E-7</v>
      </c>
      <c r="L177" s="85">
        <f>IF(B177="",IF(CONCATENATE(C177,D177,E177,F177,G177,H177,I177)="","",ws3_EU_ID_blank),IF(ISERROR(MATCH(B177,'2. Emissions Units &amp; Activities'!$B$7:$B$193,0)),ws3_matching_error_msg,G177*IF(E177="Y",1,1-F177)*INDEX('2. Emissions Units &amp; Activities'!$J$7:$J$193,MATCH(B177,'2. Emissions Units &amp; Activities'!$B$7:$B$193,0))))</f>
        <v>8.8694117647058817E-5</v>
      </c>
      <c r="M177" s="509">
        <f t="shared" si="5"/>
        <v>4.6563628505310452E-7</v>
      </c>
      <c r="N177" s="284"/>
    </row>
    <row r="178" spans="1:14" ht="15.75" x14ac:dyDescent="0.25">
      <c r="A178" s="86"/>
      <c r="B178" s="508" t="s">
        <v>53</v>
      </c>
      <c r="C178" s="339" t="s">
        <v>247</v>
      </c>
      <c r="D178" s="340" t="s">
        <v>248</v>
      </c>
      <c r="E178" s="339" t="s">
        <v>214</v>
      </c>
      <c r="F178" s="341">
        <v>0</v>
      </c>
      <c r="G178" s="339">
        <v>3.0999999999999999E-3</v>
      </c>
      <c r="H178" s="339" t="s">
        <v>223</v>
      </c>
      <c r="I178" s="339" t="s">
        <v>272</v>
      </c>
      <c r="J178" s="85">
        <f>IF(B178="",IF(CONCATENATE(C178,D178,E178,F178,G178,H178,I178)="","",ws3_EU_ID_blank),IF(ISERROR(MATCH(B178,'2. Emissions Units &amp; Activities'!$B$7:$B$193,0)),ws3_matching_error_msg,G178*IF(E178="Y",1,1-F178)*INDEX('2. Emissions Units &amp; Activities'!$G$7:$G$193,MATCH(B178,'2. Emissions Units &amp; Activities'!$B$7:$B$193,0))))</f>
        <v>0.33452464705882351</v>
      </c>
      <c r="K178" s="85">
        <f t="shared" si="4"/>
        <v>4.8115749455487468E-6</v>
      </c>
      <c r="L178" s="85">
        <f>IF(B178="",IF(CONCATENATE(C178,D178,E178,F178,G178,H178,I178)="","",ws3_EU_ID_blank),IF(ISERROR(MATCH(B178,'2. Emissions Units &amp; Activities'!$B$7:$B$193,0)),ws3_matching_error_msg,G178*IF(E178="Y",1,1-F178)*INDEX('2. Emissions Units &amp; Activities'!$J$7:$J$193,MATCH(B178,'2. Emissions Units &amp; Activities'!$B$7:$B$193,0))))</f>
        <v>9.1650588235294122E-4</v>
      </c>
      <c r="M178" s="509">
        <f t="shared" si="5"/>
        <v>4.8115749455487476E-6</v>
      </c>
      <c r="N178" s="284"/>
    </row>
    <row r="179" spans="1:14" ht="15.75" x14ac:dyDescent="0.25">
      <c r="A179" s="86"/>
      <c r="B179" s="508" t="s">
        <v>53</v>
      </c>
      <c r="C179" s="339" t="s">
        <v>249</v>
      </c>
      <c r="D179" s="340" t="s">
        <v>250</v>
      </c>
      <c r="E179" s="339" t="s">
        <v>214</v>
      </c>
      <c r="F179" s="341">
        <v>0</v>
      </c>
      <c r="G179" s="339">
        <v>2.7000000000000001E-3</v>
      </c>
      <c r="H179" s="339" t="s">
        <v>223</v>
      </c>
      <c r="I179" s="339" t="s">
        <v>272</v>
      </c>
      <c r="J179" s="85">
        <f>IF(B179="",IF(CONCATENATE(C179,D179,E179,F179,G179,H179,I179)="","",ws3_EU_ID_blank),IF(ISERROR(MATCH(B179,'2. Emissions Units &amp; Activities'!$B$7:$B$193,0)),ws3_matching_error_msg,G179*IF(E179="Y",1,1-F179)*INDEX('2. Emissions Units &amp; Activities'!$G$7:$G$193,MATCH(B179,'2. Emissions Units &amp; Activities'!$B$7:$B$193,0))))</f>
        <v>0.29136017647058826</v>
      </c>
      <c r="K179" s="85">
        <f t="shared" si="4"/>
        <v>4.1907265654779418E-6</v>
      </c>
      <c r="L179" s="85">
        <f>IF(B179="",IF(CONCATENATE(C179,D179,E179,F179,G179,H179,I179)="","",ws3_EU_ID_blank),IF(ISERROR(MATCH(B179,'2. Emissions Units &amp; Activities'!$B$7:$B$193,0)),ws3_matching_error_msg,G179*IF(E179="Y",1,1-F179)*INDEX('2. Emissions Units &amp; Activities'!$J$7:$J$193,MATCH(B179,'2. Emissions Units &amp; Activities'!$B$7:$B$193,0))))</f>
        <v>7.9824705882352946E-4</v>
      </c>
      <c r="M179" s="509">
        <f t="shared" si="5"/>
        <v>4.1907265654779418E-6</v>
      </c>
      <c r="N179" s="284"/>
    </row>
    <row r="180" spans="1:14" ht="15.75" x14ac:dyDescent="0.25">
      <c r="A180" s="86"/>
      <c r="B180" s="508" t="s">
        <v>53</v>
      </c>
      <c r="C180" s="339" t="s">
        <v>251</v>
      </c>
      <c r="D180" s="340" t="s">
        <v>252</v>
      </c>
      <c r="E180" s="339" t="s">
        <v>214</v>
      </c>
      <c r="F180" s="341">
        <v>0</v>
      </c>
      <c r="G180" s="339">
        <v>3.2</v>
      </c>
      <c r="H180" s="339" t="s">
        <v>223</v>
      </c>
      <c r="I180" s="339" t="s">
        <v>272</v>
      </c>
      <c r="J180" s="85">
        <f>IF(B180="",IF(CONCATENATE(C180,D180,E180,F180,G180,H180,I180)="","",ws3_EU_ID_blank),IF(ISERROR(MATCH(B180,'2. Emissions Units &amp; Activities'!$B$7:$B$193,0)),ws3_matching_error_msg,G180*IF(E180="Y",1,1-F180)*INDEX('2. Emissions Units &amp; Activities'!$G$7:$G$193,MATCH(B180,'2. Emissions Units &amp; Activities'!$B$7:$B$193,0))))</f>
        <v>345.31576470588237</v>
      </c>
      <c r="K180" s="85">
        <f t="shared" si="4"/>
        <v>4.9667870405664498E-3</v>
      </c>
      <c r="L180" s="85">
        <f>IF(B180="",IF(CONCATENATE(C180,D180,E180,F180,G180,H180,I180)="","",ws3_EU_ID_blank),IF(ISERROR(MATCH(B180,'2. Emissions Units &amp; Activities'!$B$7:$B$193,0)),ws3_matching_error_msg,G180*IF(E180="Y",1,1-F180)*INDEX('2. Emissions Units &amp; Activities'!$J$7:$J$193,MATCH(B180,'2. Emissions Units &amp; Activities'!$B$7:$B$193,0))))</f>
        <v>0.94607058823529422</v>
      </c>
      <c r="M180" s="509">
        <f t="shared" si="5"/>
        <v>4.9667870405664498E-3</v>
      </c>
      <c r="N180" s="284"/>
    </row>
    <row r="181" spans="1:14" ht="15.75" x14ac:dyDescent="0.25">
      <c r="A181" s="86"/>
      <c r="B181" s="508" t="s">
        <v>53</v>
      </c>
      <c r="C181" s="339" t="s">
        <v>218</v>
      </c>
      <c r="D181" s="340" t="s">
        <v>219</v>
      </c>
      <c r="E181" s="339" t="s">
        <v>214</v>
      </c>
      <c r="F181" s="341">
        <v>0</v>
      </c>
      <c r="G181" s="339">
        <v>2.0000000000000001E-4</v>
      </c>
      <c r="H181" s="339" t="s">
        <v>223</v>
      </c>
      <c r="I181" s="339" t="s">
        <v>272</v>
      </c>
      <c r="J181" s="85">
        <f>IF(B181="",IF(CONCATENATE(C181,D181,E181,F181,G181,H181,I181)="","",ws3_EU_ID_blank),IF(ISERROR(MATCH(B181,'2. Emissions Units &amp; Activities'!$B$7:$B$193,0)),ws3_matching_error_msg,G181*IF(E181="Y",1,1-F181)*INDEX('2. Emissions Units &amp; Activities'!$G$7:$G$193,MATCH(B181,'2. Emissions Units &amp; Activities'!$B$7:$B$193,0))))</f>
        <v>2.1582235294117649E-2</v>
      </c>
      <c r="K181" s="85">
        <f t="shared" si="4"/>
        <v>3.1042419003540307E-7</v>
      </c>
      <c r="L181" s="85">
        <f>IF(B181="",IF(CONCATENATE(C181,D181,E181,F181,G181,H181,I181)="","",ws3_EU_ID_blank),IF(ISERROR(MATCH(B181,'2. Emissions Units &amp; Activities'!$B$7:$B$193,0)),ws3_matching_error_msg,G181*IF(E181="Y",1,1-F181)*INDEX('2. Emissions Units &amp; Activities'!$J$7:$J$193,MATCH(B181,'2. Emissions Units &amp; Activities'!$B$7:$B$193,0))))</f>
        <v>5.9129411764705892E-5</v>
      </c>
      <c r="M181" s="509">
        <f t="shared" si="5"/>
        <v>3.1042419003540312E-7</v>
      </c>
      <c r="N181" s="284"/>
    </row>
    <row r="182" spans="1:14" ht="15.75" x14ac:dyDescent="0.25">
      <c r="A182" s="86"/>
      <c r="B182" s="508" t="s">
        <v>53</v>
      </c>
      <c r="C182" s="339" t="s">
        <v>275</v>
      </c>
      <c r="D182" s="340" t="s">
        <v>276</v>
      </c>
      <c r="E182" s="339" t="s">
        <v>214</v>
      </c>
      <c r="F182" s="341">
        <v>0</v>
      </c>
      <c r="G182" s="339">
        <v>4.4000000000000003E-3</v>
      </c>
      <c r="H182" s="339" t="s">
        <v>223</v>
      </c>
      <c r="I182" s="339" t="s">
        <v>272</v>
      </c>
      <c r="J182" s="85">
        <f>IF(B182="",IF(CONCATENATE(C182,D182,E182,F182,G182,H182,I182)="","",ws3_EU_ID_blank),IF(ISERROR(MATCH(B182,'2. Emissions Units &amp; Activities'!$B$7:$B$193,0)),ws3_matching_error_msg,G182*IF(E182="Y",1,1-F182)*INDEX('2. Emissions Units &amp; Activities'!$G$7:$G$193,MATCH(B182,'2. Emissions Units &amp; Activities'!$B$7:$B$193,0))))</f>
        <v>0.47480917647058823</v>
      </c>
      <c r="K182" s="85">
        <f t="shared" si="4"/>
        <v>6.8293321807788674E-6</v>
      </c>
      <c r="L182" s="85">
        <f>IF(B182="",IF(CONCATENATE(C182,D182,E182,F182,G182,H182,I182)="","",ws3_EU_ID_blank),IF(ISERROR(MATCH(B182,'2. Emissions Units &amp; Activities'!$B$7:$B$193,0)),ws3_matching_error_msg,G182*IF(E182="Y",1,1-F182)*INDEX('2. Emissions Units &amp; Activities'!$J$7:$J$193,MATCH(B182,'2. Emissions Units &amp; Activities'!$B$7:$B$193,0))))</f>
        <v>1.3008470588235295E-3</v>
      </c>
      <c r="M182" s="509">
        <f t="shared" si="5"/>
        <v>6.8293321807788682E-6</v>
      </c>
      <c r="N182" s="284"/>
    </row>
    <row r="183" spans="1:14" ht="15.75" x14ac:dyDescent="0.25">
      <c r="A183" s="86"/>
      <c r="B183" s="508" t="s">
        <v>53</v>
      </c>
      <c r="C183" s="339" t="s">
        <v>277</v>
      </c>
      <c r="D183" s="340" t="s">
        <v>278</v>
      </c>
      <c r="E183" s="339" t="s">
        <v>214</v>
      </c>
      <c r="F183" s="341">
        <v>0</v>
      </c>
      <c r="G183" s="339">
        <v>1.2E-5</v>
      </c>
      <c r="H183" s="339" t="s">
        <v>223</v>
      </c>
      <c r="I183" s="339" t="s">
        <v>272</v>
      </c>
      <c r="J183" s="85">
        <f>IF(B183="",IF(CONCATENATE(C183,D183,E183,F183,G183,H183,I183)="","",ws3_EU_ID_blank),IF(ISERROR(MATCH(B183,'2. Emissions Units &amp; Activities'!$B$7:$B$193,0)),ws3_matching_error_msg,G183*IF(E183="Y",1,1-F183)*INDEX('2. Emissions Units &amp; Activities'!$G$7:$G$193,MATCH(B183,'2. Emissions Units &amp; Activities'!$B$7:$B$193,0))))</f>
        <v>1.2949341176470587E-3</v>
      </c>
      <c r="K183" s="85">
        <f t="shared" si="4"/>
        <v>1.8625451402124181E-8</v>
      </c>
      <c r="L183" s="85">
        <f>IF(B183="",IF(CONCATENATE(C183,D183,E183,F183,G183,H183,I183)="","",ws3_EU_ID_blank),IF(ISERROR(MATCH(B183,'2. Emissions Units &amp; Activities'!$B$7:$B$193,0)),ws3_matching_error_msg,G183*IF(E183="Y",1,1-F183)*INDEX('2. Emissions Units &amp; Activities'!$J$7:$J$193,MATCH(B183,'2. Emissions Units &amp; Activities'!$B$7:$B$193,0))))</f>
        <v>3.5477647058823533E-6</v>
      </c>
      <c r="M183" s="509">
        <f t="shared" si="5"/>
        <v>1.8625451402124185E-8</v>
      </c>
      <c r="N183" s="284"/>
    </row>
    <row r="184" spans="1:14" ht="15.75" x14ac:dyDescent="0.25">
      <c r="A184" s="86"/>
      <c r="B184" s="508" t="s">
        <v>53</v>
      </c>
      <c r="C184" s="339" t="s">
        <v>235</v>
      </c>
      <c r="D184" s="340" t="s">
        <v>236</v>
      </c>
      <c r="E184" s="339" t="s">
        <v>214</v>
      </c>
      <c r="F184" s="341">
        <v>0</v>
      </c>
      <c r="G184" s="339">
        <v>1.1000000000000001E-3</v>
      </c>
      <c r="H184" s="339" t="s">
        <v>223</v>
      </c>
      <c r="I184" s="339" t="s">
        <v>272</v>
      </c>
      <c r="J184" s="85">
        <f>IF(B184="",IF(CONCATENATE(C184,D184,E184,F184,G184,H184,I184)="","",ws3_EU_ID_blank),IF(ISERROR(MATCH(B184,'2. Emissions Units &amp; Activities'!$B$7:$B$193,0)),ws3_matching_error_msg,G184*IF(E184="Y",1,1-F184)*INDEX('2. Emissions Units &amp; Activities'!$G$7:$G$193,MATCH(B184,'2. Emissions Units &amp; Activities'!$B$7:$B$193,0))))</f>
        <v>0.11870229411764706</v>
      </c>
      <c r="K184" s="85">
        <f t="shared" si="4"/>
        <v>1.7073330451947168E-6</v>
      </c>
      <c r="L184" s="85">
        <f>IF(B184="",IF(CONCATENATE(C184,D184,E184,F184,G184,H184,I184)="","",ws3_EU_ID_blank),IF(ISERROR(MATCH(B184,'2. Emissions Units &amp; Activities'!$B$7:$B$193,0)),ws3_matching_error_msg,G184*IF(E184="Y",1,1-F184)*INDEX('2. Emissions Units &amp; Activities'!$J$7:$J$193,MATCH(B184,'2. Emissions Units &amp; Activities'!$B$7:$B$193,0))))</f>
        <v>3.2521176470588238E-4</v>
      </c>
      <c r="M184" s="509">
        <f t="shared" si="5"/>
        <v>1.7073330451947171E-6</v>
      </c>
      <c r="N184" s="284"/>
    </row>
    <row r="185" spans="1:14" ht="15.75" x14ac:dyDescent="0.25">
      <c r="A185" s="86"/>
      <c r="B185" s="508" t="s">
        <v>53</v>
      </c>
      <c r="C185" s="339" t="s">
        <v>239</v>
      </c>
      <c r="D185" s="340" t="s">
        <v>240</v>
      </c>
      <c r="E185" s="339" t="s">
        <v>214</v>
      </c>
      <c r="F185" s="341">
        <v>0</v>
      </c>
      <c r="G185" s="339">
        <v>1.4E-3</v>
      </c>
      <c r="H185" s="339" t="s">
        <v>223</v>
      </c>
      <c r="I185" s="339" t="s">
        <v>272</v>
      </c>
      <c r="J185" s="85">
        <f>IF(B185="",IF(CONCATENATE(C185,D185,E185,F185,G185,H185,I185)="","",ws3_EU_ID_blank),IF(ISERROR(MATCH(B185,'2. Emissions Units &amp; Activities'!$B$7:$B$193,0)),ws3_matching_error_msg,G185*IF(E185="Y",1,1-F185)*INDEX('2. Emissions Units &amp; Activities'!$G$7:$G$193,MATCH(B185,'2. Emissions Units &amp; Activities'!$B$7:$B$193,0))))</f>
        <v>0.15107564705882351</v>
      </c>
      <c r="K185" s="85">
        <f t="shared" si="4"/>
        <v>2.1729693302478212E-6</v>
      </c>
      <c r="L185" s="85">
        <f>IF(B185="",IF(CONCATENATE(C185,D185,E185,F185,G185,H185,I185)="","",ws3_EU_ID_blank),IF(ISERROR(MATCH(B185,'2. Emissions Units &amp; Activities'!$B$7:$B$193,0)),ws3_matching_error_msg,G185*IF(E185="Y",1,1-F185)*INDEX('2. Emissions Units &amp; Activities'!$J$7:$J$193,MATCH(B185,'2. Emissions Units &amp; Activities'!$B$7:$B$193,0))))</f>
        <v>4.139058823529412E-4</v>
      </c>
      <c r="M185" s="509">
        <f t="shared" si="5"/>
        <v>2.1729693302478216E-6</v>
      </c>
      <c r="N185" s="284"/>
    </row>
    <row r="186" spans="1:14" ht="15.75" x14ac:dyDescent="0.25">
      <c r="A186" s="86"/>
      <c r="B186" s="508" t="s">
        <v>53</v>
      </c>
      <c r="C186" s="339" t="s">
        <v>279</v>
      </c>
      <c r="D186" s="340" t="s">
        <v>280</v>
      </c>
      <c r="E186" s="339" t="s">
        <v>214</v>
      </c>
      <c r="F186" s="341">
        <v>0</v>
      </c>
      <c r="G186" s="339">
        <v>8.3999999999999995E-5</v>
      </c>
      <c r="H186" s="339" t="s">
        <v>223</v>
      </c>
      <c r="I186" s="339" t="s">
        <v>272</v>
      </c>
      <c r="J186" s="85">
        <f>IF(B186="",IF(CONCATENATE(C186,D186,E186,F186,G186,H186,I186)="","",ws3_EU_ID_blank),IF(ISERROR(MATCH(B186,'2. Emissions Units &amp; Activities'!$B$7:$B$193,0)),ws3_matching_error_msg,G186*IF(E186="Y",1,1-F186)*INDEX('2. Emissions Units &amp; Activities'!$G$7:$G$193,MATCH(B186,'2. Emissions Units &amp; Activities'!$B$7:$B$193,0))))</f>
        <v>9.0645388235294101E-3</v>
      </c>
      <c r="K186" s="85">
        <f t="shared" si="4"/>
        <v>1.3037815981486925E-7</v>
      </c>
      <c r="L186" s="85">
        <f>IF(B186="",IF(CONCATENATE(C186,D186,E186,F186,G186,H186,I186)="","",ws3_EU_ID_blank),IF(ISERROR(MATCH(B186,'2. Emissions Units &amp; Activities'!$B$7:$B$193,0)),ws3_matching_error_msg,G186*IF(E186="Y",1,1-F186)*INDEX('2. Emissions Units &amp; Activities'!$J$7:$J$193,MATCH(B186,'2. Emissions Units &amp; Activities'!$B$7:$B$193,0))))</f>
        <v>2.4834352941176471E-5</v>
      </c>
      <c r="M186" s="509">
        <f t="shared" si="5"/>
        <v>1.3037815981486928E-7</v>
      </c>
      <c r="N186" s="284"/>
    </row>
    <row r="187" spans="1:14" ht="15.75" x14ac:dyDescent="0.25">
      <c r="A187" s="86"/>
      <c r="B187" s="508" t="s">
        <v>53</v>
      </c>
      <c r="C187" s="339" t="s">
        <v>253</v>
      </c>
      <c r="D187" s="340" t="s">
        <v>254</v>
      </c>
      <c r="E187" s="339" t="s">
        <v>214</v>
      </c>
      <c r="F187" s="341">
        <v>0</v>
      </c>
      <c r="G187" s="339">
        <v>8.4999999999999995E-4</v>
      </c>
      <c r="H187" s="339" t="s">
        <v>223</v>
      </c>
      <c r="I187" s="339" t="s">
        <v>272</v>
      </c>
      <c r="J187" s="85">
        <f>IF(B187="",IF(CONCATENATE(C187,D187,E187,F187,G187,H187,I187)="","",ws3_EU_ID_blank),IF(ISERROR(MATCH(B187,'2. Emissions Units &amp; Activities'!$B$7:$B$193,0)),ws3_matching_error_msg,G187*IF(E187="Y",1,1-F187)*INDEX('2. Emissions Units &amp; Activities'!$G$7:$G$193,MATCH(B187,'2. Emissions Units &amp; Activities'!$B$7:$B$193,0))))</f>
        <v>9.1724499999999987E-2</v>
      </c>
      <c r="K187" s="85">
        <f t="shared" si="4"/>
        <v>1.3193028076504628E-6</v>
      </c>
      <c r="L187" s="85">
        <f>IF(B187="",IF(CONCATENATE(C187,D187,E187,F187,G187,H187,I187)="","",ws3_EU_ID_blank),IF(ISERROR(MATCH(B187,'2. Emissions Units &amp; Activities'!$B$7:$B$193,0)),ws3_matching_error_msg,G187*IF(E187="Y",1,1-F187)*INDEX('2. Emissions Units &amp; Activities'!$J$7:$J$193,MATCH(B187,'2. Emissions Units &amp; Activities'!$B$7:$B$193,0))))</f>
        <v>2.5129999999999998E-4</v>
      </c>
      <c r="M187" s="509">
        <f t="shared" si="5"/>
        <v>1.3193028076504628E-6</v>
      </c>
      <c r="N187" s="284"/>
    </row>
    <row r="188" spans="1:14" ht="15.75" x14ac:dyDescent="0.25">
      <c r="A188" s="86"/>
      <c r="B188" s="508" t="s">
        <v>53</v>
      </c>
      <c r="C188" s="339" t="s">
        <v>255</v>
      </c>
      <c r="D188" s="340" t="s">
        <v>256</v>
      </c>
      <c r="E188" s="339" t="s">
        <v>214</v>
      </c>
      <c r="F188" s="341">
        <v>0</v>
      </c>
      <c r="G188" s="339">
        <v>6.8999999999999999E-3</v>
      </c>
      <c r="H188" s="339" t="s">
        <v>223</v>
      </c>
      <c r="I188" s="339" t="s">
        <v>272</v>
      </c>
      <c r="J188" s="85">
        <f>IF(B188="",IF(CONCATENATE(C188,D188,E188,F188,G188,H188,I188)="","",ws3_EU_ID_blank),IF(ISERROR(MATCH(B188,'2. Emissions Units &amp; Activities'!$B$7:$B$193,0)),ws3_matching_error_msg,G188*IF(E188="Y",1,1-F188)*INDEX('2. Emissions Units &amp; Activities'!$G$7:$G$193,MATCH(B188,'2. Emissions Units &amp; Activities'!$B$7:$B$193,0))))</f>
        <v>0.74458711764705876</v>
      </c>
      <c r="K188" s="85">
        <f t="shared" si="4"/>
        <v>1.0709634556221405E-5</v>
      </c>
      <c r="L188" s="85">
        <f>IF(B188="",IF(CONCATENATE(C188,D188,E188,F188,G188,H188,I188)="","",ws3_EU_ID_blank),IF(ISERROR(MATCH(B188,'2. Emissions Units &amp; Activities'!$B$7:$B$193,0)),ws3_matching_error_msg,G188*IF(E188="Y",1,1-F188)*INDEX('2. Emissions Units &amp; Activities'!$J$7:$J$193,MATCH(B188,'2. Emissions Units &amp; Activities'!$B$7:$B$193,0))))</f>
        <v>2.039964705882353E-3</v>
      </c>
      <c r="M188" s="509">
        <f t="shared" si="5"/>
        <v>1.0709634556221405E-5</v>
      </c>
      <c r="N188" s="284"/>
    </row>
    <row r="189" spans="1:14" ht="15.75" x14ac:dyDescent="0.25">
      <c r="A189" s="86"/>
      <c r="B189" s="508" t="s">
        <v>53</v>
      </c>
      <c r="C189" s="339" t="s">
        <v>257</v>
      </c>
      <c r="D189" s="340" t="s">
        <v>258</v>
      </c>
      <c r="E189" s="339" t="s">
        <v>214</v>
      </c>
      <c r="F189" s="341">
        <v>0</v>
      </c>
      <c r="G189" s="339">
        <v>4.5999999999999999E-3</v>
      </c>
      <c r="H189" s="339" t="s">
        <v>223</v>
      </c>
      <c r="I189" s="339" t="s">
        <v>272</v>
      </c>
      <c r="J189" s="85">
        <f>IF(B189="",IF(CONCATENATE(C189,D189,E189,F189,G189,H189,I189)="","",ws3_EU_ID_blank),IF(ISERROR(MATCH(B189,'2. Emissions Units &amp; Activities'!$B$7:$B$193,0)),ws3_matching_error_msg,G189*IF(E189="Y",1,1-F189)*INDEX('2. Emissions Units &amp; Activities'!$G$7:$G$193,MATCH(B189,'2. Emissions Units &amp; Activities'!$B$7:$B$193,0))))</f>
        <v>0.49639141176470586</v>
      </c>
      <c r="K189" s="85">
        <f t="shared" si="4"/>
        <v>7.1397563708142703E-6</v>
      </c>
      <c r="L189" s="85">
        <f>IF(B189="",IF(CONCATENATE(C189,D189,E189,F189,G189,H189,I189)="","",ws3_EU_ID_blank),IF(ISERROR(MATCH(B189,'2. Emissions Units &amp; Activities'!$B$7:$B$193,0)),ws3_matching_error_msg,G189*IF(E189="Y",1,1-F189)*INDEX('2. Emissions Units &amp; Activities'!$J$7:$J$193,MATCH(B189,'2. Emissions Units &amp; Activities'!$B$7:$B$193,0))))</f>
        <v>1.3599764705882354E-3</v>
      </c>
      <c r="M189" s="509">
        <f t="shared" si="5"/>
        <v>7.1397563708142711E-6</v>
      </c>
      <c r="N189" s="284"/>
    </row>
    <row r="190" spans="1:14" ht="15.75" x14ac:dyDescent="0.25">
      <c r="A190" s="86"/>
      <c r="B190" s="508" t="s">
        <v>53</v>
      </c>
      <c r="C190" s="339" t="s">
        <v>241</v>
      </c>
      <c r="D190" s="340" t="s">
        <v>242</v>
      </c>
      <c r="E190" s="339" t="s">
        <v>214</v>
      </c>
      <c r="F190" s="341">
        <v>0</v>
      </c>
      <c r="G190" s="339">
        <v>5.0000000000000001E-4</v>
      </c>
      <c r="H190" s="339" t="s">
        <v>223</v>
      </c>
      <c r="I190" s="339" t="s">
        <v>272</v>
      </c>
      <c r="J190" s="85">
        <f>IF(B190="",IF(CONCATENATE(C190,D190,E190,F190,G190,H190,I190)="","",ws3_EU_ID_blank),IF(ISERROR(MATCH(B190,'2. Emissions Units &amp; Activities'!$B$7:$B$193,0)),ws3_matching_error_msg,G190*IF(E190="Y",1,1-F190)*INDEX('2. Emissions Units &amp; Activities'!$G$7:$G$193,MATCH(B190,'2. Emissions Units &amp; Activities'!$B$7:$B$193,0))))</f>
        <v>5.3955588235294116E-2</v>
      </c>
      <c r="K190" s="85">
        <f t="shared" si="4"/>
        <v>7.760604750885077E-7</v>
      </c>
      <c r="L190" s="85">
        <f>IF(B190="",IF(CONCATENATE(C190,D190,E190,F190,G190,H190,I190)="","",ws3_EU_ID_blank),IF(ISERROR(MATCH(B190,'2. Emissions Units &amp; Activities'!$B$7:$B$193,0)),ws3_matching_error_msg,G190*IF(E190="Y",1,1-F190)*INDEX('2. Emissions Units &amp; Activities'!$J$7:$J$193,MATCH(B190,'2. Emissions Units &amp; Activities'!$B$7:$B$193,0))))</f>
        <v>1.4782352941176472E-4</v>
      </c>
      <c r="M190" s="509">
        <f t="shared" si="5"/>
        <v>7.760604750885077E-7</v>
      </c>
      <c r="N190" s="284"/>
    </row>
    <row r="191" spans="1:14" ht="15.75" x14ac:dyDescent="0.25">
      <c r="A191" s="86"/>
      <c r="B191" s="508" t="s">
        <v>53</v>
      </c>
      <c r="C191" s="339" t="s">
        <v>261</v>
      </c>
      <c r="D191" s="340" t="s">
        <v>262</v>
      </c>
      <c r="E191" s="339" t="s">
        <v>214</v>
      </c>
      <c r="F191" s="341">
        <v>0</v>
      </c>
      <c r="G191" s="339">
        <v>3.8000000000000002E-4</v>
      </c>
      <c r="H191" s="339" t="s">
        <v>223</v>
      </c>
      <c r="I191" s="339" t="s">
        <v>272</v>
      </c>
      <c r="J191" s="85">
        <f>IF(B191="",IF(CONCATENATE(C191,D191,E191,F191,G191,H191,I191)="","",ws3_EU_ID_blank),IF(ISERROR(MATCH(B191,'2. Emissions Units &amp; Activities'!$B$7:$B$193,0)),ws3_matching_error_msg,G191*IF(E191="Y",1,1-F191)*INDEX('2. Emissions Units &amp; Activities'!$G$7:$G$193,MATCH(B191,'2. Emissions Units &amp; Activities'!$B$7:$B$193,0))))</f>
        <v>4.1006247058823532E-2</v>
      </c>
      <c r="K191" s="85">
        <f t="shared" si="4"/>
        <v>5.8980596106726593E-7</v>
      </c>
      <c r="L191" s="85">
        <f>IF(B191="",IF(CONCATENATE(C191,D191,E191,F191,G191,H191,I191)="","",ws3_EU_ID_blank),IF(ISERROR(MATCH(B191,'2. Emissions Units &amp; Activities'!$B$7:$B$193,0)),ws3_matching_error_msg,G191*IF(E191="Y",1,1-F191)*INDEX('2. Emissions Units &amp; Activities'!$J$7:$J$193,MATCH(B191,'2. Emissions Units &amp; Activities'!$B$7:$B$193,0))))</f>
        <v>1.123458823529412E-4</v>
      </c>
      <c r="M191" s="509">
        <f t="shared" si="5"/>
        <v>5.8980596106726593E-7</v>
      </c>
      <c r="N191" s="284"/>
    </row>
    <row r="192" spans="1:14" ht="15.75" x14ac:dyDescent="0.25">
      <c r="A192" s="86"/>
      <c r="B192" s="508" t="s">
        <v>53</v>
      </c>
      <c r="C192" s="339" t="s">
        <v>263</v>
      </c>
      <c r="D192" s="340" t="s">
        <v>264</v>
      </c>
      <c r="E192" s="339" t="s">
        <v>214</v>
      </c>
      <c r="F192" s="341">
        <v>0</v>
      </c>
      <c r="G192" s="339">
        <v>2.5999999999999998E-4</v>
      </c>
      <c r="H192" s="339" t="s">
        <v>223</v>
      </c>
      <c r="I192" s="339" t="s">
        <v>272</v>
      </c>
      <c r="J192" s="85">
        <f>IF(B192="",IF(CONCATENATE(C192,D192,E192,F192,G192,H192,I192)="","",ws3_EU_ID_blank),IF(ISERROR(MATCH(B192,'2. Emissions Units &amp; Activities'!$B$7:$B$193,0)),ws3_matching_error_msg,G192*IF(E192="Y",1,1-F192)*INDEX('2. Emissions Units &amp; Activities'!$G$7:$G$193,MATCH(B192,'2. Emissions Units &amp; Activities'!$B$7:$B$193,0))))</f>
        <v>2.8056905882352937E-2</v>
      </c>
      <c r="K192" s="85">
        <f t="shared" si="4"/>
        <v>4.035514470460239E-7</v>
      </c>
      <c r="L192" s="85">
        <f>IF(B192="",IF(CONCATENATE(C192,D192,E192,F192,G192,H192,I192)="","",ws3_EU_ID_blank),IF(ISERROR(MATCH(B192,'2. Emissions Units &amp; Activities'!$B$7:$B$193,0)),ws3_matching_error_msg,G192*IF(E192="Y",1,1-F192)*INDEX('2. Emissions Units &amp; Activities'!$J$7:$J$193,MATCH(B192,'2. Emissions Units &amp; Activities'!$B$7:$B$193,0))))</f>
        <v>7.6868235294117642E-5</v>
      </c>
      <c r="M192" s="509">
        <f t="shared" si="5"/>
        <v>4.035514470460239E-7</v>
      </c>
      <c r="N192" s="284"/>
    </row>
    <row r="193" spans="1:14" ht="15.75" x14ac:dyDescent="0.25">
      <c r="A193" s="86"/>
      <c r="B193" s="508" t="s">
        <v>53</v>
      </c>
      <c r="C193" s="339" t="s">
        <v>281</v>
      </c>
      <c r="D193" s="340" t="s">
        <v>282</v>
      </c>
      <c r="E193" s="339" t="s">
        <v>214</v>
      </c>
      <c r="F193" s="341">
        <v>0</v>
      </c>
      <c r="G193" s="339">
        <v>1.65E-3</v>
      </c>
      <c r="H193" s="339" t="s">
        <v>223</v>
      </c>
      <c r="I193" s="339" t="s">
        <v>272</v>
      </c>
      <c r="J193" s="85">
        <f>IF(B193="",IF(CONCATENATE(C193,D193,E193,F193,G193,H193,I193)="","",ws3_EU_ID_blank),IF(ISERROR(MATCH(B193,'2. Emissions Units &amp; Activities'!$B$7:$B$193,0)),ws3_matching_error_msg,G193*IF(E193="Y",1,1-F193)*INDEX('2. Emissions Units &amp; Activities'!$G$7:$G$193,MATCH(B193,'2. Emissions Units &amp; Activities'!$B$7:$B$193,0))))</f>
        <v>0.17805344117647057</v>
      </c>
      <c r="K193" s="85">
        <f t="shared" si="4"/>
        <v>2.5609995677920748E-6</v>
      </c>
      <c r="L193" s="85">
        <f>IF(B193="",IF(CONCATENATE(C193,D193,E193,F193,G193,H193,I193)="","",ws3_EU_ID_blank),IF(ISERROR(MATCH(B193,'2. Emissions Units &amp; Activities'!$B$7:$B$193,0)),ws3_matching_error_msg,G193*IF(E193="Y",1,1-F193)*INDEX('2. Emissions Units &amp; Activities'!$J$7:$J$193,MATCH(B193,'2. Emissions Units &amp; Activities'!$B$7:$B$193,0))))</f>
        <v>4.8781764705882355E-4</v>
      </c>
      <c r="M193" s="509">
        <f t="shared" si="5"/>
        <v>2.5609995677920753E-6</v>
      </c>
      <c r="N193" s="284"/>
    </row>
    <row r="194" spans="1:14" ht="15.75" x14ac:dyDescent="0.25">
      <c r="A194" s="86"/>
      <c r="B194" s="508" t="s">
        <v>53</v>
      </c>
      <c r="C194" s="339">
        <v>365</v>
      </c>
      <c r="D194" s="340" t="s">
        <v>243</v>
      </c>
      <c r="E194" s="339" t="s">
        <v>214</v>
      </c>
      <c r="F194" s="341">
        <v>0</v>
      </c>
      <c r="G194" s="339">
        <v>2.0999999999999999E-3</v>
      </c>
      <c r="H194" s="339" t="s">
        <v>223</v>
      </c>
      <c r="I194" s="339" t="s">
        <v>272</v>
      </c>
      <c r="J194" s="85">
        <f>IF(B194="",IF(CONCATENATE(C194,D194,E194,F194,G194,H194,I194)="","",ws3_EU_ID_blank),IF(ISERROR(MATCH(B194,'2. Emissions Units &amp; Activities'!$B$7:$B$193,0)),ws3_matching_error_msg,G194*IF(E194="Y",1,1-F194)*INDEX('2. Emissions Units &amp; Activities'!$G$7:$G$193,MATCH(B194,'2. Emissions Units &amp; Activities'!$B$7:$B$193,0))))</f>
        <v>0.22661347058823528</v>
      </c>
      <c r="K194" s="85">
        <f t="shared" si="4"/>
        <v>3.2594539953717314E-6</v>
      </c>
      <c r="L194" s="85">
        <f>IF(B194="",IF(CONCATENATE(C194,D194,E194,F194,G194,H194,I194)="","",ws3_EU_ID_blank),IF(ISERROR(MATCH(B194,'2. Emissions Units &amp; Activities'!$B$7:$B$193,0)),ws3_matching_error_msg,G194*IF(E194="Y",1,1-F194)*INDEX('2. Emissions Units &amp; Activities'!$J$7:$J$193,MATCH(B194,'2. Emissions Units &amp; Activities'!$B$7:$B$193,0))))</f>
        <v>6.2085882352941172E-4</v>
      </c>
      <c r="M194" s="509">
        <f t="shared" si="5"/>
        <v>3.2594539953717318E-6</v>
      </c>
      <c r="N194" s="284"/>
    </row>
    <row r="195" spans="1:14" ht="15.75" x14ac:dyDescent="0.25">
      <c r="A195" s="86"/>
      <c r="B195" s="508" t="s">
        <v>53</v>
      </c>
      <c r="C195" s="339" t="s">
        <v>265</v>
      </c>
      <c r="D195" s="340" t="s">
        <v>266</v>
      </c>
      <c r="E195" s="339" t="s">
        <v>214</v>
      </c>
      <c r="F195" s="341">
        <v>0</v>
      </c>
      <c r="G195" s="339">
        <v>2.4000000000000001E-5</v>
      </c>
      <c r="H195" s="339" t="s">
        <v>223</v>
      </c>
      <c r="I195" s="339" t="s">
        <v>272</v>
      </c>
      <c r="J195" s="85">
        <f>IF(B195="",IF(CONCATENATE(C195,D195,E195,F195,G195,H195,I195)="","",ws3_EU_ID_blank),IF(ISERROR(MATCH(B195,'2. Emissions Units &amp; Activities'!$B$7:$B$193,0)),ws3_matching_error_msg,G195*IF(E195="Y",1,1-F195)*INDEX('2. Emissions Units &amp; Activities'!$G$7:$G$193,MATCH(B195,'2. Emissions Units &amp; Activities'!$B$7:$B$193,0))))</f>
        <v>2.5898682352941175E-3</v>
      </c>
      <c r="K195" s="85">
        <f t="shared" si="4"/>
        <v>3.7250902804248363E-8</v>
      </c>
      <c r="L195" s="85">
        <f>IF(B195="",IF(CONCATENATE(C195,D195,E195,F195,G195,H195,I195)="","",ws3_EU_ID_blank),IF(ISERROR(MATCH(B195,'2. Emissions Units &amp; Activities'!$B$7:$B$193,0)),ws3_matching_error_msg,G195*IF(E195="Y",1,1-F195)*INDEX('2. Emissions Units &amp; Activities'!$J$7:$J$193,MATCH(B195,'2. Emissions Units &amp; Activities'!$B$7:$B$193,0))))</f>
        <v>7.0955294117647066E-6</v>
      </c>
      <c r="M195" s="509">
        <f t="shared" si="5"/>
        <v>3.7250902804248369E-8</v>
      </c>
      <c r="N195" s="284"/>
    </row>
    <row r="196" spans="1:14" ht="15.75" x14ac:dyDescent="0.25">
      <c r="A196" s="86"/>
      <c r="B196" s="508" t="s">
        <v>53</v>
      </c>
      <c r="C196" s="339" t="s">
        <v>267</v>
      </c>
      <c r="D196" s="340" t="s">
        <v>268</v>
      </c>
      <c r="E196" s="339" t="s">
        <v>214</v>
      </c>
      <c r="F196" s="341">
        <v>0</v>
      </c>
      <c r="G196" s="339">
        <v>2.6499999999999999E-2</v>
      </c>
      <c r="H196" s="339" t="s">
        <v>223</v>
      </c>
      <c r="I196" s="339" t="s">
        <v>272</v>
      </c>
      <c r="J196" s="85">
        <f>IF(B196="",IF(CONCATENATE(C196,D196,E196,F196,G196,H196,I196)="","",ws3_EU_ID_blank),IF(ISERROR(MATCH(B196,'2. Emissions Units &amp; Activities'!$B$7:$B$193,0)),ws3_matching_error_msg,G196*IF(E196="Y",1,1-F196)*INDEX('2. Emissions Units &amp; Activities'!$G$7:$G$193,MATCH(B196,'2. Emissions Units &amp; Activities'!$B$7:$B$193,0))))</f>
        <v>2.8596461764705881</v>
      </c>
      <c r="K196" s="85">
        <f t="shared" si="4"/>
        <v>4.1131205179690908E-5</v>
      </c>
      <c r="L196" s="85">
        <f>IF(B196="",IF(CONCATENATE(C196,D196,E196,F196,G196,H196,I196)="","",ws3_EU_ID_blank),IF(ISERROR(MATCH(B196,'2. Emissions Units &amp; Activities'!$B$7:$B$193,0)),ws3_matching_error_msg,G196*IF(E196="Y",1,1-F196)*INDEX('2. Emissions Units &amp; Activities'!$J$7:$J$193,MATCH(B196,'2. Emissions Units &amp; Activities'!$B$7:$B$193,0))))</f>
        <v>7.8346470588235295E-3</v>
      </c>
      <c r="M196" s="509">
        <f t="shared" si="5"/>
        <v>4.1131205179690908E-5</v>
      </c>
      <c r="N196" s="284"/>
    </row>
    <row r="197" spans="1:14" ht="15.75" x14ac:dyDescent="0.25">
      <c r="A197" s="86"/>
      <c r="B197" s="508" t="s">
        <v>53</v>
      </c>
      <c r="C197" s="339" t="s">
        <v>283</v>
      </c>
      <c r="D197" s="340" t="s">
        <v>284</v>
      </c>
      <c r="E197" s="339" t="s">
        <v>214</v>
      </c>
      <c r="F197" s="341">
        <v>0</v>
      </c>
      <c r="G197" s="339">
        <v>2.3E-3</v>
      </c>
      <c r="H197" s="339" t="s">
        <v>223</v>
      </c>
      <c r="I197" s="339" t="s">
        <v>272</v>
      </c>
      <c r="J197" s="85">
        <f>IF(B197="",IF(CONCATENATE(C197,D197,E197,F197,G197,H197,I197)="","",ws3_EU_ID_blank),IF(ISERROR(MATCH(B197,'2. Emissions Units &amp; Activities'!$B$7:$B$193,0)),ws3_matching_error_msg,G197*IF(E197="Y",1,1-F197)*INDEX('2. Emissions Units &amp; Activities'!$G$7:$G$193,MATCH(B197,'2. Emissions Units &amp; Activities'!$B$7:$B$193,0))))</f>
        <v>0.24819570588235293</v>
      </c>
      <c r="K197" s="85">
        <f t="shared" si="4"/>
        <v>3.5698781854071351E-6</v>
      </c>
      <c r="L197" s="85">
        <f>IF(B197="",IF(CONCATENATE(C197,D197,E197,F197,G197,H197,I197)="","",ws3_EU_ID_blank),IF(ISERROR(MATCH(B197,'2. Emissions Units &amp; Activities'!$B$7:$B$193,0)),ws3_matching_error_msg,G197*IF(E197="Y",1,1-F197)*INDEX('2. Emissions Units &amp; Activities'!$J$7:$J$193,MATCH(B197,'2. Emissions Units &amp; Activities'!$B$7:$B$193,0))))</f>
        <v>6.7998823529411771E-4</v>
      </c>
      <c r="M197" s="509">
        <f t="shared" si="5"/>
        <v>3.5698781854071356E-6</v>
      </c>
      <c r="N197" s="284"/>
    </row>
    <row r="198" spans="1:14" ht="15.75" x14ac:dyDescent="0.25">
      <c r="A198" s="86"/>
      <c r="B198" s="508" t="s">
        <v>53</v>
      </c>
      <c r="C198" s="339" t="s">
        <v>269</v>
      </c>
      <c r="D198" s="340" t="s">
        <v>270</v>
      </c>
      <c r="E198" s="339" t="s">
        <v>214</v>
      </c>
      <c r="F198" s="341">
        <v>0</v>
      </c>
      <c r="G198" s="339">
        <v>1.9699999999999999E-2</v>
      </c>
      <c r="H198" s="339" t="s">
        <v>223</v>
      </c>
      <c r="I198" s="339" t="s">
        <v>272</v>
      </c>
      <c r="J198" s="85">
        <f>IF(B198="",IF(CONCATENATE(C198,D198,E198,F198,G198,H198,I198)="","",ws3_EU_ID_blank),IF(ISERROR(MATCH(B198,'2. Emissions Units &amp; Activities'!$B$7:$B$193,0)),ws3_matching_error_msg,G198*IF(E198="Y",1,1-F198)*INDEX('2. Emissions Units &amp; Activities'!$G$7:$G$193,MATCH(B198,'2. Emissions Units &amp; Activities'!$B$7:$B$193,0))))</f>
        <v>2.1258501764705882</v>
      </c>
      <c r="K198" s="85">
        <f t="shared" si="4"/>
        <v>3.0576782718487199E-5</v>
      </c>
      <c r="L198" s="85">
        <f>IF(B198="",IF(CONCATENATE(C198,D198,E198,F198,G198,H198,I198)="","",ws3_EU_ID_blank),IF(ISERROR(MATCH(B198,'2. Emissions Units &amp; Activities'!$B$7:$B$193,0)),ws3_matching_error_msg,G198*IF(E198="Y",1,1-F198)*INDEX('2. Emissions Units &amp; Activities'!$J$7:$J$193,MATCH(B198,'2. Emissions Units &amp; Activities'!$B$7:$B$193,0))))</f>
        <v>5.8242470588235297E-3</v>
      </c>
      <c r="M198" s="509">
        <f t="shared" si="5"/>
        <v>3.0576782718487199E-5</v>
      </c>
      <c r="N198" s="284"/>
    </row>
    <row r="199" spans="1:14" ht="15.75" x14ac:dyDescent="0.25">
      <c r="A199" s="86"/>
      <c r="B199" s="508" t="s">
        <v>53</v>
      </c>
      <c r="C199" s="339" t="s">
        <v>285</v>
      </c>
      <c r="D199" s="340" t="s">
        <v>286</v>
      </c>
      <c r="E199" s="339" t="s">
        <v>214</v>
      </c>
      <c r="F199" s="341">
        <v>0</v>
      </c>
      <c r="G199" s="339">
        <v>2.9000000000000001E-2</v>
      </c>
      <c r="H199" s="339" t="s">
        <v>223</v>
      </c>
      <c r="I199" s="339" t="s">
        <v>272</v>
      </c>
      <c r="J199" s="85">
        <f>IF(B199="",IF(CONCATENATE(C199,D199,E199,F199,G199,H199,I199)="","",ws3_EU_ID_blank),IF(ISERROR(MATCH(B199,'2. Emissions Units &amp; Activities'!$B$7:$B$193,0)),ws3_matching_error_msg,G199*IF(E199="Y",1,1-F199)*INDEX('2. Emissions Units &amp; Activities'!$G$7:$G$193,MATCH(B199,'2. Emissions Units &amp; Activities'!$B$7:$B$193,0))))</f>
        <v>3.129424117647059</v>
      </c>
      <c r="K199" s="85">
        <f t="shared" si="4"/>
        <v>4.5011507555133447E-5</v>
      </c>
      <c r="L199" s="85">
        <f>IF(B199="",IF(CONCATENATE(C199,D199,E199,F199,G199,H199,I199)="","",ws3_EU_ID_blank),IF(ISERROR(MATCH(B199,'2. Emissions Units &amp; Activities'!$B$7:$B$193,0)),ws3_matching_error_msg,G199*IF(E199="Y",1,1-F199)*INDEX('2. Emissions Units &amp; Activities'!$J$7:$J$193,MATCH(B199,'2. Emissions Units &amp; Activities'!$B$7:$B$193,0))))</f>
        <v>8.5737647058823536E-3</v>
      </c>
      <c r="M199" s="509">
        <f t="shared" si="5"/>
        <v>4.5011507555133447E-5</v>
      </c>
      <c r="N199" s="284"/>
    </row>
    <row r="200" spans="1:14" ht="15.75" x14ac:dyDescent="0.25">
      <c r="A200" s="86"/>
      <c r="B200" s="508" t="s">
        <v>54</v>
      </c>
      <c r="C200" s="339" t="s">
        <v>221</v>
      </c>
      <c r="D200" s="340" t="s">
        <v>222</v>
      </c>
      <c r="E200" s="339" t="s">
        <v>214</v>
      </c>
      <c r="F200" s="341">
        <v>0</v>
      </c>
      <c r="G200" s="339">
        <v>5.7999999999999996E-3</v>
      </c>
      <c r="H200" s="339" t="s">
        <v>223</v>
      </c>
      <c r="I200" s="339" t="s">
        <v>272</v>
      </c>
      <c r="J200" s="85">
        <f>IF(B200="",IF(CONCATENATE(C200,D200,E200,F200,G200,H200,I200)="","",ws3_EU_ID_blank),IF(ISERROR(MATCH(B200,'2. Emissions Units &amp; Activities'!$B$7:$B$193,0)),ws3_matching_error_msg,G200*IF(E200="Y",1,1-F200)*INDEX('2. Emissions Units &amp; Activities'!$G$7:$G$193,MATCH(B200,'2. Emissions Units &amp; Activities'!$B$7:$B$193,0))))</f>
        <v>0.62588482352941166</v>
      </c>
      <c r="K200" s="85">
        <f t="shared" si="4"/>
        <v>9.0023015110266894E-6</v>
      </c>
      <c r="L200" s="85">
        <f>IF(B200="",IF(CONCATENATE(C200,D200,E200,F200,G200,H200,I200)="","",ws3_EU_ID_blank),IF(ISERROR(MATCH(B200,'2. Emissions Units &amp; Activities'!$B$7:$B$193,0)),ws3_matching_error_msg,G200*IF(E200="Y",1,1-F200)*INDEX('2. Emissions Units &amp; Activities'!$J$7:$J$193,MATCH(B200,'2. Emissions Units &amp; Activities'!$B$7:$B$193,0))))</f>
        <v>1.7147529411764705E-3</v>
      </c>
      <c r="M200" s="509">
        <f t="shared" si="5"/>
        <v>9.0023015110266877E-6</v>
      </c>
      <c r="N200" s="284"/>
    </row>
    <row r="201" spans="1:14" ht="15.75" x14ac:dyDescent="0.25">
      <c r="A201" s="86"/>
      <c r="B201" s="508" t="s">
        <v>54</v>
      </c>
      <c r="C201" s="339" t="s">
        <v>237</v>
      </c>
      <c r="D201" s="340" t="s">
        <v>238</v>
      </c>
      <c r="E201" s="339" t="s">
        <v>214</v>
      </c>
      <c r="F201" s="341">
        <v>0</v>
      </c>
      <c r="G201" s="339">
        <v>1.23E-2</v>
      </c>
      <c r="H201" s="339" t="s">
        <v>223</v>
      </c>
      <c r="I201" s="339" t="s">
        <v>272</v>
      </c>
      <c r="J201" s="85">
        <f>IF(B201="",IF(CONCATENATE(C201,D201,E201,F201,G201,H201,I201)="","",ws3_EU_ID_blank),IF(ISERROR(MATCH(B201,'2. Emissions Units &amp; Activities'!$B$7:$B$193,0)),ws3_matching_error_msg,G201*IF(E201="Y",1,1-F201)*INDEX('2. Emissions Units &amp; Activities'!$G$7:$G$193,MATCH(B201,'2. Emissions Units &amp; Activities'!$B$7:$B$193,0))))</f>
        <v>1.3273074705882353</v>
      </c>
      <c r="K201" s="85">
        <f t="shared" ref="K201:K264" si="6">CONVERT(J201,"lbm","g")/8760/3600</f>
        <v>1.909108768717729E-5</v>
      </c>
      <c r="L201" s="85">
        <f>IF(B201="",IF(CONCATENATE(C201,D201,E201,F201,G201,H201,I201)="","",ws3_EU_ID_blank),IF(ISERROR(MATCH(B201,'2. Emissions Units &amp; Activities'!$B$7:$B$193,0)),ws3_matching_error_msg,G201*IF(E201="Y",1,1-F201)*INDEX('2. Emissions Units &amp; Activities'!$J$7:$J$193,MATCH(B201,'2. Emissions Units &amp; Activities'!$B$7:$B$193,0))))</f>
        <v>3.6364588235294122E-3</v>
      </c>
      <c r="M201" s="509">
        <f t="shared" ref="M201:M264" si="7">CONVERT(L201,"lbm","g")/24/3600</f>
        <v>1.909108768717729E-5</v>
      </c>
      <c r="N201" s="284"/>
    </row>
    <row r="202" spans="1:14" ht="15.75" x14ac:dyDescent="0.25">
      <c r="A202" s="86"/>
      <c r="B202" s="508" t="s">
        <v>54</v>
      </c>
      <c r="C202" s="339">
        <v>401</v>
      </c>
      <c r="D202" s="340" t="s">
        <v>246</v>
      </c>
      <c r="E202" s="339" t="s">
        <v>214</v>
      </c>
      <c r="F202" s="341">
        <v>0</v>
      </c>
      <c r="G202" s="339">
        <v>1E-4</v>
      </c>
      <c r="H202" s="339" t="s">
        <v>223</v>
      </c>
      <c r="I202" s="339" t="s">
        <v>272</v>
      </c>
      <c r="J202" s="85">
        <f>IF(B202="",IF(CONCATENATE(C202,D202,E202,F202,G202,H202,I202)="","",ws3_EU_ID_blank),IF(ISERROR(MATCH(B202,'2. Emissions Units &amp; Activities'!$B$7:$B$193,0)),ws3_matching_error_msg,G202*IF(E202="Y",1,1-F202)*INDEX('2. Emissions Units &amp; Activities'!$G$7:$G$193,MATCH(B202,'2. Emissions Units &amp; Activities'!$B$7:$B$193,0))))</f>
        <v>1.0791117647058824E-2</v>
      </c>
      <c r="K202" s="85">
        <f t="shared" si="6"/>
        <v>1.5521209501770153E-7</v>
      </c>
      <c r="L202" s="85">
        <f>IF(B202="",IF(CONCATENATE(C202,D202,E202,F202,G202,H202,I202)="","",ws3_EU_ID_blank),IF(ISERROR(MATCH(B202,'2. Emissions Units &amp; Activities'!$B$7:$B$193,0)),ws3_matching_error_msg,G202*IF(E202="Y",1,1-F202)*INDEX('2. Emissions Units &amp; Activities'!$J$7:$J$193,MATCH(B202,'2. Emissions Units &amp; Activities'!$B$7:$B$193,0))))</f>
        <v>2.9564705882352946E-5</v>
      </c>
      <c r="M202" s="509">
        <f t="shared" si="7"/>
        <v>1.5521209501770156E-7</v>
      </c>
      <c r="N202" s="284"/>
    </row>
    <row r="203" spans="1:14" ht="15.75" x14ac:dyDescent="0.25">
      <c r="A203" s="86"/>
      <c r="B203" s="508" t="s">
        <v>54</v>
      </c>
      <c r="C203" s="339" t="s">
        <v>273</v>
      </c>
      <c r="D203" s="340" t="s">
        <v>274</v>
      </c>
      <c r="E203" s="339" t="s">
        <v>214</v>
      </c>
      <c r="F203" s="341">
        <v>0</v>
      </c>
      <c r="G203" s="339">
        <v>1.1999999999999999E-6</v>
      </c>
      <c r="H203" s="339" t="s">
        <v>223</v>
      </c>
      <c r="I203" s="339" t="s">
        <v>272</v>
      </c>
      <c r="J203" s="85">
        <f>IF(B203="",IF(CONCATENATE(C203,D203,E203,F203,G203,H203,I203)="","",ws3_EU_ID_blank),IF(ISERROR(MATCH(B203,'2. Emissions Units &amp; Activities'!$B$7:$B$193,0)),ws3_matching_error_msg,G203*IF(E203="Y",1,1-F203)*INDEX('2. Emissions Units &amp; Activities'!$G$7:$G$193,MATCH(B203,'2. Emissions Units &amp; Activities'!$B$7:$B$193,0))))</f>
        <v>1.2949341176470588E-4</v>
      </c>
      <c r="K203" s="85">
        <f t="shared" si="6"/>
        <v>1.8625451402124183E-9</v>
      </c>
      <c r="L203" s="85">
        <f>IF(B203="",IF(CONCATENATE(C203,D203,E203,F203,G203,H203,I203)="","",ws3_EU_ID_blank),IF(ISERROR(MATCH(B203,'2. Emissions Units &amp; Activities'!$B$7:$B$193,0)),ws3_matching_error_msg,G203*IF(E203="Y",1,1-F203)*INDEX('2. Emissions Units &amp; Activities'!$J$7:$J$193,MATCH(B203,'2. Emissions Units &amp; Activities'!$B$7:$B$193,0))))</f>
        <v>3.5477647058823528E-7</v>
      </c>
      <c r="M203" s="509">
        <f t="shared" si="7"/>
        <v>1.8625451402124183E-9</v>
      </c>
      <c r="N203" s="284"/>
    </row>
    <row r="204" spans="1:14" ht="15.75" x14ac:dyDescent="0.25">
      <c r="A204" s="86"/>
      <c r="B204" s="508" t="s">
        <v>54</v>
      </c>
      <c r="C204" s="339" t="s">
        <v>244</v>
      </c>
      <c r="D204" s="340" t="s">
        <v>245</v>
      </c>
      <c r="E204" s="339" t="s">
        <v>214</v>
      </c>
      <c r="F204" s="341">
        <v>0</v>
      </c>
      <c r="G204" s="339">
        <v>2.9999999999999997E-4</v>
      </c>
      <c r="H204" s="339" t="s">
        <v>223</v>
      </c>
      <c r="I204" s="339" t="s">
        <v>272</v>
      </c>
      <c r="J204" s="85">
        <f>IF(B204="",IF(CONCATENATE(C204,D204,E204,F204,G204,H204,I204)="","",ws3_EU_ID_blank),IF(ISERROR(MATCH(B204,'2. Emissions Units &amp; Activities'!$B$7:$B$193,0)),ws3_matching_error_msg,G204*IF(E204="Y",1,1-F204)*INDEX('2. Emissions Units &amp; Activities'!$G$7:$G$193,MATCH(B204,'2. Emissions Units &amp; Activities'!$B$7:$B$193,0))))</f>
        <v>3.2373352941176464E-2</v>
      </c>
      <c r="K204" s="85">
        <f t="shared" si="6"/>
        <v>4.6563628505310447E-7</v>
      </c>
      <c r="L204" s="85">
        <f>IF(B204="",IF(CONCATENATE(C204,D204,E204,F204,G204,H204,I204)="","",ws3_EU_ID_blank),IF(ISERROR(MATCH(B204,'2. Emissions Units &amp; Activities'!$B$7:$B$193,0)),ws3_matching_error_msg,G204*IF(E204="Y",1,1-F204)*INDEX('2. Emissions Units &amp; Activities'!$J$7:$J$193,MATCH(B204,'2. Emissions Units &amp; Activities'!$B$7:$B$193,0))))</f>
        <v>8.8694117647058817E-5</v>
      </c>
      <c r="M204" s="509">
        <f t="shared" si="7"/>
        <v>4.6563628505310452E-7</v>
      </c>
      <c r="N204" s="284"/>
    </row>
    <row r="205" spans="1:14" ht="15.75" x14ac:dyDescent="0.25">
      <c r="A205" s="86"/>
      <c r="B205" s="508" t="s">
        <v>54</v>
      </c>
      <c r="C205" s="339" t="s">
        <v>247</v>
      </c>
      <c r="D205" s="340" t="s">
        <v>248</v>
      </c>
      <c r="E205" s="339" t="s">
        <v>214</v>
      </c>
      <c r="F205" s="341">
        <v>0</v>
      </c>
      <c r="G205" s="339">
        <v>3.0999999999999999E-3</v>
      </c>
      <c r="H205" s="339" t="s">
        <v>223</v>
      </c>
      <c r="I205" s="339" t="s">
        <v>272</v>
      </c>
      <c r="J205" s="85">
        <f>IF(B205="",IF(CONCATENATE(C205,D205,E205,F205,G205,H205,I205)="","",ws3_EU_ID_blank),IF(ISERROR(MATCH(B205,'2. Emissions Units &amp; Activities'!$B$7:$B$193,0)),ws3_matching_error_msg,G205*IF(E205="Y",1,1-F205)*INDEX('2. Emissions Units &amp; Activities'!$G$7:$G$193,MATCH(B205,'2. Emissions Units &amp; Activities'!$B$7:$B$193,0))))</f>
        <v>0.33452464705882351</v>
      </c>
      <c r="K205" s="85">
        <f t="shared" si="6"/>
        <v>4.8115749455487468E-6</v>
      </c>
      <c r="L205" s="85">
        <f>IF(B205="",IF(CONCATENATE(C205,D205,E205,F205,G205,H205,I205)="","",ws3_EU_ID_blank),IF(ISERROR(MATCH(B205,'2. Emissions Units &amp; Activities'!$B$7:$B$193,0)),ws3_matching_error_msg,G205*IF(E205="Y",1,1-F205)*INDEX('2. Emissions Units &amp; Activities'!$J$7:$J$193,MATCH(B205,'2. Emissions Units &amp; Activities'!$B$7:$B$193,0))))</f>
        <v>9.1650588235294122E-4</v>
      </c>
      <c r="M205" s="509">
        <f t="shared" si="7"/>
        <v>4.8115749455487476E-6</v>
      </c>
      <c r="N205" s="284"/>
    </row>
    <row r="206" spans="1:14" ht="15.75" x14ac:dyDescent="0.25">
      <c r="A206" s="86"/>
      <c r="B206" s="508" t="s">
        <v>54</v>
      </c>
      <c r="C206" s="339" t="s">
        <v>249</v>
      </c>
      <c r="D206" s="340" t="s">
        <v>250</v>
      </c>
      <c r="E206" s="339" t="s">
        <v>214</v>
      </c>
      <c r="F206" s="341">
        <v>0</v>
      </c>
      <c r="G206" s="339">
        <v>2.7000000000000001E-3</v>
      </c>
      <c r="H206" s="339" t="s">
        <v>223</v>
      </c>
      <c r="I206" s="339" t="s">
        <v>272</v>
      </c>
      <c r="J206" s="85">
        <f>IF(B206="",IF(CONCATENATE(C206,D206,E206,F206,G206,H206,I206)="","",ws3_EU_ID_blank),IF(ISERROR(MATCH(B206,'2. Emissions Units &amp; Activities'!$B$7:$B$193,0)),ws3_matching_error_msg,G206*IF(E206="Y",1,1-F206)*INDEX('2. Emissions Units &amp; Activities'!$G$7:$G$193,MATCH(B206,'2. Emissions Units &amp; Activities'!$B$7:$B$193,0))))</f>
        <v>0.29136017647058826</v>
      </c>
      <c r="K206" s="85">
        <f t="shared" si="6"/>
        <v>4.1907265654779418E-6</v>
      </c>
      <c r="L206" s="85">
        <f>IF(B206="",IF(CONCATENATE(C206,D206,E206,F206,G206,H206,I206)="","",ws3_EU_ID_blank),IF(ISERROR(MATCH(B206,'2. Emissions Units &amp; Activities'!$B$7:$B$193,0)),ws3_matching_error_msg,G206*IF(E206="Y",1,1-F206)*INDEX('2. Emissions Units &amp; Activities'!$J$7:$J$193,MATCH(B206,'2. Emissions Units &amp; Activities'!$B$7:$B$193,0))))</f>
        <v>7.9824705882352946E-4</v>
      </c>
      <c r="M206" s="509">
        <f t="shared" si="7"/>
        <v>4.1907265654779418E-6</v>
      </c>
      <c r="N206" s="284"/>
    </row>
    <row r="207" spans="1:14" ht="15.75" x14ac:dyDescent="0.25">
      <c r="A207" s="86"/>
      <c r="B207" s="508" t="s">
        <v>54</v>
      </c>
      <c r="C207" s="339" t="s">
        <v>251</v>
      </c>
      <c r="D207" s="340" t="s">
        <v>252</v>
      </c>
      <c r="E207" s="339" t="s">
        <v>214</v>
      </c>
      <c r="F207" s="341">
        <v>0</v>
      </c>
      <c r="G207" s="339">
        <v>3.2</v>
      </c>
      <c r="H207" s="339" t="s">
        <v>223</v>
      </c>
      <c r="I207" s="339" t="s">
        <v>272</v>
      </c>
      <c r="J207" s="85">
        <f>IF(B207="",IF(CONCATENATE(C207,D207,E207,F207,G207,H207,I207)="","",ws3_EU_ID_blank),IF(ISERROR(MATCH(B207,'2. Emissions Units &amp; Activities'!$B$7:$B$193,0)),ws3_matching_error_msg,G207*IF(E207="Y",1,1-F207)*INDEX('2. Emissions Units &amp; Activities'!$G$7:$G$193,MATCH(B207,'2. Emissions Units &amp; Activities'!$B$7:$B$193,0))))</f>
        <v>345.31576470588237</v>
      </c>
      <c r="K207" s="85">
        <f t="shared" si="6"/>
        <v>4.9667870405664498E-3</v>
      </c>
      <c r="L207" s="85">
        <f>IF(B207="",IF(CONCATENATE(C207,D207,E207,F207,G207,H207,I207)="","",ws3_EU_ID_blank),IF(ISERROR(MATCH(B207,'2. Emissions Units &amp; Activities'!$B$7:$B$193,0)),ws3_matching_error_msg,G207*IF(E207="Y",1,1-F207)*INDEX('2. Emissions Units &amp; Activities'!$J$7:$J$193,MATCH(B207,'2. Emissions Units &amp; Activities'!$B$7:$B$193,0))))</f>
        <v>0.94607058823529422</v>
      </c>
      <c r="M207" s="509">
        <f t="shared" si="7"/>
        <v>4.9667870405664498E-3</v>
      </c>
      <c r="N207" s="284"/>
    </row>
    <row r="208" spans="1:14" ht="15.75" x14ac:dyDescent="0.25">
      <c r="A208" s="86"/>
      <c r="B208" s="508" t="s">
        <v>54</v>
      </c>
      <c r="C208" s="339" t="s">
        <v>218</v>
      </c>
      <c r="D208" s="340" t="s">
        <v>219</v>
      </c>
      <c r="E208" s="339" t="s">
        <v>214</v>
      </c>
      <c r="F208" s="341">
        <v>0</v>
      </c>
      <c r="G208" s="339">
        <v>2.0000000000000001E-4</v>
      </c>
      <c r="H208" s="339" t="s">
        <v>223</v>
      </c>
      <c r="I208" s="339" t="s">
        <v>272</v>
      </c>
      <c r="J208" s="85">
        <f>IF(B208="",IF(CONCATENATE(C208,D208,E208,F208,G208,H208,I208)="","",ws3_EU_ID_blank),IF(ISERROR(MATCH(B208,'2. Emissions Units &amp; Activities'!$B$7:$B$193,0)),ws3_matching_error_msg,G208*IF(E208="Y",1,1-F208)*INDEX('2. Emissions Units &amp; Activities'!$G$7:$G$193,MATCH(B208,'2. Emissions Units &amp; Activities'!$B$7:$B$193,0))))</f>
        <v>2.1582235294117649E-2</v>
      </c>
      <c r="K208" s="85">
        <f t="shared" si="6"/>
        <v>3.1042419003540307E-7</v>
      </c>
      <c r="L208" s="85">
        <f>IF(B208="",IF(CONCATENATE(C208,D208,E208,F208,G208,H208,I208)="","",ws3_EU_ID_blank),IF(ISERROR(MATCH(B208,'2. Emissions Units &amp; Activities'!$B$7:$B$193,0)),ws3_matching_error_msg,G208*IF(E208="Y",1,1-F208)*INDEX('2. Emissions Units &amp; Activities'!$J$7:$J$193,MATCH(B208,'2. Emissions Units &amp; Activities'!$B$7:$B$193,0))))</f>
        <v>5.9129411764705892E-5</v>
      </c>
      <c r="M208" s="509">
        <f t="shared" si="7"/>
        <v>3.1042419003540312E-7</v>
      </c>
      <c r="N208" s="284"/>
    </row>
    <row r="209" spans="1:14" ht="15.75" x14ac:dyDescent="0.25">
      <c r="A209" s="86"/>
      <c r="B209" s="508" t="s">
        <v>54</v>
      </c>
      <c r="C209" s="339" t="s">
        <v>275</v>
      </c>
      <c r="D209" s="340" t="s">
        <v>276</v>
      </c>
      <c r="E209" s="339" t="s">
        <v>214</v>
      </c>
      <c r="F209" s="341">
        <v>0</v>
      </c>
      <c r="G209" s="339">
        <v>4.4000000000000003E-3</v>
      </c>
      <c r="H209" s="339" t="s">
        <v>223</v>
      </c>
      <c r="I209" s="339" t="s">
        <v>272</v>
      </c>
      <c r="J209" s="85">
        <f>IF(B209="",IF(CONCATENATE(C209,D209,E209,F209,G209,H209,I209)="","",ws3_EU_ID_blank),IF(ISERROR(MATCH(B209,'2. Emissions Units &amp; Activities'!$B$7:$B$193,0)),ws3_matching_error_msg,G209*IF(E209="Y",1,1-F209)*INDEX('2. Emissions Units &amp; Activities'!$G$7:$G$193,MATCH(B209,'2. Emissions Units &amp; Activities'!$B$7:$B$193,0))))</f>
        <v>0.47480917647058823</v>
      </c>
      <c r="K209" s="85">
        <f t="shared" si="6"/>
        <v>6.8293321807788674E-6</v>
      </c>
      <c r="L209" s="85">
        <f>IF(B209="",IF(CONCATENATE(C209,D209,E209,F209,G209,H209,I209)="","",ws3_EU_ID_blank),IF(ISERROR(MATCH(B209,'2. Emissions Units &amp; Activities'!$B$7:$B$193,0)),ws3_matching_error_msg,G209*IF(E209="Y",1,1-F209)*INDEX('2. Emissions Units &amp; Activities'!$J$7:$J$193,MATCH(B209,'2. Emissions Units &amp; Activities'!$B$7:$B$193,0))))</f>
        <v>1.3008470588235295E-3</v>
      </c>
      <c r="M209" s="509">
        <f t="shared" si="7"/>
        <v>6.8293321807788682E-6</v>
      </c>
      <c r="N209" s="284"/>
    </row>
    <row r="210" spans="1:14" ht="15.75" x14ac:dyDescent="0.25">
      <c r="A210" s="86"/>
      <c r="B210" s="508" t="s">
        <v>54</v>
      </c>
      <c r="C210" s="339" t="s">
        <v>277</v>
      </c>
      <c r="D210" s="340" t="s">
        <v>278</v>
      </c>
      <c r="E210" s="339" t="s">
        <v>214</v>
      </c>
      <c r="F210" s="341">
        <v>0</v>
      </c>
      <c r="G210" s="339">
        <v>1.2E-5</v>
      </c>
      <c r="H210" s="339" t="s">
        <v>223</v>
      </c>
      <c r="I210" s="339" t="s">
        <v>272</v>
      </c>
      <c r="J210" s="85">
        <f>IF(B210="",IF(CONCATENATE(C210,D210,E210,F210,G210,H210,I210)="","",ws3_EU_ID_blank),IF(ISERROR(MATCH(B210,'2. Emissions Units &amp; Activities'!$B$7:$B$193,0)),ws3_matching_error_msg,G210*IF(E210="Y",1,1-F210)*INDEX('2. Emissions Units &amp; Activities'!$G$7:$G$193,MATCH(B210,'2. Emissions Units &amp; Activities'!$B$7:$B$193,0))))</f>
        <v>1.2949341176470587E-3</v>
      </c>
      <c r="K210" s="85">
        <f t="shared" si="6"/>
        <v>1.8625451402124181E-8</v>
      </c>
      <c r="L210" s="85">
        <f>IF(B210="",IF(CONCATENATE(C210,D210,E210,F210,G210,H210,I210)="","",ws3_EU_ID_blank),IF(ISERROR(MATCH(B210,'2. Emissions Units &amp; Activities'!$B$7:$B$193,0)),ws3_matching_error_msg,G210*IF(E210="Y",1,1-F210)*INDEX('2. Emissions Units &amp; Activities'!$J$7:$J$193,MATCH(B210,'2. Emissions Units &amp; Activities'!$B$7:$B$193,0))))</f>
        <v>3.5477647058823533E-6</v>
      </c>
      <c r="M210" s="509">
        <f t="shared" si="7"/>
        <v>1.8625451402124185E-8</v>
      </c>
      <c r="N210" s="284"/>
    </row>
    <row r="211" spans="1:14" ht="15.75" x14ac:dyDescent="0.25">
      <c r="A211" s="86"/>
      <c r="B211" s="508" t="s">
        <v>54</v>
      </c>
      <c r="C211" s="339" t="s">
        <v>235</v>
      </c>
      <c r="D211" s="340" t="s">
        <v>236</v>
      </c>
      <c r="E211" s="339" t="s">
        <v>214</v>
      </c>
      <c r="F211" s="341">
        <v>0</v>
      </c>
      <c r="G211" s="339">
        <v>1.1000000000000001E-3</v>
      </c>
      <c r="H211" s="339" t="s">
        <v>223</v>
      </c>
      <c r="I211" s="339" t="s">
        <v>272</v>
      </c>
      <c r="J211" s="85">
        <f>IF(B211="",IF(CONCATENATE(C211,D211,E211,F211,G211,H211,I211)="","",ws3_EU_ID_blank),IF(ISERROR(MATCH(B211,'2. Emissions Units &amp; Activities'!$B$7:$B$193,0)),ws3_matching_error_msg,G211*IF(E211="Y",1,1-F211)*INDEX('2. Emissions Units &amp; Activities'!$G$7:$G$193,MATCH(B211,'2. Emissions Units &amp; Activities'!$B$7:$B$193,0))))</f>
        <v>0.11870229411764706</v>
      </c>
      <c r="K211" s="85">
        <f t="shared" si="6"/>
        <v>1.7073330451947168E-6</v>
      </c>
      <c r="L211" s="85">
        <f>IF(B211="",IF(CONCATENATE(C211,D211,E211,F211,G211,H211,I211)="","",ws3_EU_ID_blank),IF(ISERROR(MATCH(B211,'2. Emissions Units &amp; Activities'!$B$7:$B$193,0)),ws3_matching_error_msg,G211*IF(E211="Y",1,1-F211)*INDEX('2. Emissions Units &amp; Activities'!$J$7:$J$193,MATCH(B211,'2. Emissions Units &amp; Activities'!$B$7:$B$193,0))))</f>
        <v>3.2521176470588238E-4</v>
      </c>
      <c r="M211" s="509">
        <f t="shared" si="7"/>
        <v>1.7073330451947171E-6</v>
      </c>
      <c r="N211" s="284"/>
    </row>
    <row r="212" spans="1:14" ht="15.75" x14ac:dyDescent="0.25">
      <c r="A212" s="86"/>
      <c r="B212" s="508" t="s">
        <v>54</v>
      </c>
      <c r="C212" s="339" t="s">
        <v>239</v>
      </c>
      <c r="D212" s="340" t="s">
        <v>240</v>
      </c>
      <c r="E212" s="339" t="s">
        <v>214</v>
      </c>
      <c r="F212" s="341">
        <v>0</v>
      </c>
      <c r="G212" s="339">
        <v>1.4E-3</v>
      </c>
      <c r="H212" s="339" t="s">
        <v>223</v>
      </c>
      <c r="I212" s="339" t="s">
        <v>272</v>
      </c>
      <c r="J212" s="85">
        <f>IF(B212="",IF(CONCATENATE(C212,D212,E212,F212,G212,H212,I212)="","",ws3_EU_ID_blank),IF(ISERROR(MATCH(B212,'2. Emissions Units &amp; Activities'!$B$7:$B$193,0)),ws3_matching_error_msg,G212*IF(E212="Y",1,1-F212)*INDEX('2. Emissions Units &amp; Activities'!$G$7:$G$193,MATCH(B212,'2. Emissions Units &amp; Activities'!$B$7:$B$193,0))))</f>
        <v>0.15107564705882351</v>
      </c>
      <c r="K212" s="85">
        <f t="shared" si="6"/>
        <v>2.1729693302478212E-6</v>
      </c>
      <c r="L212" s="85">
        <f>IF(B212="",IF(CONCATENATE(C212,D212,E212,F212,G212,H212,I212)="","",ws3_EU_ID_blank),IF(ISERROR(MATCH(B212,'2. Emissions Units &amp; Activities'!$B$7:$B$193,0)),ws3_matching_error_msg,G212*IF(E212="Y",1,1-F212)*INDEX('2. Emissions Units &amp; Activities'!$J$7:$J$193,MATCH(B212,'2. Emissions Units &amp; Activities'!$B$7:$B$193,0))))</f>
        <v>4.139058823529412E-4</v>
      </c>
      <c r="M212" s="509">
        <f t="shared" si="7"/>
        <v>2.1729693302478216E-6</v>
      </c>
      <c r="N212" s="284"/>
    </row>
    <row r="213" spans="1:14" ht="15.75" x14ac:dyDescent="0.25">
      <c r="A213" s="86"/>
      <c r="B213" s="508" t="s">
        <v>54</v>
      </c>
      <c r="C213" s="339" t="s">
        <v>279</v>
      </c>
      <c r="D213" s="340" t="s">
        <v>280</v>
      </c>
      <c r="E213" s="339" t="s">
        <v>214</v>
      </c>
      <c r="F213" s="341">
        <v>0</v>
      </c>
      <c r="G213" s="339">
        <v>8.3999999999999995E-5</v>
      </c>
      <c r="H213" s="339" t="s">
        <v>223</v>
      </c>
      <c r="I213" s="339" t="s">
        <v>272</v>
      </c>
      <c r="J213" s="85">
        <f>IF(B213="",IF(CONCATENATE(C213,D213,E213,F213,G213,H213,I213)="","",ws3_EU_ID_blank),IF(ISERROR(MATCH(B213,'2. Emissions Units &amp; Activities'!$B$7:$B$193,0)),ws3_matching_error_msg,G213*IF(E213="Y",1,1-F213)*INDEX('2. Emissions Units &amp; Activities'!$G$7:$G$193,MATCH(B213,'2. Emissions Units &amp; Activities'!$B$7:$B$193,0))))</f>
        <v>9.0645388235294101E-3</v>
      </c>
      <c r="K213" s="85">
        <f t="shared" si="6"/>
        <v>1.3037815981486925E-7</v>
      </c>
      <c r="L213" s="85">
        <f>IF(B213="",IF(CONCATENATE(C213,D213,E213,F213,G213,H213,I213)="","",ws3_EU_ID_blank),IF(ISERROR(MATCH(B213,'2. Emissions Units &amp; Activities'!$B$7:$B$193,0)),ws3_matching_error_msg,G213*IF(E213="Y",1,1-F213)*INDEX('2. Emissions Units &amp; Activities'!$J$7:$J$193,MATCH(B213,'2. Emissions Units &amp; Activities'!$B$7:$B$193,0))))</f>
        <v>2.4834352941176471E-5</v>
      </c>
      <c r="M213" s="509">
        <f t="shared" si="7"/>
        <v>1.3037815981486928E-7</v>
      </c>
      <c r="N213" s="284"/>
    </row>
    <row r="214" spans="1:14" ht="15.75" x14ac:dyDescent="0.25">
      <c r="A214" s="86"/>
      <c r="B214" s="508" t="s">
        <v>54</v>
      </c>
      <c r="C214" s="339" t="s">
        <v>253</v>
      </c>
      <c r="D214" s="340" t="s">
        <v>254</v>
      </c>
      <c r="E214" s="339" t="s">
        <v>214</v>
      </c>
      <c r="F214" s="341">
        <v>0</v>
      </c>
      <c r="G214" s="339">
        <v>8.4999999999999995E-4</v>
      </c>
      <c r="H214" s="339" t="s">
        <v>223</v>
      </c>
      <c r="I214" s="339" t="s">
        <v>272</v>
      </c>
      <c r="J214" s="85">
        <f>IF(B214="",IF(CONCATENATE(C214,D214,E214,F214,G214,H214,I214)="","",ws3_EU_ID_blank),IF(ISERROR(MATCH(B214,'2. Emissions Units &amp; Activities'!$B$7:$B$193,0)),ws3_matching_error_msg,G214*IF(E214="Y",1,1-F214)*INDEX('2. Emissions Units &amp; Activities'!$G$7:$G$193,MATCH(B214,'2. Emissions Units &amp; Activities'!$B$7:$B$193,0))))</f>
        <v>9.1724499999999987E-2</v>
      </c>
      <c r="K214" s="85">
        <f t="shared" si="6"/>
        <v>1.3193028076504628E-6</v>
      </c>
      <c r="L214" s="85">
        <f>IF(B214="",IF(CONCATENATE(C214,D214,E214,F214,G214,H214,I214)="","",ws3_EU_ID_blank),IF(ISERROR(MATCH(B214,'2. Emissions Units &amp; Activities'!$B$7:$B$193,0)),ws3_matching_error_msg,G214*IF(E214="Y",1,1-F214)*INDEX('2. Emissions Units &amp; Activities'!$J$7:$J$193,MATCH(B214,'2. Emissions Units &amp; Activities'!$B$7:$B$193,0))))</f>
        <v>2.5129999999999998E-4</v>
      </c>
      <c r="M214" s="509">
        <f t="shared" si="7"/>
        <v>1.3193028076504628E-6</v>
      </c>
      <c r="N214" s="284"/>
    </row>
    <row r="215" spans="1:14" ht="15.75" x14ac:dyDescent="0.25">
      <c r="A215" s="86"/>
      <c r="B215" s="508" t="s">
        <v>54</v>
      </c>
      <c r="C215" s="339" t="s">
        <v>255</v>
      </c>
      <c r="D215" s="340" t="s">
        <v>256</v>
      </c>
      <c r="E215" s="339" t="s">
        <v>214</v>
      </c>
      <c r="F215" s="341">
        <v>0</v>
      </c>
      <c r="G215" s="339">
        <v>6.8999999999999999E-3</v>
      </c>
      <c r="H215" s="339" t="s">
        <v>223</v>
      </c>
      <c r="I215" s="339" t="s">
        <v>272</v>
      </c>
      <c r="J215" s="85">
        <f>IF(B215="",IF(CONCATENATE(C215,D215,E215,F215,G215,H215,I215)="","",ws3_EU_ID_blank),IF(ISERROR(MATCH(B215,'2. Emissions Units &amp; Activities'!$B$7:$B$193,0)),ws3_matching_error_msg,G215*IF(E215="Y",1,1-F215)*INDEX('2. Emissions Units &amp; Activities'!$G$7:$G$193,MATCH(B215,'2. Emissions Units &amp; Activities'!$B$7:$B$193,0))))</f>
        <v>0.74458711764705876</v>
      </c>
      <c r="K215" s="85">
        <f t="shared" si="6"/>
        <v>1.0709634556221405E-5</v>
      </c>
      <c r="L215" s="85">
        <f>IF(B215="",IF(CONCATENATE(C215,D215,E215,F215,G215,H215,I215)="","",ws3_EU_ID_blank),IF(ISERROR(MATCH(B215,'2. Emissions Units &amp; Activities'!$B$7:$B$193,0)),ws3_matching_error_msg,G215*IF(E215="Y",1,1-F215)*INDEX('2. Emissions Units &amp; Activities'!$J$7:$J$193,MATCH(B215,'2. Emissions Units &amp; Activities'!$B$7:$B$193,0))))</f>
        <v>2.039964705882353E-3</v>
      </c>
      <c r="M215" s="509">
        <f t="shared" si="7"/>
        <v>1.0709634556221405E-5</v>
      </c>
      <c r="N215" s="284"/>
    </row>
    <row r="216" spans="1:14" ht="15.75" x14ac:dyDescent="0.25">
      <c r="A216" s="86"/>
      <c r="B216" s="508" t="s">
        <v>54</v>
      </c>
      <c r="C216" s="339" t="s">
        <v>257</v>
      </c>
      <c r="D216" s="340" t="s">
        <v>258</v>
      </c>
      <c r="E216" s="339" t="s">
        <v>214</v>
      </c>
      <c r="F216" s="341">
        <v>0</v>
      </c>
      <c r="G216" s="339">
        <v>4.5999999999999999E-3</v>
      </c>
      <c r="H216" s="339" t="s">
        <v>223</v>
      </c>
      <c r="I216" s="339" t="s">
        <v>272</v>
      </c>
      <c r="J216" s="85">
        <f>IF(B216="",IF(CONCATENATE(C216,D216,E216,F216,G216,H216,I216)="","",ws3_EU_ID_blank),IF(ISERROR(MATCH(B216,'2. Emissions Units &amp; Activities'!$B$7:$B$193,0)),ws3_matching_error_msg,G216*IF(E216="Y",1,1-F216)*INDEX('2. Emissions Units &amp; Activities'!$G$7:$G$193,MATCH(B216,'2. Emissions Units &amp; Activities'!$B$7:$B$193,0))))</f>
        <v>0.49639141176470586</v>
      </c>
      <c r="K216" s="85">
        <f t="shared" si="6"/>
        <v>7.1397563708142703E-6</v>
      </c>
      <c r="L216" s="85">
        <f>IF(B216="",IF(CONCATENATE(C216,D216,E216,F216,G216,H216,I216)="","",ws3_EU_ID_blank),IF(ISERROR(MATCH(B216,'2. Emissions Units &amp; Activities'!$B$7:$B$193,0)),ws3_matching_error_msg,G216*IF(E216="Y",1,1-F216)*INDEX('2. Emissions Units &amp; Activities'!$J$7:$J$193,MATCH(B216,'2. Emissions Units &amp; Activities'!$B$7:$B$193,0))))</f>
        <v>1.3599764705882354E-3</v>
      </c>
      <c r="M216" s="509">
        <f t="shared" si="7"/>
        <v>7.1397563708142711E-6</v>
      </c>
      <c r="N216" s="284"/>
    </row>
    <row r="217" spans="1:14" ht="15.75" x14ac:dyDescent="0.25">
      <c r="A217" s="86"/>
      <c r="B217" s="508" t="s">
        <v>54</v>
      </c>
      <c r="C217" s="339" t="s">
        <v>241</v>
      </c>
      <c r="D217" s="340" t="s">
        <v>242</v>
      </c>
      <c r="E217" s="339" t="s">
        <v>214</v>
      </c>
      <c r="F217" s="341">
        <v>0</v>
      </c>
      <c r="G217" s="339">
        <v>5.0000000000000001E-4</v>
      </c>
      <c r="H217" s="339" t="s">
        <v>223</v>
      </c>
      <c r="I217" s="339" t="s">
        <v>272</v>
      </c>
      <c r="J217" s="85">
        <f>IF(B217="",IF(CONCATENATE(C217,D217,E217,F217,G217,H217,I217)="","",ws3_EU_ID_blank),IF(ISERROR(MATCH(B217,'2. Emissions Units &amp; Activities'!$B$7:$B$193,0)),ws3_matching_error_msg,G217*IF(E217="Y",1,1-F217)*INDEX('2. Emissions Units &amp; Activities'!$G$7:$G$193,MATCH(B217,'2. Emissions Units &amp; Activities'!$B$7:$B$193,0))))</f>
        <v>5.3955588235294116E-2</v>
      </c>
      <c r="K217" s="85">
        <f t="shared" si="6"/>
        <v>7.760604750885077E-7</v>
      </c>
      <c r="L217" s="85">
        <f>IF(B217="",IF(CONCATENATE(C217,D217,E217,F217,G217,H217,I217)="","",ws3_EU_ID_blank),IF(ISERROR(MATCH(B217,'2. Emissions Units &amp; Activities'!$B$7:$B$193,0)),ws3_matching_error_msg,G217*IF(E217="Y",1,1-F217)*INDEX('2. Emissions Units &amp; Activities'!$J$7:$J$193,MATCH(B217,'2. Emissions Units &amp; Activities'!$B$7:$B$193,0))))</f>
        <v>1.4782352941176472E-4</v>
      </c>
      <c r="M217" s="509">
        <f t="shared" si="7"/>
        <v>7.760604750885077E-7</v>
      </c>
      <c r="N217" s="284"/>
    </row>
    <row r="218" spans="1:14" ht="15.75" x14ac:dyDescent="0.25">
      <c r="A218" s="86"/>
      <c r="B218" s="508" t="s">
        <v>54</v>
      </c>
      <c r="C218" s="339" t="s">
        <v>261</v>
      </c>
      <c r="D218" s="340" t="s">
        <v>262</v>
      </c>
      <c r="E218" s="339" t="s">
        <v>214</v>
      </c>
      <c r="F218" s="341">
        <v>0</v>
      </c>
      <c r="G218" s="339">
        <v>3.8000000000000002E-4</v>
      </c>
      <c r="H218" s="339" t="s">
        <v>223</v>
      </c>
      <c r="I218" s="339" t="s">
        <v>272</v>
      </c>
      <c r="J218" s="85">
        <f>IF(B218="",IF(CONCATENATE(C218,D218,E218,F218,G218,H218,I218)="","",ws3_EU_ID_blank),IF(ISERROR(MATCH(B218,'2. Emissions Units &amp; Activities'!$B$7:$B$193,0)),ws3_matching_error_msg,G218*IF(E218="Y",1,1-F218)*INDEX('2. Emissions Units &amp; Activities'!$G$7:$G$193,MATCH(B218,'2. Emissions Units &amp; Activities'!$B$7:$B$193,0))))</f>
        <v>4.1006247058823532E-2</v>
      </c>
      <c r="K218" s="85">
        <f t="shared" si="6"/>
        <v>5.8980596106726593E-7</v>
      </c>
      <c r="L218" s="85">
        <f>IF(B218="",IF(CONCATENATE(C218,D218,E218,F218,G218,H218,I218)="","",ws3_EU_ID_blank),IF(ISERROR(MATCH(B218,'2. Emissions Units &amp; Activities'!$B$7:$B$193,0)),ws3_matching_error_msg,G218*IF(E218="Y",1,1-F218)*INDEX('2. Emissions Units &amp; Activities'!$J$7:$J$193,MATCH(B218,'2. Emissions Units &amp; Activities'!$B$7:$B$193,0))))</f>
        <v>1.123458823529412E-4</v>
      </c>
      <c r="M218" s="509">
        <f t="shared" si="7"/>
        <v>5.8980596106726593E-7</v>
      </c>
      <c r="N218" s="284"/>
    </row>
    <row r="219" spans="1:14" ht="15.75" x14ac:dyDescent="0.25">
      <c r="A219" s="86"/>
      <c r="B219" s="508" t="s">
        <v>54</v>
      </c>
      <c r="C219" s="339" t="s">
        <v>263</v>
      </c>
      <c r="D219" s="340" t="s">
        <v>264</v>
      </c>
      <c r="E219" s="339" t="s">
        <v>214</v>
      </c>
      <c r="F219" s="341">
        <v>0</v>
      </c>
      <c r="G219" s="339">
        <v>2.5999999999999998E-4</v>
      </c>
      <c r="H219" s="339" t="s">
        <v>223</v>
      </c>
      <c r="I219" s="339" t="s">
        <v>272</v>
      </c>
      <c r="J219" s="85">
        <f>IF(B219="",IF(CONCATENATE(C219,D219,E219,F219,G219,H219,I219)="","",ws3_EU_ID_blank),IF(ISERROR(MATCH(B219,'2. Emissions Units &amp; Activities'!$B$7:$B$193,0)),ws3_matching_error_msg,G219*IF(E219="Y",1,1-F219)*INDEX('2. Emissions Units &amp; Activities'!$G$7:$G$193,MATCH(B219,'2. Emissions Units &amp; Activities'!$B$7:$B$193,0))))</f>
        <v>2.8056905882352937E-2</v>
      </c>
      <c r="K219" s="85">
        <f t="shared" si="6"/>
        <v>4.035514470460239E-7</v>
      </c>
      <c r="L219" s="85">
        <f>IF(B219="",IF(CONCATENATE(C219,D219,E219,F219,G219,H219,I219)="","",ws3_EU_ID_blank),IF(ISERROR(MATCH(B219,'2. Emissions Units &amp; Activities'!$B$7:$B$193,0)),ws3_matching_error_msg,G219*IF(E219="Y",1,1-F219)*INDEX('2. Emissions Units &amp; Activities'!$J$7:$J$193,MATCH(B219,'2. Emissions Units &amp; Activities'!$B$7:$B$193,0))))</f>
        <v>7.6868235294117642E-5</v>
      </c>
      <c r="M219" s="509">
        <f t="shared" si="7"/>
        <v>4.035514470460239E-7</v>
      </c>
      <c r="N219" s="284"/>
    </row>
    <row r="220" spans="1:14" ht="15.75" x14ac:dyDescent="0.25">
      <c r="A220" s="86"/>
      <c r="B220" s="508" t="s">
        <v>54</v>
      </c>
      <c r="C220" s="339" t="s">
        <v>281</v>
      </c>
      <c r="D220" s="340" t="s">
        <v>282</v>
      </c>
      <c r="E220" s="339" t="s">
        <v>214</v>
      </c>
      <c r="F220" s="341">
        <v>0</v>
      </c>
      <c r="G220" s="339">
        <v>1.65E-3</v>
      </c>
      <c r="H220" s="339" t="s">
        <v>223</v>
      </c>
      <c r="I220" s="339" t="s">
        <v>272</v>
      </c>
      <c r="J220" s="85">
        <f>IF(B220="",IF(CONCATENATE(C220,D220,E220,F220,G220,H220,I220)="","",ws3_EU_ID_blank),IF(ISERROR(MATCH(B220,'2. Emissions Units &amp; Activities'!$B$7:$B$193,0)),ws3_matching_error_msg,G220*IF(E220="Y",1,1-F220)*INDEX('2. Emissions Units &amp; Activities'!$G$7:$G$193,MATCH(B220,'2. Emissions Units &amp; Activities'!$B$7:$B$193,0))))</f>
        <v>0.17805344117647057</v>
      </c>
      <c r="K220" s="85">
        <f t="shared" si="6"/>
        <v>2.5609995677920748E-6</v>
      </c>
      <c r="L220" s="85">
        <f>IF(B220="",IF(CONCATENATE(C220,D220,E220,F220,G220,H220,I220)="","",ws3_EU_ID_blank),IF(ISERROR(MATCH(B220,'2. Emissions Units &amp; Activities'!$B$7:$B$193,0)),ws3_matching_error_msg,G220*IF(E220="Y",1,1-F220)*INDEX('2. Emissions Units &amp; Activities'!$J$7:$J$193,MATCH(B220,'2. Emissions Units &amp; Activities'!$B$7:$B$193,0))))</f>
        <v>4.8781764705882355E-4</v>
      </c>
      <c r="M220" s="509">
        <f t="shared" si="7"/>
        <v>2.5609995677920753E-6</v>
      </c>
      <c r="N220" s="284"/>
    </row>
    <row r="221" spans="1:14" ht="15.75" x14ac:dyDescent="0.25">
      <c r="A221" s="86"/>
      <c r="B221" s="508" t="s">
        <v>54</v>
      </c>
      <c r="C221" s="339">
        <v>365</v>
      </c>
      <c r="D221" s="340" t="s">
        <v>243</v>
      </c>
      <c r="E221" s="339" t="s">
        <v>214</v>
      </c>
      <c r="F221" s="341">
        <v>0</v>
      </c>
      <c r="G221" s="339">
        <v>2.0999999999999999E-3</v>
      </c>
      <c r="H221" s="339" t="s">
        <v>223</v>
      </c>
      <c r="I221" s="339" t="s">
        <v>272</v>
      </c>
      <c r="J221" s="85">
        <f>IF(B221="",IF(CONCATENATE(C221,D221,E221,F221,G221,H221,I221)="","",ws3_EU_ID_blank),IF(ISERROR(MATCH(B221,'2. Emissions Units &amp; Activities'!$B$7:$B$193,0)),ws3_matching_error_msg,G221*IF(E221="Y",1,1-F221)*INDEX('2. Emissions Units &amp; Activities'!$G$7:$G$193,MATCH(B221,'2. Emissions Units &amp; Activities'!$B$7:$B$193,0))))</f>
        <v>0.22661347058823528</v>
      </c>
      <c r="K221" s="85">
        <f t="shared" si="6"/>
        <v>3.2594539953717314E-6</v>
      </c>
      <c r="L221" s="85">
        <f>IF(B221="",IF(CONCATENATE(C221,D221,E221,F221,G221,H221,I221)="","",ws3_EU_ID_blank),IF(ISERROR(MATCH(B221,'2. Emissions Units &amp; Activities'!$B$7:$B$193,0)),ws3_matching_error_msg,G221*IF(E221="Y",1,1-F221)*INDEX('2. Emissions Units &amp; Activities'!$J$7:$J$193,MATCH(B221,'2. Emissions Units &amp; Activities'!$B$7:$B$193,0))))</f>
        <v>6.2085882352941172E-4</v>
      </c>
      <c r="M221" s="509">
        <f t="shared" si="7"/>
        <v>3.2594539953717318E-6</v>
      </c>
      <c r="N221" s="284"/>
    </row>
    <row r="222" spans="1:14" ht="15.75" x14ac:dyDescent="0.25">
      <c r="A222" s="86"/>
      <c r="B222" s="508" t="s">
        <v>54</v>
      </c>
      <c r="C222" s="339" t="s">
        <v>265</v>
      </c>
      <c r="D222" s="340" t="s">
        <v>266</v>
      </c>
      <c r="E222" s="339" t="s">
        <v>214</v>
      </c>
      <c r="F222" s="341">
        <v>0</v>
      </c>
      <c r="G222" s="339">
        <v>2.4000000000000001E-5</v>
      </c>
      <c r="H222" s="339" t="s">
        <v>223</v>
      </c>
      <c r="I222" s="339" t="s">
        <v>272</v>
      </c>
      <c r="J222" s="85">
        <f>IF(B222="",IF(CONCATENATE(C222,D222,E222,F222,G222,H222,I222)="","",ws3_EU_ID_blank),IF(ISERROR(MATCH(B222,'2. Emissions Units &amp; Activities'!$B$7:$B$193,0)),ws3_matching_error_msg,G222*IF(E222="Y",1,1-F222)*INDEX('2. Emissions Units &amp; Activities'!$G$7:$G$193,MATCH(B222,'2. Emissions Units &amp; Activities'!$B$7:$B$193,0))))</f>
        <v>2.5898682352941175E-3</v>
      </c>
      <c r="K222" s="85">
        <f t="shared" si="6"/>
        <v>3.7250902804248363E-8</v>
      </c>
      <c r="L222" s="85">
        <f>IF(B222="",IF(CONCATENATE(C222,D222,E222,F222,G222,H222,I222)="","",ws3_EU_ID_blank),IF(ISERROR(MATCH(B222,'2. Emissions Units &amp; Activities'!$B$7:$B$193,0)),ws3_matching_error_msg,G222*IF(E222="Y",1,1-F222)*INDEX('2. Emissions Units &amp; Activities'!$J$7:$J$193,MATCH(B222,'2. Emissions Units &amp; Activities'!$B$7:$B$193,0))))</f>
        <v>7.0955294117647066E-6</v>
      </c>
      <c r="M222" s="509">
        <f t="shared" si="7"/>
        <v>3.7250902804248369E-8</v>
      </c>
      <c r="N222" s="284"/>
    </row>
    <row r="223" spans="1:14" ht="15.75" x14ac:dyDescent="0.25">
      <c r="A223" s="86"/>
      <c r="B223" s="508" t="s">
        <v>54</v>
      </c>
      <c r="C223" s="339" t="s">
        <v>267</v>
      </c>
      <c r="D223" s="340" t="s">
        <v>268</v>
      </c>
      <c r="E223" s="339" t="s">
        <v>214</v>
      </c>
      <c r="F223" s="341">
        <v>0</v>
      </c>
      <c r="G223" s="339">
        <v>2.6499999999999999E-2</v>
      </c>
      <c r="H223" s="339" t="s">
        <v>223</v>
      </c>
      <c r="I223" s="339" t="s">
        <v>272</v>
      </c>
      <c r="J223" s="85">
        <f>IF(B223="",IF(CONCATENATE(C223,D223,E223,F223,G223,H223,I223)="","",ws3_EU_ID_blank),IF(ISERROR(MATCH(B223,'2. Emissions Units &amp; Activities'!$B$7:$B$193,0)),ws3_matching_error_msg,G223*IF(E223="Y",1,1-F223)*INDEX('2. Emissions Units &amp; Activities'!$G$7:$G$193,MATCH(B223,'2. Emissions Units &amp; Activities'!$B$7:$B$193,0))))</f>
        <v>2.8596461764705881</v>
      </c>
      <c r="K223" s="85">
        <f t="shared" si="6"/>
        <v>4.1131205179690908E-5</v>
      </c>
      <c r="L223" s="85">
        <f>IF(B223="",IF(CONCATENATE(C223,D223,E223,F223,G223,H223,I223)="","",ws3_EU_ID_blank),IF(ISERROR(MATCH(B223,'2. Emissions Units &amp; Activities'!$B$7:$B$193,0)),ws3_matching_error_msg,G223*IF(E223="Y",1,1-F223)*INDEX('2. Emissions Units &amp; Activities'!$J$7:$J$193,MATCH(B223,'2. Emissions Units &amp; Activities'!$B$7:$B$193,0))))</f>
        <v>7.8346470588235295E-3</v>
      </c>
      <c r="M223" s="509">
        <f t="shared" si="7"/>
        <v>4.1131205179690908E-5</v>
      </c>
      <c r="N223" s="284"/>
    </row>
    <row r="224" spans="1:14" ht="15.75" x14ac:dyDescent="0.25">
      <c r="A224" s="86"/>
      <c r="B224" s="508" t="s">
        <v>54</v>
      </c>
      <c r="C224" s="339" t="s">
        <v>283</v>
      </c>
      <c r="D224" s="340" t="s">
        <v>284</v>
      </c>
      <c r="E224" s="339" t="s">
        <v>214</v>
      </c>
      <c r="F224" s="341">
        <v>0</v>
      </c>
      <c r="G224" s="339">
        <v>2.3E-3</v>
      </c>
      <c r="H224" s="339" t="s">
        <v>223</v>
      </c>
      <c r="I224" s="339" t="s">
        <v>272</v>
      </c>
      <c r="J224" s="85">
        <f>IF(B224="",IF(CONCATENATE(C224,D224,E224,F224,G224,H224,I224)="","",ws3_EU_ID_blank),IF(ISERROR(MATCH(B224,'2. Emissions Units &amp; Activities'!$B$7:$B$193,0)),ws3_matching_error_msg,G224*IF(E224="Y",1,1-F224)*INDEX('2. Emissions Units &amp; Activities'!$G$7:$G$193,MATCH(B224,'2. Emissions Units &amp; Activities'!$B$7:$B$193,0))))</f>
        <v>0.24819570588235293</v>
      </c>
      <c r="K224" s="85">
        <f t="shared" si="6"/>
        <v>3.5698781854071351E-6</v>
      </c>
      <c r="L224" s="85">
        <f>IF(B224="",IF(CONCATENATE(C224,D224,E224,F224,G224,H224,I224)="","",ws3_EU_ID_blank),IF(ISERROR(MATCH(B224,'2. Emissions Units &amp; Activities'!$B$7:$B$193,0)),ws3_matching_error_msg,G224*IF(E224="Y",1,1-F224)*INDEX('2. Emissions Units &amp; Activities'!$J$7:$J$193,MATCH(B224,'2. Emissions Units &amp; Activities'!$B$7:$B$193,0))))</f>
        <v>6.7998823529411771E-4</v>
      </c>
      <c r="M224" s="509">
        <f t="shared" si="7"/>
        <v>3.5698781854071356E-6</v>
      </c>
      <c r="N224" s="284"/>
    </row>
    <row r="225" spans="1:14" ht="15.75" x14ac:dyDescent="0.25">
      <c r="A225" s="86"/>
      <c r="B225" s="508" t="s">
        <v>54</v>
      </c>
      <c r="C225" s="339" t="s">
        <v>269</v>
      </c>
      <c r="D225" s="340" t="s">
        <v>270</v>
      </c>
      <c r="E225" s="339" t="s">
        <v>214</v>
      </c>
      <c r="F225" s="341">
        <v>0</v>
      </c>
      <c r="G225" s="339">
        <v>1.9699999999999999E-2</v>
      </c>
      <c r="H225" s="339" t="s">
        <v>223</v>
      </c>
      <c r="I225" s="339" t="s">
        <v>272</v>
      </c>
      <c r="J225" s="85">
        <f>IF(B225="",IF(CONCATENATE(C225,D225,E225,F225,G225,H225,I225)="","",ws3_EU_ID_blank),IF(ISERROR(MATCH(B225,'2. Emissions Units &amp; Activities'!$B$7:$B$193,0)),ws3_matching_error_msg,G225*IF(E225="Y",1,1-F225)*INDEX('2. Emissions Units &amp; Activities'!$G$7:$G$193,MATCH(B225,'2. Emissions Units &amp; Activities'!$B$7:$B$193,0))))</f>
        <v>2.1258501764705882</v>
      </c>
      <c r="K225" s="85">
        <f t="shared" si="6"/>
        <v>3.0576782718487199E-5</v>
      </c>
      <c r="L225" s="85">
        <f>IF(B225="",IF(CONCATENATE(C225,D225,E225,F225,G225,H225,I225)="","",ws3_EU_ID_blank),IF(ISERROR(MATCH(B225,'2. Emissions Units &amp; Activities'!$B$7:$B$193,0)),ws3_matching_error_msg,G225*IF(E225="Y",1,1-F225)*INDEX('2. Emissions Units &amp; Activities'!$J$7:$J$193,MATCH(B225,'2. Emissions Units &amp; Activities'!$B$7:$B$193,0))))</f>
        <v>5.8242470588235297E-3</v>
      </c>
      <c r="M225" s="509">
        <f t="shared" si="7"/>
        <v>3.0576782718487199E-5</v>
      </c>
      <c r="N225" s="284"/>
    </row>
    <row r="226" spans="1:14" ht="15.75" x14ac:dyDescent="0.25">
      <c r="A226" s="86"/>
      <c r="B226" s="508" t="s">
        <v>54</v>
      </c>
      <c r="C226" s="339" t="s">
        <v>285</v>
      </c>
      <c r="D226" s="340" t="s">
        <v>286</v>
      </c>
      <c r="E226" s="339" t="s">
        <v>214</v>
      </c>
      <c r="F226" s="341">
        <v>0</v>
      </c>
      <c r="G226" s="339">
        <v>2.9000000000000001E-2</v>
      </c>
      <c r="H226" s="339" t="s">
        <v>223</v>
      </c>
      <c r="I226" s="339" t="s">
        <v>272</v>
      </c>
      <c r="J226" s="85">
        <f>IF(B226="",IF(CONCATENATE(C226,D226,E226,F226,G226,H226,I226)="","",ws3_EU_ID_blank),IF(ISERROR(MATCH(B226,'2. Emissions Units &amp; Activities'!$B$7:$B$193,0)),ws3_matching_error_msg,G226*IF(E226="Y",1,1-F226)*INDEX('2. Emissions Units &amp; Activities'!$G$7:$G$193,MATCH(B226,'2. Emissions Units &amp; Activities'!$B$7:$B$193,0))))</f>
        <v>3.129424117647059</v>
      </c>
      <c r="K226" s="85">
        <f t="shared" si="6"/>
        <v>4.5011507555133447E-5</v>
      </c>
      <c r="L226" s="85">
        <f>IF(B226="",IF(CONCATENATE(C226,D226,E226,F226,G226,H226,I226)="","",ws3_EU_ID_blank),IF(ISERROR(MATCH(B226,'2. Emissions Units &amp; Activities'!$B$7:$B$193,0)),ws3_matching_error_msg,G226*IF(E226="Y",1,1-F226)*INDEX('2. Emissions Units &amp; Activities'!$J$7:$J$193,MATCH(B226,'2. Emissions Units &amp; Activities'!$B$7:$B$193,0))))</f>
        <v>8.5737647058823536E-3</v>
      </c>
      <c r="M226" s="509">
        <f t="shared" si="7"/>
        <v>4.5011507555133447E-5</v>
      </c>
      <c r="N226" s="284"/>
    </row>
    <row r="227" spans="1:14" ht="15.75" x14ac:dyDescent="0.25">
      <c r="A227" s="86"/>
      <c r="B227" s="508" t="s">
        <v>55</v>
      </c>
      <c r="C227" s="339" t="s">
        <v>221</v>
      </c>
      <c r="D227" s="340" t="s">
        <v>222</v>
      </c>
      <c r="E227" s="339" t="s">
        <v>214</v>
      </c>
      <c r="F227" s="341">
        <v>0</v>
      </c>
      <c r="G227" s="339">
        <v>5.7999999999999996E-3</v>
      </c>
      <c r="H227" s="339" t="s">
        <v>223</v>
      </c>
      <c r="I227" s="339" t="s">
        <v>272</v>
      </c>
      <c r="J227" s="85">
        <f>IF(B227="",IF(CONCATENATE(C227,D227,E227,F227,G227,H227,I227)="","",ws3_EU_ID_blank),IF(ISERROR(MATCH(B227,'2. Emissions Units &amp; Activities'!$B$7:$B$193,0)),ws3_matching_error_msg,G227*IF(E227="Y",1,1-F227)*INDEX('2. Emissions Units &amp; Activities'!$G$7:$G$193,MATCH(B227,'2. Emissions Units &amp; Activities'!$B$7:$B$193,0))))</f>
        <v>0.50011011764705871</v>
      </c>
      <c r="K227" s="85">
        <f t="shared" si="6"/>
        <v>7.1932437063834408E-6</v>
      </c>
      <c r="L227" s="85">
        <f>IF(B227="",IF(CONCATENATE(C227,D227,E227,F227,G227,H227,I227)="","",ws3_EU_ID_blank),IF(ISERROR(MATCH(B227,'2. Emissions Units &amp; Activities'!$B$7:$B$193,0)),ws3_matching_error_msg,G227*IF(E227="Y",1,1-F227)*INDEX('2. Emissions Units &amp; Activities'!$J$7:$J$193,MATCH(B227,'2. Emissions Units &amp; Activities'!$B$7:$B$193,0))))</f>
        <v>1.3701647058823527E-3</v>
      </c>
      <c r="M227" s="509">
        <f t="shared" si="7"/>
        <v>7.1932437063834408E-6</v>
      </c>
      <c r="N227" s="284"/>
    </row>
    <row r="228" spans="1:14" ht="15.75" x14ac:dyDescent="0.25">
      <c r="A228" s="86"/>
      <c r="B228" s="508" t="s">
        <v>55</v>
      </c>
      <c r="C228" s="339" t="s">
        <v>237</v>
      </c>
      <c r="D228" s="340" t="s">
        <v>238</v>
      </c>
      <c r="E228" s="339" t="s">
        <v>214</v>
      </c>
      <c r="F228" s="341">
        <v>0</v>
      </c>
      <c r="G228" s="339">
        <v>1.23E-2</v>
      </c>
      <c r="H228" s="339" t="s">
        <v>223</v>
      </c>
      <c r="I228" s="339" t="s">
        <v>272</v>
      </c>
      <c r="J228" s="85">
        <f>IF(B228="",IF(CONCATENATE(C228,D228,E228,F228,G228,H228,I228)="","",ws3_EU_ID_blank),IF(ISERROR(MATCH(B228,'2. Emissions Units &amp; Activities'!$B$7:$B$193,0)),ws3_matching_error_msg,G228*IF(E228="Y",1,1-F228)*INDEX('2. Emissions Units &amp; Activities'!$G$7:$G$193,MATCH(B228,'2. Emissions Units &amp; Activities'!$B$7:$B$193,0))))</f>
        <v>1.0605783529411763</v>
      </c>
      <c r="K228" s="85">
        <f t="shared" si="6"/>
        <v>1.5254637515261435E-5</v>
      </c>
      <c r="L228" s="85">
        <f>IF(B228="",IF(CONCATENATE(C228,D228,E228,F228,G228,H228,I228)="","",ws3_EU_ID_blank),IF(ISERROR(MATCH(B228,'2. Emissions Units &amp; Activities'!$B$7:$B$193,0)),ws3_matching_error_msg,G228*IF(E228="Y",1,1-F228)*INDEX('2. Emissions Units &amp; Activities'!$J$7:$J$193,MATCH(B228,'2. Emissions Units &amp; Activities'!$B$7:$B$193,0))))</f>
        <v>2.9056941176470587E-3</v>
      </c>
      <c r="M228" s="509">
        <f t="shared" si="7"/>
        <v>1.5254637515261439E-5</v>
      </c>
      <c r="N228" s="284"/>
    </row>
    <row r="229" spans="1:14" ht="15.75" x14ac:dyDescent="0.25">
      <c r="A229" s="86"/>
      <c r="B229" s="508" t="s">
        <v>55</v>
      </c>
      <c r="C229" s="339">
        <v>401</v>
      </c>
      <c r="D229" s="340" t="s">
        <v>246</v>
      </c>
      <c r="E229" s="339" t="s">
        <v>214</v>
      </c>
      <c r="F229" s="341">
        <v>0</v>
      </c>
      <c r="G229" s="339">
        <v>1E-4</v>
      </c>
      <c r="H229" s="339" t="s">
        <v>223</v>
      </c>
      <c r="I229" s="339" t="s">
        <v>272</v>
      </c>
      <c r="J229" s="85">
        <f>IF(B229="",IF(CONCATENATE(C229,D229,E229,F229,G229,H229,I229)="","",ws3_EU_ID_blank),IF(ISERROR(MATCH(B229,'2. Emissions Units &amp; Activities'!$B$7:$B$193,0)),ws3_matching_error_msg,G229*IF(E229="Y",1,1-F229)*INDEX('2. Emissions Units &amp; Activities'!$G$7:$G$193,MATCH(B229,'2. Emissions Units &amp; Activities'!$B$7:$B$193,0))))</f>
        <v>8.622588235294118E-3</v>
      </c>
      <c r="K229" s="85">
        <f t="shared" si="6"/>
        <v>1.2402144321350764E-7</v>
      </c>
      <c r="L229" s="85">
        <f>IF(B229="",IF(CONCATENATE(C229,D229,E229,F229,G229,H229,I229)="","",ws3_EU_ID_blank),IF(ISERROR(MATCH(B229,'2. Emissions Units &amp; Activities'!$B$7:$B$193,0)),ws3_matching_error_msg,G229*IF(E229="Y",1,1-F229)*INDEX('2. Emissions Units &amp; Activities'!$J$7:$J$193,MATCH(B229,'2. Emissions Units &amp; Activities'!$B$7:$B$193,0))))</f>
        <v>2.3623529411764706E-5</v>
      </c>
      <c r="M229" s="509">
        <f t="shared" si="7"/>
        <v>1.2402144321350764E-7</v>
      </c>
      <c r="N229" s="284"/>
    </row>
    <row r="230" spans="1:14" ht="15.75" x14ac:dyDescent="0.25">
      <c r="A230" s="86"/>
      <c r="B230" s="508" t="s">
        <v>55</v>
      </c>
      <c r="C230" s="339" t="s">
        <v>273</v>
      </c>
      <c r="D230" s="340" t="s">
        <v>274</v>
      </c>
      <c r="E230" s="339" t="s">
        <v>214</v>
      </c>
      <c r="F230" s="341">
        <v>0</v>
      </c>
      <c r="G230" s="339">
        <v>1.1999999999999999E-6</v>
      </c>
      <c r="H230" s="339" t="s">
        <v>223</v>
      </c>
      <c r="I230" s="339" t="s">
        <v>272</v>
      </c>
      <c r="J230" s="85">
        <f>IF(B230="",IF(CONCATENATE(C230,D230,E230,F230,G230,H230,I230)="","",ws3_EU_ID_blank),IF(ISERROR(MATCH(B230,'2. Emissions Units &amp; Activities'!$B$7:$B$193,0)),ws3_matching_error_msg,G230*IF(E230="Y",1,1-F230)*INDEX('2. Emissions Units &amp; Activities'!$G$7:$G$193,MATCH(B230,'2. Emissions Units &amp; Activities'!$B$7:$B$193,0))))</f>
        <v>1.0347105882352939E-4</v>
      </c>
      <c r="K230" s="85">
        <f t="shared" si="6"/>
        <v>1.4882573185620913E-9</v>
      </c>
      <c r="L230" s="85">
        <f>IF(B230="",IF(CONCATENATE(C230,D230,E230,F230,G230,H230,I230)="","",ws3_EU_ID_blank),IF(ISERROR(MATCH(B230,'2. Emissions Units &amp; Activities'!$B$7:$B$193,0)),ws3_matching_error_msg,G230*IF(E230="Y",1,1-F230)*INDEX('2. Emissions Units &amp; Activities'!$J$7:$J$193,MATCH(B230,'2. Emissions Units &amp; Activities'!$B$7:$B$193,0))))</f>
        <v>2.8348235294117643E-7</v>
      </c>
      <c r="M230" s="509">
        <f t="shared" si="7"/>
        <v>1.4882573185620913E-9</v>
      </c>
      <c r="N230" s="284"/>
    </row>
    <row r="231" spans="1:14" ht="15.75" x14ac:dyDescent="0.25">
      <c r="A231" s="86"/>
      <c r="B231" s="508" t="s">
        <v>55</v>
      </c>
      <c r="C231" s="339" t="s">
        <v>244</v>
      </c>
      <c r="D231" s="340" t="s">
        <v>245</v>
      </c>
      <c r="E231" s="339" t="s">
        <v>214</v>
      </c>
      <c r="F231" s="341">
        <v>0</v>
      </c>
      <c r="G231" s="339">
        <v>2.9999999999999997E-4</v>
      </c>
      <c r="H231" s="339" t="s">
        <v>223</v>
      </c>
      <c r="I231" s="339" t="s">
        <v>272</v>
      </c>
      <c r="J231" s="85">
        <f>IF(B231="",IF(CONCATENATE(C231,D231,E231,F231,G231,H231,I231)="","",ws3_EU_ID_blank),IF(ISERROR(MATCH(B231,'2. Emissions Units &amp; Activities'!$B$7:$B$193,0)),ws3_matching_error_msg,G231*IF(E231="Y",1,1-F231)*INDEX('2. Emissions Units &amp; Activities'!$G$7:$G$193,MATCH(B231,'2. Emissions Units &amp; Activities'!$B$7:$B$193,0))))</f>
        <v>2.5867764705882347E-2</v>
      </c>
      <c r="K231" s="85">
        <f t="shared" si="6"/>
        <v>3.7206432964052281E-7</v>
      </c>
      <c r="L231" s="85">
        <f>IF(B231="",IF(CONCATENATE(C231,D231,E231,F231,G231,H231,I231)="","",ws3_EU_ID_blank),IF(ISERROR(MATCH(B231,'2. Emissions Units &amp; Activities'!$B$7:$B$193,0)),ws3_matching_error_msg,G231*IF(E231="Y",1,1-F231)*INDEX('2. Emissions Units &amp; Activities'!$J$7:$J$193,MATCH(B231,'2. Emissions Units &amp; Activities'!$B$7:$B$193,0))))</f>
        <v>7.087058823529411E-5</v>
      </c>
      <c r="M231" s="509">
        <f t="shared" si="7"/>
        <v>3.7206432964052286E-7</v>
      </c>
      <c r="N231" s="284"/>
    </row>
    <row r="232" spans="1:14" ht="15.75" x14ac:dyDescent="0.25">
      <c r="A232" s="86"/>
      <c r="B232" s="508" t="s">
        <v>55</v>
      </c>
      <c r="C232" s="339" t="s">
        <v>247</v>
      </c>
      <c r="D232" s="340" t="s">
        <v>248</v>
      </c>
      <c r="E232" s="339" t="s">
        <v>214</v>
      </c>
      <c r="F232" s="341">
        <v>0</v>
      </c>
      <c r="G232" s="339">
        <v>3.0999999999999999E-3</v>
      </c>
      <c r="H232" s="339" t="s">
        <v>223</v>
      </c>
      <c r="I232" s="339" t="s">
        <v>272</v>
      </c>
      <c r="J232" s="85">
        <f>IF(B232="",IF(CONCATENATE(C232,D232,E232,F232,G232,H232,I232)="","",ws3_EU_ID_blank),IF(ISERROR(MATCH(B232,'2. Emissions Units &amp; Activities'!$B$7:$B$193,0)),ws3_matching_error_msg,G232*IF(E232="Y",1,1-F232)*INDEX('2. Emissions Units &amp; Activities'!$G$7:$G$193,MATCH(B232,'2. Emissions Units &amp; Activities'!$B$7:$B$193,0))))</f>
        <v>0.26730023529411762</v>
      </c>
      <c r="K232" s="85">
        <f t="shared" si="6"/>
        <v>3.8446647396187363E-6</v>
      </c>
      <c r="L232" s="85">
        <f>IF(B232="",IF(CONCATENATE(C232,D232,E232,F232,G232,H232,I232)="","",ws3_EU_ID_blank),IF(ISERROR(MATCH(B232,'2. Emissions Units &amp; Activities'!$B$7:$B$193,0)),ws3_matching_error_msg,G232*IF(E232="Y",1,1-F232)*INDEX('2. Emissions Units &amp; Activities'!$J$7:$J$193,MATCH(B232,'2. Emissions Units &amp; Activities'!$B$7:$B$193,0))))</f>
        <v>7.3232941176470576E-4</v>
      </c>
      <c r="M232" s="509">
        <f t="shared" si="7"/>
        <v>3.8446647396187354E-6</v>
      </c>
      <c r="N232" s="284"/>
    </row>
    <row r="233" spans="1:14" ht="15.75" x14ac:dyDescent="0.25">
      <c r="A233" s="86"/>
      <c r="B233" s="508" t="s">
        <v>55</v>
      </c>
      <c r="C233" s="339" t="s">
        <v>249</v>
      </c>
      <c r="D233" s="340" t="s">
        <v>250</v>
      </c>
      <c r="E233" s="339" t="s">
        <v>214</v>
      </c>
      <c r="F233" s="341">
        <v>0</v>
      </c>
      <c r="G233" s="339">
        <v>2.7000000000000001E-3</v>
      </c>
      <c r="H233" s="339" t="s">
        <v>223</v>
      </c>
      <c r="I233" s="339" t="s">
        <v>272</v>
      </c>
      <c r="J233" s="85">
        <f>IF(B233="",IF(CONCATENATE(C233,D233,E233,F233,G233,H233,I233)="","",ws3_EU_ID_blank),IF(ISERROR(MATCH(B233,'2. Emissions Units &amp; Activities'!$B$7:$B$193,0)),ws3_matching_error_msg,G233*IF(E233="Y",1,1-F233)*INDEX('2. Emissions Units &amp; Activities'!$G$7:$G$193,MATCH(B233,'2. Emissions Units &amp; Activities'!$B$7:$B$193,0))))</f>
        <v>0.23280988235294117</v>
      </c>
      <c r="K233" s="85">
        <f t="shared" si="6"/>
        <v>3.3485789667647057E-6</v>
      </c>
      <c r="L233" s="85">
        <f>IF(B233="",IF(CONCATENATE(C233,D233,E233,F233,G233,H233,I233)="","",ws3_EU_ID_blank),IF(ISERROR(MATCH(B233,'2. Emissions Units &amp; Activities'!$B$7:$B$193,0)),ws3_matching_error_msg,G233*IF(E233="Y",1,1-F233)*INDEX('2. Emissions Units &amp; Activities'!$J$7:$J$193,MATCH(B233,'2. Emissions Units &amp; Activities'!$B$7:$B$193,0))))</f>
        <v>6.3783529411764702E-4</v>
      </c>
      <c r="M233" s="509">
        <f t="shared" si="7"/>
        <v>3.3485789667647062E-6</v>
      </c>
      <c r="N233" s="284"/>
    </row>
    <row r="234" spans="1:14" ht="15.75" x14ac:dyDescent="0.25">
      <c r="A234" s="86"/>
      <c r="B234" s="508" t="s">
        <v>55</v>
      </c>
      <c r="C234" s="339" t="s">
        <v>251</v>
      </c>
      <c r="D234" s="340" t="s">
        <v>252</v>
      </c>
      <c r="E234" s="339" t="s">
        <v>214</v>
      </c>
      <c r="F234" s="341">
        <v>0</v>
      </c>
      <c r="G234" s="339">
        <v>3.2</v>
      </c>
      <c r="H234" s="339" t="s">
        <v>223</v>
      </c>
      <c r="I234" s="339" t="s">
        <v>272</v>
      </c>
      <c r="J234" s="85">
        <f>IF(B234="",IF(CONCATENATE(C234,D234,E234,F234,G234,H234,I234)="","",ws3_EU_ID_blank),IF(ISERROR(MATCH(B234,'2. Emissions Units &amp; Activities'!$B$7:$B$193,0)),ws3_matching_error_msg,G234*IF(E234="Y",1,1-F234)*INDEX('2. Emissions Units &amp; Activities'!$G$7:$G$193,MATCH(B234,'2. Emissions Units &amp; Activities'!$B$7:$B$193,0))))</f>
        <v>275.92282352941174</v>
      </c>
      <c r="K234" s="85">
        <f t="shared" si="6"/>
        <v>3.9686861828322441E-3</v>
      </c>
      <c r="L234" s="85">
        <f>IF(B234="",IF(CONCATENATE(C234,D234,E234,F234,G234,H234,I234)="","",ws3_EU_ID_blank),IF(ISERROR(MATCH(B234,'2. Emissions Units &amp; Activities'!$B$7:$B$193,0)),ws3_matching_error_msg,G234*IF(E234="Y",1,1-F234)*INDEX('2. Emissions Units &amp; Activities'!$J$7:$J$193,MATCH(B234,'2. Emissions Units &amp; Activities'!$B$7:$B$193,0))))</f>
        <v>0.75595294117647061</v>
      </c>
      <c r="M234" s="509">
        <f t="shared" si="7"/>
        <v>3.9686861828322441E-3</v>
      </c>
      <c r="N234" s="284"/>
    </row>
    <row r="235" spans="1:14" ht="15.75" x14ac:dyDescent="0.25">
      <c r="A235" s="86"/>
      <c r="B235" s="508" t="s">
        <v>55</v>
      </c>
      <c r="C235" s="339" t="s">
        <v>218</v>
      </c>
      <c r="D235" s="340" t="s">
        <v>219</v>
      </c>
      <c r="E235" s="339" t="s">
        <v>214</v>
      </c>
      <c r="F235" s="341">
        <v>0</v>
      </c>
      <c r="G235" s="339">
        <v>2.0000000000000001E-4</v>
      </c>
      <c r="H235" s="339" t="s">
        <v>223</v>
      </c>
      <c r="I235" s="339" t="s">
        <v>272</v>
      </c>
      <c r="J235" s="85">
        <f>IF(B235="",IF(CONCATENATE(C235,D235,E235,F235,G235,H235,I235)="","",ws3_EU_ID_blank),IF(ISERROR(MATCH(B235,'2. Emissions Units &amp; Activities'!$B$7:$B$193,0)),ws3_matching_error_msg,G235*IF(E235="Y",1,1-F235)*INDEX('2. Emissions Units &amp; Activities'!$G$7:$G$193,MATCH(B235,'2. Emissions Units &amp; Activities'!$B$7:$B$193,0))))</f>
        <v>1.7245176470588236E-2</v>
      </c>
      <c r="K235" s="85">
        <f t="shared" si="6"/>
        <v>2.4804288642701528E-7</v>
      </c>
      <c r="L235" s="85">
        <f>IF(B235="",IF(CONCATENATE(C235,D235,E235,F235,G235,H235,I235)="","",ws3_EU_ID_blank),IF(ISERROR(MATCH(B235,'2. Emissions Units &amp; Activities'!$B$7:$B$193,0)),ws3_matching_error_msg,G235*IF(E235="Y",1,1-F235)*INDEX('2. Emissions Units &amp; Activities'!$J$7:$J$193,MATCH(B235,'2. Emissions Units &amp; Activities'!$B$7:$B$193,0))))</f>
        <v>4.7247058823529411E-5</v>
      </c>
      <c r="M235" s="509">
        <f t="shared" si="7"/>
        <v>2.4804288642701528E-7</v>
      </c>
      <c r="N235" s="284"/>
    </row>
    <row r="236" spans="1:14" ht="15.75" x14ac:dyDescent="0.25">
      <c r="A236" s="86"/>
      <c r="B236" s="508" t="s">
        <v>55</v>
      </c>
      <c r="C236" s="339" t="s">
        <v>275</v>
      </c>
      <c r="D236" s="340" t="s">
        <v>276</v>
      </c>
      <c r="E236" s="339" t="s">
        <v>214</v>
      </c>
      <c r="F236" s="341">
        <v>0</v>
      </c>
      <c r="G236" s="339">
        <v>4.4000000000000003E-3</v>
      </c>
      <c r="H236" s="339" t="s">
        <v>223</v>
      </c>
      <c r="I236" s="339" t="s">
        <v>272</v>
      </c>
      <c r="J236" s="85">
        <f>IF(B236="",IF(CONCATENATE(C236,D236,E236,F236,G236,H236,I236)="","",ws3_EU_ID_blank),IF(ISERROR(MATCH(B236,'2. Emissions Units &amp; Activities'!$B$7:$B$193,0)),ws3_matching_error_msg,G236*IF(E236="Y",1,1-F236)*INDEX('2. Emissions Units &amp; Activities'!$G$7:$G$193,MATCH(B236,'2. Emissions Units &amp; Activities'!$B$7:$B$193,0))))</f>
        <v>0.37939388235294119</v>
      </c>
      <c r="K236" s="85">
        <f t="shared" si="6"/>
        <v>5.4569435013943357E-6</v>
      </c>
      <c r="L236" s="85">
        <f>IF(B236="",IF(CONCATENATE(C236,D236,E236,F236,G236,H236,I236)="","",ws3_EU_ID_blank),IF(ISERROR(MATCH(B236,'2. Emissions Units &amp; Activities'!$B$7:$B$193,0)),ws3_matching_error_msg,G236*IF(E236="Y",1,1-F236)*INDEX('2. Emissions Units &amp; Activities'!$J$7:$J$193,MATCH(B236,'2. Emissions Units &amp; Activities'!$B$7:$B$193,0))))</f>
        <v>1.0394352941176471E-3</v>
      </c>
      <c r="M236" s="509">
        <f t="shared" si="7"/>
        <v>5.4569435013943366E-6</v>
      </c>
      <c r="N236" s="284"/>
    </row>
    <row r="237" spans="1:14" ht="15.75" x14ac:dyDescent="0.25">
      <c r="A237" s="86"/>
      <c r="B237" s="508" t="s">
        <v>55</v>
      </c>
      <c r="C237" s="339" t="s">
        <v>277</v>
      </c>
      <c r="D237" s="340" t="s">
        <v>278</v>
      </c>
      <c r="E237" s="339" t="s">
        <v>214</v>
      </c>
      <c r="F237" s="341">
        <v>0</v>
      </c>
      <c r="G237" s="339">
        <v>1.2E-5</v>
      </c>
      <c r="H237" s="339" t="s">
        <v>223</v>
      </c>
      <c r="I237" s="339" t="s">
        <v>272</v>
      </c>
      <c r="J237" s="85">
        <f>IF(B237="",IF(CONCATENATE(C237,D237,E237,F237,G237,H237,I237)="","",ws3_EU_ID_blank),IF(ISERROR(MATCH(B237,'2. Emissions Units &amp; Activities'!$B$7:$B$193,0)),ws3_matching_error_msg,G237*IF(E237="Y",1,1-F237)*INDEX('2. Emissions Units &amp; Activities'!$G$7:$G$193,MATCH(B237,'2. Emissions Units &amp; Activities'!$B$7:$B$193,0))))</f>
        <v>1.0347105882352941E-3</v>
      </c>
      <c r="K237" s="85">
        <f t="shared" si="6"/>
        <v>1.4882573185620916E-8</v>
      </c>
      <c r="L237" s="85">
        <f>IF(B237="",IF(CONCATENATE(C237,D237,E237,F237,G237,H237,I237)="","",ws3_EU_ID_blank),IF(ISERROR(MATCH(B237,'2. Emissions Units &amp; Activities'!$B$7:$B$193,0)),ws3_matching_error_msg,G237*IF(E237="Y",1,1-F237)*INDEX('2. Emissions Units &amp; Activities'!$J$7:$J$193,MATCH(B237,'2. Emissions Units &amp; Activities'!$B$7:$B$193,0))))</f>
        <v>2.8348235294117644E-6</v>
      </c>
      <c r="M237" s="509">
        <f t="shared" si="7"/>
        <v>1.4882573185620914E-8</v>
      </c>
      <c r="N237" s="284"/>
    </row>
    <row r="238" spans="1:14" ht="15.75" x14ac:dyDescent="0.25">
      <c r="A238" s="86"/>
      <c r="B238" s="508" t="s">
        <v>55</v>
      </c>
      <c r="C238" s="339" t="s">
        <v>235</v>
      </c>
      <c r="D238" s="340" t="s">
        <v>236</v>
      </c>
      <c r="E238" s="339" t="s">
        <v>214</v>
      </c>
      <c r="F238" s="341">
        <v>0</v>
      </c>
      <c r="G238" s="339">
        <v>1.1000000000000001E-3</v>
      </c>
      <c r="H238" s="339" t="s">
        <v>223</v>
      </c>
      <c r="I238" s="339" t="s">
        <v>272</v>
      </c>
      <c r="J238" s="85">
        <f>IF(B238="",IF(CONCATENATE(C238,D238,E238,F238,G238,H238,I238)="","",ws3_EU_ID_blank),IF(ISERROR(MATCH(B238,'2. Emissions Units &amp; Activities'!$B$7:$B$193,0)),ws3_matching_error_msg,G238*IF(E238="Y",1,1-F238)*INDEX('2. Emissions Units &amp; Activities'!$G$7:$G$193,MATCH(B238,'2. Emissions Units &amp; Activities'!$B$7:$B$193,0))))</f>
        <v>9.4848470588235298E-2</v>
      </c>
      <c r="K238" s="85">
        <f t="shared" si="6"/>
        <v>1.3642358753485839E-6</v>
      </c>
      <c r="L238" s="85">
        <f>IF(B238="",IF(CONCATENATE(C238,D238,E238,F238,G238,H238,I238)="","",ws3_EU_ID_blank),IF(ISERROR(MATCH(B238,'2. Emissions Units &amp; Activities'!$B$7:$B$193,0)),ws3_matching_error_msg,G238*IF(E238="Y",1,1-F238)*INDEX('2. Emissions Units &amp; Activities'!$J$7:$J$193,MATCH(B238,'2. Emissions Units &amp; Activities'!$B$7:$B$193,0))))</f>
        <v>2.5985882352941178E-4</v>
      </c>
      <c r="M238" s="509">
        <f t="shared" si="7"/>
        <v>1.3642358753485841E-6</v>
      </c>
      <c r="N238" s="284"/>
    </row>
    <row r="239" spans="1:14" ht="15.75" x14ac:dyDescent="0.25">
      <c r="A239" s="86"/>
      <c r="B239" s="508" t="s">
        <v>55</v>
      </c>
      <c r="C239" s="339" t="s">
        <v>239</v>
      </c>
      <c r="D239" s="340" t="s">
        <v>240</v>
      </c>
      <c r="E239" s="339" t="s">
        <v>214</v>
      </c>
      <c r="F239" s="341">
        <v>0</v>
      </c>
      <c r="G239" s="339">
        <v>1.4E-3</v>
      </c>
      <c r="H239" s="339" t="s">
        <v>223</v>
      </c>
      <c r="I239" s="339" t="s">
        <v>272</v>
      </c>
      <c r="J239" s="85">
        <f>IF(B239="",IF(CONCATENATE(C239,D239,E239,F239,G239,H239,I239)="","",ws3_EU_ID_blank),IF(ISERROR(MATCH(B239,'2. Emissions Units &amp; Activities'!$B$7:$B$193,0)),ws3_matching_error_msg,G239*IF(E239="Y",1,1-F239)*INDEX('2. Emissions Units &amp; Activities'!$G$7:$G$193,MATCH(B239,'2. Emissions Units &amp; Activities'!$B$7:$B$193,0))))</f>
        <v>0.12071623529411764</v>
      </c>
      <c r="K239" s="85">
        <f t="shared" si="6"/>
        <v>1.7363002049891067E-6</v>
      </c>
      <c r="L239" s="85">
        <f>IF(B239="",IF(CONCATENATE(C239,D239,E239,F239,G239,H239,I239)="","",ws3_EU_ID_blank),IF(ISERROR(MATCH(B239,'2. Emissions Units &amp; Activities'!$B$7:$B$193,0)),ws3_matching_error_msg,G239*IF(E239="Y",1,1-F239)*INDEX('2. Emissions Units &amp; Activities'!$J$7:$J$193,MATCH(B239,'2. Emissions Units &amp; Activities'!$B$7:$B$193,0))))</f>
        <v>3.3072941176470587E-4</v>
      </c>
      <c r="M239" s="509">
        <f t="shared" si="7"/>
        <v>1.7363002049891067E-6</v>
      </c>
      <c r="N239" s="284"/>
    </row>
    <row r="240" spans="1:14" ht="15.75" x14ac:dyDescent="0.25">
      <c r="A240" s="86"/>
      <c r="B240" s="508" t="s">
        <v>55</v>
      </c>
      <c r="C240" s="339" t="s">
        <v>279</v>
      </c>
      <c r="D240" s="340" t="s">
        <v>280</v>
      </c>
      <c r="E240" s="339" t="s">
        <v>214</v>
      </c>
      <c r="F240" s="341">
        <v>0</v>
      </c>
      <c r="G240" s="339">
        <v>8.3999999999999995E-5</v>
      </c>
      <c r="H240" s="339" t="s">
        <v>223</v>
      </c>
      <c r="I240" s="339" t="s">
        <v>272</v>
      </c>
      <c r="J240" s="85">
        <f>IF(B240="",IF(CONCATENATE(C240,D240,E240,F240,G240,H240,I240)="","",ws3_EU_ID_blank),IF(ISERROR(MATCH(B240,'2. Emissions Units &amp; Activities'!$B$7:$B$193,0)),ws3_matching_error_msg,G240*IF(E240="Y",1,1-F240)*INDEX('2. Emissions Units &amp; Activities'!$G$7:$G$193,MATCH(B240,'2. Emissions Units &amp; Activities'!$B$7:$B$193,0))))</f>
        <v>7.242974117647058E-3</v>
      </c>
      <c r="K240" s="85">
        <f t="shared" si="6"/>
        <v>1.0417801229934639E-7</v>
      </c>
      <c r="L240" s="85">
        <f>IF(B240="",IF(CONCATENATE(C240,D240,E240,F240,G240,H240,I240)="","",ws3_EU_ID_blank),IF(ISERROR(MATCH(B240,'2. Emissions Units &amp; Activities'!$B$7:$B$193,0)),ws3_matching_error_msg,G240*IF(E240="Y",1,1-F240)*INDEX('2. Emissions Units &amp; Activities'!$J$7:$J$193,MATCH(B240,'2. Emissions Units &amp; Activities'!$B$7:$B$193,0))))</f>
        <v>1.984376470588235E-5</v>
      </c>
      <c r="M240" s="509">
        <f t="shared" si="7"/>
        <v>1.0417801229934639E-7</v>
      </c>
      <c r="N240" s="284"/>
    </row>
    <row r="241" spans="1:14" ht="15.75" x14ac:dyDescent="0.25">
      <c r="A241" s="86"/>
      <c r="B241" s="508" t="s">
        <v>55</v>
      </c>
      <c r="C241" s="339" t="s">
        <v>253</v>
      </c>
      <c r="D241" s="340" t="s">
        <v>254</v>
      </c>
      <c r="E241" s="339" t="s">
        <v>214</v>
      </c>
      <c r="F241" s="341">
        <v>0</v>
      </c>
      <c r="G241" s="339">
        <v>8.4999999999999995E-4</v>
      </c>
      <c r="H241" s="339" t="s">
        <v>223</v>
      </c>
      <c r="I241" s="339" t="s">
        <v>272</v>
      </c>
      <c r="J241" s="85">
        <f>IF(B241="",IF(CONCATENATE(C241,D241,E241,F241,G241,H241,I241)="","",ws3_EU_ID_blank),IF(ISERROR(MATCH(B241,'2. Emissions Units &amp; Activities'!$B$7:$B$193,0)),ws3_matching_error_msg,G241*IF(E241="Y",1,1-F241)*INDEX('2. Emissions Units &amp; Activities'!$G$7:$G$193,MATCH(B241,'2. Emissions Units &amp; Activities'!$B$7:$B$193,0))))</f>
        <v>7.3291999999999996E-2</v>
      </c>
      <c r="K241" s="85">
        <f t="shared" si="6"/>
        <v>1.054182267314815E-6</v>
      </c>
      <c r="L241" s="85">
        <f>IF(B241="",IF(CONCATENATE(C241,D241,E241,F241,G241,H241,I241)="","",ws3_EU_ID_blank),IF(ISERROR(MATCH(B241,'2. Emissions Units &amp; Activities'!$B$7:$B$193,0)),ws3_matching_error_msg,G241*IF(E241="Y",1,1-F241)*INDEX('2. Emissions Units &amp; Activities'!$J$7:$J$193,MATCH(B241,'2. Emissions Units &amp; Activities'!$B$7:$B$193,0))))</f>
        <v>2.0079999999999997E-4</v>
      </c>
      <c r="M241" s="509">
        <f t="shared" si="7"/>
        <v>1.0541822673148146E-6</v>
      </c>
      <c r="N241" s="284"/>
    </row>
    <row r="242" spans="1:14" ht="15.75" x14ac:dyDescent="0.25">
      <c r="A242" s="86"/>
      <c r="B242" s="508" t="s">
        <v>55</v>
      </c>
      <c r="C242" s="339" t="s">
        <v>255</v>
      </c>
      <c r="D242" s="340" t="s">
        <v>256</v>
      </c>
      <c r="E242" s="339" t="s">
        <v>214</v>
      </c>
      <c r="F242" s="341">
        <v>0</v>
      </c>
      <c r="G242" s="339">
        <v>6.8999999999999999E-3</v>
      </c>
      <c r="H242" s="339" t="s">
        <v>223</v>
      </c>
      <c r="I242" s="339" t="s">
        <v>272</v>
      </c>
      <c r="J242" s="85">
        <f>IF(B242="",IF(CONCATENATE(C242,D242,E242,F242,G242,H242,I242)="","",ws3_EU_ID_blank),IF(ISERROR(MATCH(B242,'2. Emissions Units &amp; Activities'!$B$7:$B$193,0)),ws3_matching_error_msg,G242*IF(E242="Y",1,1-F242)*INDEX('2. Emissions Units &amp; Activities'!$G$7:$G$193,MATCH(B242,'2. Emissions Units &amp; Activities'!$B$7:$B$193,0))))</f>
        <v>0.59495858823529402</v>
      </c>
      <c r="K242" s="85">
        <f t="shared" si="6"/>
        <v>8.5574795817320247E-6</v>
      </c>
      <c r="L242" s="85">
        <f>IF(B242="",IF(CONCATENATE(C242,D242,E242,F242,G242,H242,I242)="","",ws3_EU_ID_blank),IF(ISERROR(MATCH(B242,'2. Emissions Units &amp; Activities'!$B$7:$B$193,0)),ws3_matching_error_msg,G242*IF(E242="Y",1,1-F242)*INDEX('2. Emissions Units &amp; Activities'!$J$7:$J$193,MATCH(B242,'2. Emissions Units &amp; Activities'!$B$7:$B$193,0))))</f>
        <v>1.6300235294117646E-3</v>
      </c>
      <c r="M242" s="509">
        <f t="shared" si="7"/>
        <v>8.5574795817320264E-6</v>
      </c>
      <c r="N242" s="284"/>
    </row>
    <row r="243" spans="1:14" ht="15.75" x14ac:dyDescent="0.25">
      <c r="A243" s="86"/>
      <c r="B243" s="508" t="s">
        <v>55</v>
      </c>
      <c r="C243" s="339" t="s">
        <v>257</v>
      </c>
      <c r="D243" s="340" t="s">
        <v>258</v>
      </c>
      <c r="E243" s="339" t="s">
        <v>214</v>
      </c>
      <c r="F243" s="341">
        <v>0</v>
      </c>
      <c r="G243" s="339">
        <v>4.5999999999999999E-3</v>
      </c>
      <c r="H243" s="339" t="s">
        <v>223</v>
      </c>
      <c r="I243" s="339" t="s">
        <v>272</v>
      </c>
      <c r="J243" s="85">
        <f>IF(B243="",IF(CONCATENATE(C243,D243,E243,F243,G243,H243,I243)="","",ws3_EU_ID_blank),IF(ISERROR(MATCH(B243,'2. Emissions Units &amp; Activities'!$B$7:$B$193,0)),ws3_matching_error_msg,G243*IF(E243="Y",1,1-F243)*INDEX('2. Emissions Units &amp; Activities'!$G$7:$G$193,MATCH(B243,'2. Emissions Units &amp; Activities'!$B$7:$B$193,0))))</f>
        <v>0.3966390588235294</v>
      </c>
      <c r="K243" s="85">
        <f t="shared" si="6"/>
        <v>5.7049863878213512E-6</v>
      </c>
      <c r="L243" s="85">
        <f>IF(B243="",IF(CONCATENATE(C243,D243,E243,F243,G243,H243,I243)="","",ws3_EU_ID_blank),IF(ISERROR(MATCH(B243,'2. Emissions Units &amp; Activities'!$B$7:$B$193,0)),ws3_matching_error_msg,G243*IF(E243="Y",1,1-F243)*INDEX('2. Emissions Units &amp; Activities'!$J$7:$J$193,MATCH(B243,'2. Emissions Units &amp; Activities'!$B$7:$B$193,0))))</f>
        <v>1.0866823529411763E-3</v>
      </c>
      <c r="M243" s="509">
        <f t="shared" si="7"/>
        <v>5.7049863878213503E-6</v>
      </c>
      <c r="N243" s="284"/>
    </row>
    <row r="244" spans="1:14" ht="15.75" x14ac:dyDescent="0.25">
      <c r="A244" s="86"/>
      <c r="B244" s="508" t="s">
        <v>55</v>
      </c>
      <c r="C244" s="339" t="s">
        <v>241</v>
      </c>
      <c r="D244" s="340" t="s">
        <v>242</v>
      </c>
      <c r="E244" s="339" t="s">
        <v>214</v>
      </c>
      <c r="F244" s="341">
        <v>0</v>
      </c>
      <c r="G244" s="339">
        <v>5.0000000000000001E-4</v>
      </c>
      <c r="H244" s="339" t="s">
        <v>223</v>
      </c>
      <c r="I244" s="339" t="s">
        <v>272</v>
      </c>
      <c r="J244" s="85">
        <f>IF(B244="",IF(CONCATENATE(C244,D244,E244,F244,G244,H244,I244)="","",ws3_EU_ID_blank),IF(ISERROR(MATCH(B244,'2. Emissions Units &amp; Activities'!$B$7:$B$193,0)),ws3_matching_error_msg,G244*IF(E244="Y",1,1-F244)*INDEX('2. Emissions Units &amp; Activities'!$G$7:$G$193,MATCH(B244,'2. Emissions Units &amp; Activities'!$B$7:$B$193,0))))</f>
        <v>4.3112941176470583E-2</v>
      </c>
      <c r="K244" s="85">
        <f t="shared" si="6"/>
        <v>6.2010721606753809E-7</v>
      </c>
      <c r="L244" s="85">
        <f>IF(B244="",IF(CONCATENATE(C244,D244,E244,F244,G244,H244,I244)="","",ws3_EU_ID_blank),IF(ISERROR(MATCH(B244,'2. Emissions Units &amp; Activities'!$B$7:$B$193,0)),ws3_matching_error_msg,G244*IF(E244="Y",1,1-F244)*INDEX('2. Emissions Units &amp; Activities'!$J$7:$J$193,MATCH(B244,'2. Emissions Units &amp; Activities'!$B$7:$B$193,0))))</f>
        <v>1.1811764705882352E-4</v>
      </c>
      <c r="M244" s="509">
        <f t="shared" si="7"/>
        <v>6.2010721606753809E-7</v>
      </c>
      <c r="N244" s="284"/>
    </row>
    <row r="245" spans="1:14" ht="15.75" x14ac:dyDescent="0.25">
      <c r="A245" s="86"/>
      <c r="B245" s="508" t="s">
        <v>55</v>
      </c>
      <c r="C245" s="339" t="s">
        <v>261</v>
      </c>
      <c r="D245" s="340" t="s">
        <v>262</v>
      </c>
      <c r="E245" s="339" t="s">
        <v>214</v>
      </c>
      <c r="F245" s="341">
        <v>0</v>
      </c>
      <c r="G245" s="339">
        <v>3.8000000000000002E-4</v>
      </c>
      <c r="H245" s="339" t="s">
        <v>223</v>
      </c>
      <c r="I245" s="339" t="s">
        <v>272</v>
      </c>
      <c r="J245" s="85">
        <f>IF(B245="",IF(CONCATENATE(C245,D245,E245,F245,G245,H245,I245)="","",ws3_EU_ID_blank),IF(ISERROR(MATCH(B245,'2. Emissions Units &amp; Activities'!$B$7:$B$193,0)),ws3_matching_error_msg,G245*IF(E245="Y",1,1-F245)*INDEX('2. Emissions Units &amp; Activities'!$G$7:$G$193,MATCH(B245,'2. Emissions Units &amp; Activities'!$B$7:$B$193,0))))</f>
        <v>3.2765835294117647E-2</v>
      </c>
      <c r="K245" s="85">
        <f t="shared" si="6"/>
        <v>4.7128148421132896E-7</v>
      </c>
      <c r="L245" s="85">
        <f>IF(B245="",IF(CONCATENATE(C245,D245,E245,F245,G245,H245,I245)="","",ws3_EU_ID_blank),IF(ISERROR(MATCH(B245,'2. Emissions Units &amp; Activities'!$B$7:$B$193,0)),ws3_matching_error_msg,G245*IF(E245="Y",1,1-F245)*INDEX('2. Emissions Units &amp; Activities'!$J$7:$J$193,MATCH(B245,'2. Emissions Units &amp; Activities'!$B$7:$B$193,0))))</f>
        <v>8.9769411764705883E-5</v>
      </c>
      <c r="M245" s="509">
        <f t="shared" si="7"/>
        <v>4.7128148421132896E-7</v>
      </c>
      <c r="N245" s="284"/>
    </row>
    <row r="246" spans="1:14" ht="15.75" x14ac:dyDescent="0.25">
      <c r="A246" s="86"/>
      <c r="B246" s="508" t="s">
        <v>55</v>
      </c>
      <c r="C246" s="339" t="s">
        <v>263</v>
      </c>
      <c r="D246" s="340" t="s">
        <v>264</v>
      </c>
      <c r="E246" s="339" t="s">
        <v>214</v>
      </c>
      <c r="F246" s="341">
        <v>0</v>
      </c>
      <c r="G246" s="339">
        <v>2.5999999999999998E-4</v>
      </c>
      <c r="H246" s="339" t="s">
        <v>223</v>
      </c>
      <c r="I246" s="339" t="s">
        <v>272</v>
      </c>
      <c r="J246" s="85">
        <f>IF(B246="",IF(CONCATENATE(C246,D246,E246,F246,G246,H246,I246)="","",ws3_EU_ID_blank),IF(ISERROR(MATCH(B246,'2. Emissions Units &amp; Activities'!$B$7:$B$193,0)),ws3_matching_error_msg,G246*IF(E246="Y",1,1-F246)*INDEX('2. Emissions Units &amp; Activities'!$G$7:$G$193,MATCH(B246,'2. Emissions Units &amp; Activities'!$B$7:$B$193,0))))</f>
        <v>2.2418729411764701E-2</v>
      </c>
      <c r="K246" s="85">
        <f t="shared" si="6"/>
        <v>3.2245575235511977E-7</v>
      </c>
      <c r="L246" s="85">
        <f>IF(B246="",IF(CONCATENATE(C246,D246,E246,F246,G246,H246,I246)="","",ws3_EU_ID_blank),IF(ISERROR(MATCH(B246,'2. Emissions Units &amp; Activities'!$B$7:$B$193,0)),ws3_matching_error_msg,G246*IF(E246="Y",1,1-F246)*INDEX('2. Emissions Units &amp; Activities'!$J$7:$J$193,MATCH(B246,'2. Emissions Units &amp; Activities'!$B$7:$B$193,0))))</f>
        <v>6.1421176470588231E-5</v>
      </c>
      <c r="M246" s="509">
        <f t="shared" si="7"/>
        <v>3.2245575235511982E-7</v>
      </c>
      <c r="N246" s="284"/>
    </row>
    <row r="247" spans="1:14" ht="15.75" x14ac:dyDescent="0.25">
      <c r="A247" s="86"/>
      <c r="B247" s="508" t="s">
        <v>55</v>
      </c>
      <c r="C247" s="339" t="s">
        <v>281</v>
      </c>
      <c r="D247" s="340" t="s">
        <v>282</v>
      </c>
      <c r="E247" s="339" t="s">
        <v>214</v>
      </c>
      <c r="F247" s="341">
        <v>0</v>
      </c>
      <c r="G247" s="339">
        <v>1.65E-3</v>
      </c>
      <c r="H247" s="339" t="s">
        <v>223</v>
      </c>
      <c r="I247" s="339" t="s">
        <v>272</v>
      </c>
      <c r="J247" s="85">
        <f>IF(B247="",IF(CONCATENATE(C247,D247,E247,F247,G247,H247,I247)="","",ws3_EU_ID_blank),IF(ISERROR(MATCH(B247,'2. Emissions Units &amp; Activities'!$B$7:$B$193,0)),ws3_matching_error_msg,G247*IF(E247="Y",1,1-F247)*INDEX('2. Emissions Units &amp; Activities'!$G$7:$G$193,MATCH(B247,'2. Emissions Units &amp; Activities'!$B$7:$B$193,0))))</f>
        <v>0.14227270588235294</v>
      </c>
      <c r="K247" s="85">
        <f t="shared" si="6"/>
        <v>2.0463538130228759E-6</v>
      </c>
      <c r="L247" s="85">
        <f>IF(B247="",IF(CONCATENATE(C247,D247,E247,F247,G247,H247,I247)="","",ws3_EU_ID_blank),IF(ISERROR(MATCH(B247,'2. Emissions Units &amp; Activities'!$B$7:$B$193,0)),ws3_matching_error_msg,G247*IF(E247="Y",1,1-F247)*INDEX('2. Emissions Units &amp; Activities'!$J$7:$J$193,MATCH(B247,'2. Emissions Units &amp; Activities'!$B$7:$B$193,0))))</f>
        <v>3.8978823529411759E-4</v>
      </c>
      <c r="M247" s="509">
        <f t="shared" si="7"/>
        <v>2.0463538130228755E-6</v>
      </c>
      <c r="N247" s="284"/>
    </row>
    <row r="248" spans="1:14" ht="15.75" x14ac:dyDescent="0.25">
      <c r="A248" s="86"/>
      <c r="B248" s="508" t="s">
        <v>55</v>
      </c>
      <c r="C248" s="339">
        <v>365</v>
      </c>
      <c r="D248" s="340" t="s">
        <v>243</v>
      </c>
      <c r="E248" s="339" t="s">
        <v>214</v>
      </c>
      <c r="F248" s="341">
        <v>0</v>
      </c>
      <c r="G248" s="339">
        <v>2.0999999999999999E-3</v>
      </c>
      <c r="H248" s="339" t="s">
        <v>223</v>
      </c>
      <c r="I248" s="339" t="s">
        <v>272</v>
      </c>
      <c r="J248" s="85">
        <f>IF(B248="",IF(CONCATENATE(C248,D248,E248,F248,G248,H248,I248)="","",ws3_EU_ID_blank),IF(ISERROR(MATCH(B248,'2. Emissions Units &amp; Activities'!$B$7:$B$193,0)),ws3_matching_error_msg,G248*IF(E248="Y",1,1-F248)*INDEX('2. Emissions Units &amp; Activities'!$G$7:$G$193,MATCH(B248,'2. Emissions Units &amp; Activities'!$B$7:$B$193,0))))</f>
        <v>0.18107435294117644</v>
      </c>
      <c r="K248" s="85">
        <f t="shared" si="6"/>
        <v>2.6044503074836597E-6</v>
      </c>
      <c r="L248" s="85">
        <f>IF(B248="",IF(CONCATENATE(C248,D248,E248,F248,G248,H248,I248)="","",ws3_EU_ID_blank),IF(ISERROR(MATCH(B248,'2. Emissions Units &amp; Activities'!$B$7:$B$193,0)),ws3_matching_error_msg,G248*IF(E248="Y",1,1-F248)*INDEX('2. Emissions Units &amp; Activities'!$J$7:$J$193,MATCH(B248,'2. Emissions Units &amp; Activities'!$B$7:$B$193,0))))</f>
        <v>4.9609411764705875E-4</v>
      </c>
      <c r="M248" s="509">
        <f t="shared" si="7"/>
        <v>2.6044503074836597E-6</v>
      </c>
      <c r="N248" s="284"/>
    </row>
    <row r="249" spans="1:14" ht="15.75" x14ac:dyDescent="0.25">
      <c r="A249" s="86"/>
      <c r="B249" s="508" t="s">
        <v>55</v>
      </c>
      <c r="C249" s="339" t="s">
        <v>265</v>
      </c>
      <c r="D249" s="340" t="s">
        <v>266</v>
      </c>
      <c r="E249" s="339" t="s">
        <v>214</v>
      </c>
      <c r="F249" s="341">
        <v>0</v>
      </c>
      <c r="G249" s="339">
        <v>2.4000000000000001E-5</v>
      </c>
      <c r="H249" s="339" t="s">
        <v>223</v>
      </c>
      <c r="I249" s="339" t="s">
        <v>272</v>
      </c>
      <c r="J249" s="85">
        <f>IF(B249="",IF(CONCATENATE(C249,D249,E249,F249,G249,H249,I249)="","",ws3_EU_ID_blank),IF(ISERROR(MATCH(B249,'2. Emissions Units &amp; Activities'!$B$7:$B$193,0)),ws3_matching_error_msg,G249*IF(E249="Y",1,1-F249)*INDEX('2. Emissions Units &amp; Activities'!$G$7:$G$193,MATCH(B249,'2. Emissions Units &amp; Activities'!$B$7:$B$193,0))))</f>
        <v>2.0694211764705883E-3</v>
      </c>
      <c r="K249" s="85">
        <f t="shared" si="6"/>
        <v>2.9765146371241831E-8</v>
      </c>
      <c r="L249" s="85">
        <f>IF(B249="",IF(CONCATENATE(C249,D249,E249,F249,G249,H249,I249)="","",ws3_EU_ID_blank),IF(ISERROR(MATCH(B249,'2. Emissions Units &amp; Activities'!$B$7:$B$193,0)),ws3_matching_error_msg,G249*IF(E249="Y",1,1-F249)*INDEX('2. Emissions Units &amp; Activities'!$J$7:$J$193,MATCH(B249,'2. Emissions Units &amp; Activities'!$B$7:$B$193,0))))</f>
        <v>5.6696470588235288E-6</v>
      </c>
      <c r="M249" s="509">
        <f t="shared" si="7"/>
        <v>2.9765146371241828E-8</v>
      </c>
      <c r="N249" s="284"/>
    </row>
    <row r="250" spans="1:14" ht="15.75" x14ac:dyDescent="0.25">
      <c r="A250" s="86"/>
      <c r="B250" s="508" t="s">
        <v>55</v>
      </c>
      <c r="C250" s="339" t="s">
        <v>267</v>
      </c>
      <c r="D250" s="340" t="s">
        <v>268</v>
      </c>
      <c r="E250" s="339" t="s">
        <v>214</v>
      </c>
      <c r="F250" s="341">
        <v>0</v>
      </c>
      <c r="G250" s="339">
        <v>2.6499999999999999E-2</v>
      </c>
      <c r="H250" s="339" t="s">
        <v>223</v>
      </c>
      <c r="I250" s="339" t="s">
        <v>272</v>
      </c>
      <c r="J250" s="85">
        <f>IF(B250="",IF(CONCATENATE(C250,D250,E250,F250,G250,H250,I250)="","",ws3_EU_ID_blank),IF(ISERROR(MATCH(B250,'2. Emissions Units &amp; Activities'!$B$7:$B$193,0)),ws3_matching_error_msg,G250*IF(E250="Y",1,1-F250)*INDEX('2. Emissions Units &amp; Activities'!$G$7:$G$193,MATCH(B250,'2. Emissions Units &amp; Activities'!$B$7:$B$193,0))))</f>
        <v>2.2849858823529408</v>
      </c>
      <c r="K250" s="85">
        <f t="shared" si="6"/>
        <v>3.2865682451579512E-5</v>
      </c>
      <c r="L250" s="85">
        <f>IF(B250="",IF(CONCATENATE(C250,D250,E250,F250,G250,H250,I250)="","",ws3_EU_ID_blank),IF(ISERROR(MATCH(B250,'2. Emissions Units &amp; Activities'!$B$7:$B$193,0)),ws3_matching_error_msg,G250*IF(E250="Y",1,1-F250)*INDEX('2. Emissions Units &amp; Activities'!$J$7:$J$193,MATCH(B250,'2. Emissions Units &amp; Activities'!$B$7:$B$193,0))))</f>
        <v>6.2602352941176463E-3</v>
      </c>
      <c r="M250" s="509">
        <f t="shared" si="7"/>
        <v>3.2865682451579512E-5</v>
      </c>
      <c r="N250" s="284"/>
    </row>
    <row r="251" spans="1:14" ht="15.75" x14ac:dyDescent="0.25">
      <c r="A251" s="86"/>
      <c r="B251" s="508" t="s">
        <v>55</v>
      </c>
      <c r="C251" s="339" t="s">
        <v>283</v>
      </c>
      <c r="D251" s="340" t="s">
        <v>284</v>
      </c>
      <c r="E251" s="339" t="s">
        <v>214</v>
      </c>
      <c r="F251" s="341">
        <v>0</v>
      </c>
      <c r="G251" s="339">
        <v>2.3E-3</v>
      </c>
      <c r="H251" s="339" t="s">
        <v>223</v>
      </c>
      <c r="I251" s="339" t="s">
        <v>272</v>
      </c>
      <c r="J251" s="85">
        <f>IF(B251="",IF(CONCATENATE(C251,D251,E251,F251,G251,H251,I251)="","",ws3_EU_ID_blank),IF(ISERROR(MATCH(B251,'2. Emissions Units &amp; Activities'!$B$7:$B$193,0)),ws3_matching_error_msg,G251*IF(E251="Y",1,1-F251)*INDEX('2. Emissions Units &amp; Activities'!$G$7:$G$193,MATCH(B251,'2. Emissions Units &amp; Activities'!$B$7:$B$193,0))))</f>
        <v>0.1983195294117647</v>
      </c>
      <c r="K251" s="85">
        <f t="shared" si="6"/>
        <v>2.8524931939106756E-6</v>
      </c>
      <c r="L251" s="85">
        <f>IF(B251="",IF(CONCATENATE(C251,D251,E251,F251,G251,H251,I251)="","",ws3_EU_ID_blank),IF(ISERROR(MATCH(B251,'2. Emissions Units &amp; Activities'!$B$7:$B$193,0)),ws3_matching_error_msg,G251*IF(E251="Y",1,1-F251)*INDEX('2. Emissions Units &amp; Activities'!$J$7:$J$193,MATCH(B251,'2. Emissions Units &amp; Activities'!$B$7:$B$193,0))))</f>
        <v>5.4334117647058817E-4</v>
      </c>
      <c r="M251" s="509">
        <f t="shared" si="7"/>
        <v>2.8524931939106752E-6</v>
      </c>
      <c r="N251" s="284"/>
    </row>
    <row r="252" spans="1:14" ht="15.75" x14ac:dyDescent="0.25">
      <c r="A252" s="86"/>
      <c r="B252" s="508" t="s">
        <v>55</v>
      </c>
      <c r="C252" s="339" t="s">
        <v>269</v>
      </c>
      <c r="D252" s="340" t="s">
        <v>270</v>
      </c>
      <c r="E252" s="339" t="s">
        <v>214</v>
      </c>
      <c r="F252" s="341">
        <v>0</v>
      </c>
      <c r="G252" s="339">
        <v>1.9699999999999999E-2</v>
      </c>
      <c r="H252" s="339" t="s">
        <v>223</v>
      </c>
      <c r="I252" s="339" t="s">
        <v>272</v>
      </c>
      <c r="J252" s="85">
        <f>IF(B252="",IF(CONCATENATE(C252,D252,E252,F252,G252,H252,I252)="","",ws3_EU_ID_blank),IF(ISERROR(MATCH(B252,'2. Emissions Units &amp; Activities'!$B$7:$B$193,0)),ws3_matching_error_msg,G252*IF(E252="Y",1,1-F252)*INDEX('2. Emissions Units &amp; Activities'!$G$7:$G$193,MATCH(B252,'2. Emissions Units &amp; Activities'!$B$7:$B$193,0))))</f>
        <v>1.698649882352941</v>
      </c>
      <c r="K252" s="85">
        <f t="shared" si="6"/>
        <v>2.4432224313061001E-5</v>
      </c>
      <c r="L252" s="85">
        <f>IF(B252="",IF(CONCATENATE(C252,D252,E252,F252,G252,H252,I252)="","",ws3_EU_ID_blank),IF(ISERROR(MATCH(B252,'2. Emissions Units &amp; Activities'!$B$7:$B$193,0)),ws3_matching_error_msg,G252*IF(E252="Y",1,1-F252)*INDEX('2. Emissions Units &amp; Activities'!$J$7:$J$193,MATCH(B252,'2. Emissions Units &amp; Activities'!$B$7:$B$193,0))))</f>
        <v>4.6538352941176463E-3</v>
      </c>
      <c r="M252" s="509">
        <f t="shared" si="7"/>
        <v>2.4432224313061001E-5</v>
      </c>
      <c r="N252" s="284"/>
    </row>
    <row r="253" spans="1:14" ht="15.75" x14ac:dyDescent="0.25">
      <c r="A253" s="86"/>
      <c r="B253" s="508" t="s">
        <v>55</v>
      </c>
      <c r="C253" s="339" t="s">
        <v>285</v>
      </c>
      <c r="D253" s="340" t="s">
        <v>286</v>
      </c>
      <c r="E253" s="339" t="s">
        <v>214</v>
      </c>
      <c r="F253" s="341">
        <v>0</v>
      </c>
      <c r="G253" s="339">
        <v>2.9000000000000001E-2</v>
      </c>
      <c r="H253" s="339" t="s">
        <v>223</v>
      </c>
      <c r="I253" s="339" t="s">
        <v>272</v>
      </c>
      <c r="J253" s="85">
        <f>IF(B253="",IF(CONCATENATE(C253,D253,E253,F253,G253,H253,I253)="","",ws3_EU_ID_blank),IF(ISERROR(MATCH(B253,'2. Emissions Units &amp; Activities'!$B$7:$B$193,0)),ws3_matching_error_msg,G253*IF(E253="Y",1,1-F253)*INDEX('2. Emissions Units &amp; Activities'!$G$7:$G$193,MATCH(B253,'2. Emissions Units &amp; Activities'!$B$7:$B$193,0))))</f>
        <v>2.5005505882352939</v>
      </c>
      <c r="K253" s="85">
        <f t="shared" si="6"/>
        <v>3.5966218531917213E-5</v>
      </c>
      <c r="L253" s="85">
        <f>IF(B253="",IF(CONCATENATE(C253,D253,E253,F253,G253,H253,I253)="","",ws3_EU_ID_blank),IF(ISERROR(MATCH(B253,'2. Emissions Units &amp; Activities'!$B$7:$B$193,0)),ws3_matching_error_msg,G253*IF(E253="Y",1,1-F253)*INDEX('2. Emissions Units &amp; Activities'!$J$7:$J$193,MATCH(B253,'2. Emissions Units &amp; Activities'!$B$7:$B$193,0))))</f>
        <v>6.8508235294117642E-3</v>
      </c>
      <c r="M253" s="509">
        <f t="shared" si="7"/>
        <v>3.5966218531917206E-5</v>
      </c>
      <c r="N253" s="284"/>
    </row>
    <row r="254" spans="1:14" ht="15.75" x14ac:dyDescent="0.25">
      <c r="A254" s="86"/>
      <c r="B254" s="508" t="s">
        <v>56</v>
      </c>
      <c r="C254" s="339" t="s">
        <v>221</v>
      </c>
      <c r="D254" s="340" t="s">
        <v>222</v>
      </c>
      <c r="E254" s="339" t="s">
        <v>214</v>
      </c>
      <c r="F254" s="341">
        <v>0</v>
      </c>
      <c r="G254" s="339">
        <v>5.7999999999999996E-3</v>
      </c>
      <c r="H254" s="339" t="s">
        <v>223</v>
      </c>
      <c r="I254" s="339" t="s">
        <v>272</v>
      </c>
      <c r="J254" s="85">
        <f>IF(B254="",IF(CONCATENATE(C254,D254,E254,F254,G254,H254,I254)="","",ws3_EU_ID_blank),IF(ISERROR(MATCH(B254,'2. Emissions Units &amp; Activities'!$B$7:$B$193,0)),ws3_matching_error_msg,G254*IF(E254="Y",1,1-F254)*INDEX('2. Emissions Units &amp; Activities'!$G$7:$G$193,MATCH(B254,'2. Emissions Units &amp; Activities'!$B$7:$B$193,0))))</f>
        <v>0.50011011764705871</v>
      </c>
      <c r="K254" s="85">
        <f t="shared" si="6"/>
        <v>7.1932437063834408E-6</v>
      </c>
      <c r="L254" s="85">
        <f>IF(B254="",IF(CONCATENATE(C254,D254,E254,F254,G254,H254,I254)="","",ws3_EU_ID_blank),IF(ISERROR(MATCH(B254,'2. Emissions Units &amp; Activities'!$B$7:$B$193,0)),ws3_matching_error_msg,G254*IF(E254="Y",1,1-F254)*INDEX('2. Emissions Units &amp; Activities'!$J$7:$J$193,MATCH(B254,'2. Emissions Units &amp; Activities'!$B$7:$B$193,0))))</f>
        <v>1.3701647058823527E-3</v>
      </c>
      <c r="M254" s="509">
        <f t="shared" si="7"/>
        <v>7.1932437063834408E-6</v>
      </c>
      <c r="N254" s="284"/>
    </row>
    <row r="255" spans="1:14" ht="15.75" x14ac:dyDescent="0.25">
      <c r="A255" s="86"/>
      <c r="B255" s="508" t="s">
        <v>56</v>
      </c>
      <c r="C255" s="339" t="s">
        <v>237</v>
      </c>
      <c r="D255" s="340" t="s">
        <v>238</v>
      </c>
      <c r="E255" s="339" t="s">
        <v>214</v>
      </c>
      <c r="F255" s="341">
        <v>0</v>
      </c>
      <c r="G255" s="339">
        <v>1.23E-2</v>
      </c>
      <c r="H255" s="339" t="s">
        <v>223</v>
      </c>
      <c r="I255" s="339" t="s">
        <v>272</v>
      </c>
      <c r="J255" s="85">
        <f>IF(B255="",IF(CONCATENATE(C255,D255,E255,F255,G255,H255,I255)="","",ws3_EU_ID_blank),IF(ISERROR(MATCH(B255,'2. Emissions Units &amp; Activities'!$B$7:$B$193,0)),ws3_matching_error_msg,G255*IF(E255="Y",1,1-F255)*INDEX('2. Emissions Units &amp; Activities'!$G$7:$G$193,MATCH(B255,'2. Emissions Units &amp; Activities'!$B$7:$B$193,0))))</f>
        <v>1.0605783529411763</v>
      </c>
      <c r="K255" s="85">
        <f t="shared" si="6"/>
        <v>1.5254637515261435E-5</v>
      </c>
      <c r="L255" s="85">
        <f>IF(B255="",IF(CONCATENATE(C255,D255,E255,F255,G255,H255,I255)="","",ws3_EU_ID_blank),IF(ISERROR(MATCH(B255,'2. Emissions Units &amp; Activities'!$B$7:$B$193,0)),ws3_matching_error_msg,G255*IF(E255="Y",1,1-F255)*INDEX('2. Emissions Units &amp; Activities'!$J$7:$J$193,MATCH(B255,'2. Emissions Units &amp; Activities'!$B$7:$B$193,0))))</f>
        <v>2.9056941176470587E-3</v>
      </c>
      <c r="M255" s="509">
        <f t="shared" si="7"/>
        <v>1.5254637515261439E-5</v>
      </c>
      <c r="N255" s="284"/>
    </row>
    <row r="256" spans="1:14" ht="15.75" x14ac:dyDescent="0.25">
      <c r="A256" s="86"/>
      <c r="B256" s="508" t="s">
        <v>56</v>
      </c>
      <c r="C256" s="339">
        <v>401</v>
      </c>
      <c r="D256" s="340" t="s">
        <v>246</v>
      </c>
      <c r="E256" s="339" t="s">
        <v>214</v>
      </c>
      <c r="F256" s="341">
        <v>0</v>
      </c>
      <c r="G256" s="339">
        <v>1E-4</v>
      </c>
      <c r="H256" s="339" t="s">
        <v>223</v>
      </c>
      <c r="I256" s="339" t="s">
        <v>272</v>
      </c>
      <c r="J256" s="85">
        <f>IF(B256="",IF(CONCATENATE(C256,D256,E256,F256,G256,H256,I256)="","",ws3_EU_ID_blank),IF(ISERROR(MATCH(B256,'2. Emissions Units &amp; Activities'!$B$7:$B$193,0)),ws3_matching_error_msg,G256*IF(E256="Y",1,1-F256)*INDEX('2. Emissions Units &amp; Activities'!$G$7:$G$193,MATCH(B256,'2. Emissions Units &amp; Activities'!$B$7:$B$193,0))))</f>
        <v>8.622588235294118E-3</v>
      </c>
      <c r="K256" s="85">
        <f t="shared" si="6"/>
        <v>1.2402144321350764E-7</v>
      </c>
      <c r="L256" s="85">
        <f>IF(B256="",IF(CONCATENATE(C256,D256,E256,F256,G256,H256,I256)="","",ws3_EU_ID_blank),IF(ISERROR(MATCH(B256,'2. Emissions Units &amp; Activities'!$B$7:$B$193,0)),ws3_matching_error_msg,G256*IF(E256="Y",1,1-F256)*INDEX('2. Emissions Units &amp; Activities'!$J$7:$J$193,MATCH(B256,'2. Emissions Units &amp; Activities'!$B$7:$B$193,0))))</f>
        <v>2.3623529411764706E-5</v>
      </c>
      <c r="M256" s="509">
        <f t="shared" si="7"/>
        <v>1.2402144321350764E-7</v>
      </c>
      <c r="N256" s="284"/>
    </row>
    <row r="257" spans="1:14" ht="15.75" x14ac:dyDescent="0.25">
      <c r="A257" s="86"/>
      <c r="B257" s="508" t="s">
        <v>56</v>
      </c>
      <c r="C257" s="339" t="s">
        <v>273</v>
      </c>
      <c r="D257" s="340" t="s">
        <v>274</v>
      </c>
      <c r="E257" s="339" t="s">
        <v>214</v>
      </c>
      <c r="F257" s="341">
        <v>0</v>
      </c>
      <c r="G257" s="339">
        <v>1.1999999999999999E-6</v>
      </c>
      <c r="H257" s="339" t="s">
        <v>223</v>
      </c>
      <c r="I257" s="339" t="s">
        <v>272</v>
      </c>
      <c r="J257" s="85">
        <f>IF(B257="",IF(CONCATENATE(C257,D257,E257,F257,G257,H257,I257)="","",ws3_EU_ID_blank),IF(ISERROR(MATCH(B257,'2. Emissions Units &amp; Activities'!$B$7:$B$193,0)),ws3_matching_error_msg,G257*IF(E257="Y",1,1-F257)*INDEX('2. Emissions Units &amp; Activities'!$G$7:$G$193,MATCH(B257,'2. Emissions Units &amp; Activities'!$B$7:$B$193,0))))</f>
        <v>1.0347105882352939E-4</v>
      </c>
      <c r="K257" s="85">
        <f t="shared" si="6"/>
        <v>1.4882573185620913E-9</v>
      </c>
      <c r="L257" s="85">
        <f>IF(B257="",IF(CONCATENATE(C257,D257,E257,F257,G257,H257,I257)="","",ws3_EU_ID_blank),IF(ISERROR(MATCH(B257,'2. Emissions Units &amp; Activities'!$B$7:$B$193,0)),ws3_matching_error_msg,G257*IF(E257="Y",1,1-F257)*INDEX('2. Emissions Units &amp; Activities'!$J$7:$J$193,MATCH(B257,'2. Emissions Units &amp; Activities'!$B$7:$B$193,0))))</f>
        <v>2.8348235294117643E-7</v>
      </c>
      <c r="M257" s="509">
        <f t="shared" si="7"/>
        <v>1.4882573185620913E-9</v>
      </c>
      <c r="N257" s="284"/>
    </row>
    <row r="258" spans="1:14" ht="15.75" x14ac:dyDescent="0.25">
      <c r="A258" s="86"/>
      <c r="B258" s="508" t="s">
        <v>56</v>
      </c>
      <c r="C258" s="339" t="s">
        <v>244</v>
      </c>
      <c r="D258" s="340" t="s">
        <v>245</v>
      </c>
      <c r="E258" s="339" t="s">
        <v>214</v>
      </c>
      <c r="F258" s="341">
        <v>0</v>
      </c>
      <c r="G258" s="339">
        <v>2.9999999999999997E-4</v>
      </c>
      <c r="H258" s="339" t="s">
        <v>223</v>
      </c>
      <c r="I258" s="339" t="s">
        <v>272</v>
      </c>
      <c r="J258" s="85">
        <f>IF(B258="",IF(CONCATENATE(C258,D258,E258,F258,G258,H258,I258)="","",ws3_EU_ID_blank),IF(ISERROR(MATCH(B258,'2. Emissions Units &amp; Activities'!$B$7:$B$193,0)),ws3_matching_error_msg,G258*IF(E258="Y",1,1-F258)*INDEX('2. Emissions Units &amp; Activities'!$G$7:$G$193,MATCH(B258,'2. Emissions Units &amp; Activities'!$B$7:$B$193,0))))</f>
        <v>2.5867764705882347E-2</v>
      </c>
      <c r="K258" s="85">
        <f t="shared" si="6"/>
        <v>3.7206432964052281E-7</v>
      </c>
      <c r="L258" s="85">
        <f>IF(B258="",IF(CONCATENATE(C258,D258,E258,F258,G258,H258,I258)="","",ws3_EU_ID_blank),IF(ISERROR(MATCH(B258,'2. Emissions Units &amp; Activities'!$B$7:$B$193,0)),ws3_matching_error_msg,G258*IF(E258="Y",1,1-F258)*INDEX('2. Emissions Units &amp; Activities'!$J$7:$J$193,MATCH(B258,'2. Emissions Units &amp; Activities'!$B$7:$B$193,0))))</f>
        <v>7.087058823529411E-5</v>
      </c>
      <c r="M258" s="509">
        <f t="shared" si="7"/>
        <v>3.7206432964052286E-7</v>
      </c>
      <c r="N258" s="284"/>
    </row>
    <row r="259" spans="1:14" ht="15.75" x14ac:dyDescent="0.25">
      <c r="A259" s="86"/>
      <c r="B259" s="508" t="s">
        <v>56</v>
      </c>
      <c r="C259" s="339" t="s">
        <v>247</v>
      </c>
      <c r="D259" s="340" t="s">
        <v>248</v>
      </c>
      <c r="E259" s="339" t="s">
        <v>214</v>
      </c>
      <c r="F259" s="341">
        <v>0</v>
      </c>
      <c r="G259" s="339">
        <v>3.0999999999999999E-3</v>
      </c>
      <c r="H259" s="339" t="s">
        <v>223</v>
      </c>
      <c r="I259" s="339" t="s">
        <v>272</v>
      </c>
      <c r="J259" s="85">
        <f>IF(B259="",IF(CONCATENATE(C259,D259,E259,F259,G259,H259,I259)="","",ws3_EU_ID_blank),IF(ISERROR(MATCH(B259,'2. Emissions Units &amp; Activities'!$B$7:$B$193,0)),ws3_matching_error_msg,G259*IF(E259="Y",1,1-F259)*INDEX('2. Emissions Units &amp; Activities'!$G$7:$G$193,MATCH(B259,'2. Emissions Units &amp; Activities'!$B$7:$B$193,0))))</f>
        <v>0.26730023529411762</v>
      </c>
      <c r="K259" s="85">
        <f t="shared" si="6"/>
        <v>3.8446647396187363E-6</v>
      </c>
      <c r="L259" s="85">
        <f>IF(B259="",IF(CONCATENATE(C259,D259,E259,F259,G259,H259,I259)="","",ws3_EU_ID_blank),IF(ISERROR(MATCH(B259,'2. Emissions Units &amp; Activities'!$B$7:$B$193,0)),ws3_matching_error_msg,G259*IF(E259="Y",1,1-F259)*INDEX('2. Emissions Units &amp; Activities'!$J$7:$J$193,MATCH(B259,'2. Emissions Units &amp; Activities'!$B$7:$B$193,0))))</f>
        <v>7.3232941176470576E-4</v>
      </c>
      <c r="M259" s="509">
        <f t="shared" si="7"/>
        <v>3.8446647396187354E-6</v>
      </c>
      <c r="N259" s="284"/>
    </row>
    <row r="260" spans="1:14" ht="15.75" x14ac:dyDescent="0.25">
      <c r="A260" s="86"/>
      <c r="B260" s="508" t="s">
        <v>56</v>
      </c>
      <c r="C260" s="339" t="s">
        <v>249</v>
      </c>
      <c r="D260" s="340" t="s">
        <v>250</v>
      </c>
      <c r="E260" s="339" t="s">
        <v>214</v>
      </c>
      <c r="F260" s="341">
        <v>0</v>
      </c>
      <c r="G260" s="339">
        <v>2.7000000000000001E-3</v>
      </c>
      <c r="H260" s="339" t="s">
        <v>223</v>
      </c>
      <c r="I260" s="339" t="s">
        <v>272</v>
      </c>
      <c r="J260" s="85">
        <f>IF(B260="",IF(CONCATENATE(C260,D260,E260,F260,G260,H260,I260)="","",ws3_EU_ID_blank),IF(ISERROR(MATCH(B260,'2. Emissions Units &amp; Activities'!$B$7:$B$193,0)),ws3_matching_error_msg,G260*IF(E260="Y",1,1-F260)*INDEX('2. Emissions Units &amp; Activities'!$G$7:$G$193,MATCH(B260,'2. Emissions Units &amp; Activities'!$B$7:$B$193,0))))</f>
        <v>0.23280988235294117</v>
      </c>
      <c r="K260" s="85">
        <f t="shared" si="6"/>
        <v>3.3485789667647057E-6</v>
      </c>
      <c r="L260" s="85">
        <f>IF(B260="",IF(CONCATENATE(C260,D260,E260,F260,G260,H260,I260)="","",ws3_EU_ID_blank),IF(ISERROR(MATCH(B260,'2. Emissions Units &amp; Activities'!$B$7:$B$193,0)),ws3_matching_error_msg,G260*IF(E260="Y",1,1-F260)*INDEX('2. Emissions Units &amp; Activities'!$J$7:$J$193,MATCH(B260,'2. Emissions Units &amp; Activities'!$B$7:$B$193,0))))</f>
        <v>6.3783529411764702E-4</v>
      </c>
      <c r="M260" s="509">
        <f t="shared" si="7"/>
        <v>3.3485789667647062E-6</v>
      </c>
      <c r="N260" s="284"/>
    </row>
    <row r="261" spans="1:14" ht="15.75" x14ac:dyDescent="0.25">
      <c r="A261" s="86"/>
      <c r="B261" s="508" t="s">
        <v>56</v>
      </c>
      <c r="C261" s="339" t="s">
        <v>251</v>
      </c>
      <c r="D261" s="340" t="s">
        <v>252</v>
      </c>
      <c r="E261" s="339" t="s">
        <v>214</v>
      </c>
      <c r="F261" s="341">
        <v>0</v>
      </c>
      <c r="G261" s="339">
        <v>3.2</v>
      </c>
      <c r="H261" s="339" t="s">
        <v>223</v>
      </c>
      <c r="I261" s="339" t="s">
        <v>272</v>
      </c>
      <c r="J261" s="85">
        <f>IF(B261="",IF(CONCATENATE(C261,D261,E261,F261,G261,H261,I261)="","",ws3_EU_ID_blank),IF(ISERROR(MATCH(B261,'2. Emissions Units &amp; Activities'!$B$7:$B$193,0)),ws3_matching_error_msg,G261*IF(E261="Y",1,1-F261)*INDEX('2. Emissions Units &amp; Activities'!$G$7:$G$193,MATCH(B261,'2. Emissions Units &amp; Activities'!$B$7:$B$193,0))))</f>
        <v>275.92282352941174</v>
      </c>
      <c r="K261" s="85">
        <f t="shared" si="6"/>
        <v>3.9686861828322441E-3</v>
      </c>
      <c r="L261" s="85">
        <f>IF(B261="",IF(CONCATENATE(C261,D261,E261,F261,G261,H261,I261)="","",ws3_EU_ID_blank),IF(ISERROR(MATCH(B261,'2. Emissions Units &amp; Activities'!$B$7:$B$193,0)),ws3_matching_error_msg,G261*IF(E261="Y",1,1-F261)*INDEX('2. Emissions Units &amp; Activities'!$J$7:$J$193,MATCH(B261,'2. Emissions Units &amp; Activities'!$B$7:$B$193,0))))</f>
        <v>0.75595294117647061</v>
      </c>
      <c r="M261" s="509">
        <f t="shared" si="7"/>
        <v>3.9686861828322441E-3</v>
      </c>
      <c r="N261" s="284"/>
    </row>
    <row r="262" spans="1:14" ht="15.75" x14ac:dyDescent="0.25">
      <c r="A262" s="86"/>
      <c r="B262" s="508" t="s">
        <v>56</v>
      </c>
      <c r="C262" s="339" t="s">
        <v>218</v>
      </c>
      <c r="D262" s="340" t="s">
        <v>219</v>
      </c>
      <c r="E262" s="339" t="s">
        <v>214</v>
      </c>
      <c r="F262" s="341">
        <v>0</v>
      </c>
      <c r="G262" s="339">
        <v>2.0000000000000001E-4</v>
      </c>
      <c r="H262" s="339" t="s">
        <v>223</v>
      </c>
      <c r="I262" s="339" t="s">
        <v>272</v>
      </c>
      <c r="J262" s="85">
        <f>IF(B262="",IF(CONCATENATE(C262,D262,E262,F262,G262,H262,I262)="","",ws3_EU_ID_blank),IF(ISERROR(MATCH(B262,'2. Emissions Units &amp; Activities'!$B$7:$B$193,0)),ws3_matching_error_msg,G262*IF(E262="Y",1,1-F262)*INDEX('2. Emissions Units &amp; Activities'!$G$7:$G$193,MATCH(B262,'2. Emissions Units &amp; Activities'!$B$7:$B$193,0))))</f>
        <v>1.7245176470588236E-2</v>
      </c>
      <c r="K262" s="85">
        <f t="shared" si="6"/>
        <v>2.4804288642701528E-7</v>
      </c>
      <c r="L262" s="85">
        <f>IF(B262="",IF(CONCATENATE(C262,D262,E262,F262,G262,H262,I262)="","",ws3_EU_ID_blank),IF(ISERROR(MATCH(B262,'2. Emissions Units &amp; Activities'!$B$7:$B$193,0)),ws3_matching_error_msg,G262*IF(E262="Y",1,1-F262)*INDEX('2. Emissions Units &amp; Activities'!$J$7:$J$193,MATCH(B262,'2. Emissions Units &amp; Activities'!$B$7:$B$193,0))))</f>
        <v>4.7247058823529411E-5</v>
      </c>
      <c r="M262" s="509">
        <f t="shared" si="7"/>
        <v>2.4804288642701528E-7</v>
      </c>
      <c r="N262" s="284"/>
    </row>
    <row r="263" spans="1:14" ht="15.75" x14ac:dyDescent="0.25">
      <c r="A263" s="86"/>
      <c r="B263" s="508" t="s">
        <v>56</v>
      </c>
      <c r="C263" s="339" t="s">
        <v>275</v>
      </c>
      <c r="D263" s="340" t="s">
        <v>276</v>
      </c>
      <c r="E263" s="339" t="s">
        <v>214</v>
      </c>
      <c r="F263" s="341">
        <v>0</v>
      </c>
      <c r="G263" s="339">
        <v>4.4000000000000003E-3</v>
      </c>
      <c r="H263" s="339" t="s">
        <v>223</v>
      </c>
      <c r="I263" s="339" t="s">
        <v>272</v>
      </c>
      <c r="J263" s="85">
        <f>IF(B263="",IF(CONCATENATE(C263,D263,E263,F263,G263,H263,I263)="","",ws3_EU_ID_blank),IF(ISERROR(MATCH(B263,'2. Emissions Units &amp; Activities'!$B$7:$B$193,0)),ws3_matching_error_msg,G263*IF(E263="Y",1,1-F263)*INDEX('2. Emissions Units &amp; Activities'!$G$7:$G$193,MATCH(B263,'2. Emissions Units &amp; Activities'!$B$7:$B$193,0))))</f>
        <v>0.37939388235294119</v>
      </c>
      <c r="K263" s="85">
        <f t="shared" si="6"/>
        <v>5.4569435013943357E-6</v>
      </c>
      <c r="L263" s="85">
        <f>IF(B263="",IF(CONCATENATE(C263,D263,E263,F263,G263,H263,I263)="","",ws3_EU_ID_blank),IF(ISERROR(MATCH(B263,'2. Emissions Units &amp; Activities'!$B$7:$B$193,0)),ws3_matching_error_msg,G263*IF(E263="Y",1,1-F263)*INDEX('2. Emissions Units &amp; Activities'!$J$7:$J$193,MATCH(B263,'2. Emissions Units &amp; Activities'!$B$7:$B$193,0))))</f>
        <v>1.0394352941176471E-3</v>
      </c>
      <c r="M263" s="509">
        <f t="shared" si="7"/>
        <v>5.4569435013943366E-6</v>
      </c>
      <c r="N263" s="284"/>
    </row>
    <row r="264" spans="1:14" ht="15.75" x14ac:dyDescent="0.25">
      <c r="A264" s="86"/>
      <c r="B264" s="508" t="s">
        <v>56</v>
      </c>
      <c r="C264" s="339" t="s">
        <v>277</v>
      </c>
      <c r="D264" s="340" t="s">
        <v>278</v>
      </c>
      <c r="E264" s="339" t="s">
        <v>214</v>
      </c>
      <c r="F264" s="341">
        <v>0</v>
      </c>
      <c r="G264" s="339">
        <v>1.2E-5</v>
      </c>
      <c r="H264" s="339" t="s">
        <v>223</v>
      </c>
      <c r="I264" s="339" t="s">
        <v>272</v>
      </c>
      <c r="J264" s="85">
        <f>IF(B264="",IF(CONCATENATE(C264,D264,E264,F264,G264,H264,I264)="","",ws3_EU_ID_blank),IF(ISERROR(MATCH(B264,'2. Emissions Units &amp; Activities'!$B$7:$B$193,0)),ws3_matching_error_msg,G264*IF(E264="Y",1,1-F264)*INDEX('2. Emissions Units &amp; Activities'!$G$7:$G$193,MATCH(B264,'2. Emissions Units &amp; Activities'!$B$7:$B$193,0))))</f>
        <v>1.0347105882352941E-3</v>
      </c>
      <c r="K264" s="85">
        <f t="shared" si="6"/>
        <v>1.4882573185620916E-8</v>
      </c>
      <c r="L264" s="85">
        <f>IF(B264="",IF(CONCATENATE(C264,D264,E264,F264,G264,H264,I264)="","",ws3_EU_ID_blank),IF(ISERROR(MATCH(B264,'2. Emissions Units &amp; Activities'!$B$7:$B$193,0)),ws3_matching_error_msg,G264*IF(E264="Y",1,1-F264)*INDEX('2. Emissions Units &amp; Activities'!$J$7:$J$193,MATCH(B264,'2. Emissions Units &amp; Activities'!$B$7:$B$193,0))))</f>
        <v>2.8348235294117644E-6</v>
      </c>
      <c r="M264" s="509">
        <f t="shared" si="7"/>
        <v>1.4882573185620914E-8</v>
      </c>
      <c r="N264" s="284"/>
    </row>
    <row r="265" spans="1:14" ht="15.75" x14ac:dyDescent="0.25">
      <c r="A265" s="86"/>
      <c r="B265" s="508" t="s">
        <v>56</v>
      </c>
      <c r="C265" s="339" t="s">
        <v>235</v>
      </c>
      <c r="D265" s="340" t="s">
        <v>236</v>
      </c>
      <c r="E265" s="339" t="s">
        <v>214</v>
      </c>
      <c r="F265" s="341">
        <v>0</v>
      </c>
      <c r="G265" s="339">
        <v>1.1000000000000001E-3</v>
      </c>
      <c r="H265" s="339" t="s">
        <v>223</v>
      </c>
      <c r="I265" s="339" t="s">
        <v>272</v>
      </c>
      <c r="J265" s="85">
        <f>IF(B265="",IF(CONCATENATE(C265,D265,E265,F265,G265,H265,I265)="","",ws3_EU_ID_blank),IF(ISERROR(MATCH(B265,'2. Emissions Units &amp; Activities'!$B$7:$B$193,0)),ws3_matching_error_msg,G265*IF(E265="Y",1,1-F265)*INDEX('2. Emissions Units &amp; Activities'!$G$7:$G$193,MATCH(B265,'2. Emissions Units &amp; Activities'!$B$7:$B$193,0))))</f>
        <v>9.4848470588235298E-2</v>
      </c>
      <c r="K265" s="85">
        <f t="shared" ref="K265:K328" si="8">CONVERT(J265,"lbm","g")/8760/3600</f>
        <v>1.3642358753485839E-6</v>
      </c>
      <c r="L265" s="85">
        <f>IF(B265="",IF(CONCATENATE(C265,D265,E265,F265,G265,H265,I265)="","",ws3_EU_ID_blank),IF(ISERROR(MATCH(B265,'2. Emissions Units &amp; Activities'!$B$7:$B$193,0)),ws3_matching_error_msg,G265*IF(E265="Y",1,1-F265)*INDEX('2. Emissions Units &amp; Activities'!$J$7:$J$193,MATCH(B265,'2. Emissions Units &amp; Activities'!$B$7:$B$193,0))))</f>
        <v>2.5985882352941178E-4</v>
      </c>
      <c r="M265" s="509">
        <f t="shared" ref="M265:M328" si="9">CONVERT(L265,"lbm","g")/24/3600</f>
        <v>1.3642358753485841E-6</v>
      </c>
      <c r="N265" s="284"/>
    </row>
    <row r="266" spans="1:14" ht="15.75" x14ac:dyDescent="0.25">
      <c r="A266" s="86"/>
      <c r="B266" s="508" t="s">
        <v>56</v>
      </c>
      <c r="C266" s="339" t="s">
        <v>239</v>
      </c>
      <c r="D266" s="340" t="s">
        <v>240</v>
      </c>
      <c r="E266" s="339" t="s">
        <v>214</v>
      </c>
      <c r="F266" s="341">
        <v>0</v>
      </c>
      <c r="G266" s="339">
        <v>1.4E-3</v>
      </c>
      <c r="H266" s="339" t="s">
        <v>223</v>
      </c>
      <c r="I266" s="339" t="s">
        <v>272</v>
      </c>
      <c r="J266" s="85">
        <f>IF(B266="",IF(CONCATENATE(C266,D266,E266,F266,G266,H266,I266)="","",ws3_EU_ID_blank),IF(ISERROR(MATCH(B266,'2. Emissions Units &amp; Activities'!$B$7:$B$193,0)),ws3_matching_error_msg,G266*IF(E266="Y",1,1-F266)*INDEX('2. Emissions Units &amp; Activities'!$G$7:$G$193,MATCH(B266,'2. Emissions Units &amp; Activities'!$B$7:$B$193,0))))</f>
        <v>0.12071623529411764</v>
      </c>
      <c r="K266" s="85">
        <f t="shared" si="8"/>
        <v>1.7363002049891067E-6</v>
      </c>
      <c r="L266" s="85">
        <f>IF(B266="",IF(CONCATENATE(C266,D266,E266,F266,G266,H266,I266)="","",ws3_EU_ID_blank),IF(ISERROR(MATCH(B266,'2. Emissions Units &amp; Activities'!$B$7:$B$193,0)),ws3_matching_error_msg,G266*IF(E266="Y",1,1-F266)*INDEX('2. Emissions Units &amp; Activities'!$J$7:$J$193,MATCH(B266,'2. Emissions Units &amp; Activities'!$B$7:$B$193,0))))</f>
        <v>3.3072941176470587E-4</v>
      </c>
      <c r="M266" s="509">
        <f t="shared" si="9"/>
        <v>1.7363002049891067E-6</v>
      </c>
      <c r="N266" s="284"/>
    </row>
    <row r="267" spans="1:14" ht="15.75" x14ac:dyDescent="0.25">
      <c r="A267" s="86"/>
      <c r="B267" s="508" t="s">
        <v>56</v>
      </c>
      <c r="C267" s="339" t="s">
        <v>279</v>
      </c>
      <c r="D267" s="340" t="s">
        <v>280</v>
      </c>
      <c r="E267" s="339" t="s">
        <v>214</v>
      </c>
      <c r="F267" s="341">
        <v>0</v>
      </c>
      <c r="G267" s="339">
        <v>8.3999999999999995E-5</v>
      </c>
      <c r="H267" s="339" t="s">
        <v>223</v>
      </c>
      <c r="I267" s="339" t="s">
        <v>272</v>
      </c>
      <c r="J267" s="85">
        <f>IF(B267="",IF(CONCATENATE(C267,D267,E267,F267,G267,H267,I267)="","",ws3_EU_ID_blank),IF(ISERROR(MATCH(B267,'2. Emissions Units &amp; Activities'!$B$7:$B$193,0)),ws3_matching_error_msg,G267*IF(E267="Y",1,1-F267)*INDEX('2. Emissions Units &amp; Activities'!$G$7:$G$193,MATCH(B267,'2. Emissions Units &amp; Activities'!$B$7:$B$193,0))))</f>
        <v>7.242974117647058E-3</v>
      </c>
      <c r="K267" s="85">
        <f t="shared" si="8"/>
        <v>1.0417801229934639E-7</v>
      </c>
      <c r="L267" s="85">
        <f>IF(B267="",IF(CONCATENATE(C267,D267,E267,F267,G267,H267,I267)="","",ws3_EU_ID_blank),IF(ISERROR(MATCH(B267,'2. Emissions Units &amp; Activities'!$B$7:$B$193,0)),ws3_matching_error_msg,G267*IF(E267="Y",1,1-F267)*INDEX('2. Emissions Units &amp; Activities'!$J$7:$J$193,MATCH(B267,'2. Emissions Units &amp; Activities'!$B$7:$B$193,0))))</f>
        <v>1.984376470588235E-5</v>
      </c>
      <c r="M267" s="509">
        <f t="shared" si="9"/>
        <v>1.0417801229934639E-7</v>
      </c>
      <c r="N267" s="284"/>
    </row>
    <row r="268" spans="1:14" ht="15.75" x14ac:dyDescent="0.25">
      <c r="A268" s="86"/>
      <c r="B268" s="508" t="s">
        <v>56</v>
      </c>
      <c r="C268" s="339" t="s">
        <v>253</v>
      </c>
      <c r="D268" s="340" t="s">
        <v>254</v>
      </c>
      <c r="E268" s="339" t="s">
        <v>214</v>
      </c>
      <c r="F268" s="341">
        <v>0</v>
      </c>
      <c r="G268" s="339">
        <v>8.4999999999999995E-4</v>
      </c>
      <c r="H268" s="339" t="s">
        <v>223</v>
      </c>
      <c r="I268" s="339" t="s">
        <v>272</v>
      </c>
      <c r="J268" s="85">
        <f>IF(B268="",IF(CONCATENATE(C268,D268,E268,F268,G268,H268,I268)="","",ws3_EU_ID_blank),IF(ISERROR(MATCH(B268,'2. Emissions Units &amp; Activities'!$B$7:$B$193,0)),ws3_matching_error_msg,G268*IF(E268="Y",1,1-F268)*INDEX('2. Emissions Units &amp; Activities'!$G$7:$G$193,MATCH(B268,'2. Emissions Units &amp; Activities'!$B$7:$B$193,0))))</f>
        <v>7.3291999999999996E-2</v>
      </c>
      <c r="K268" s="85">
        <f t="shared" si="8"/>
        <v>1.054182267314815E-6</v>
      </c>
      <c r="L268" s="85">
        <f>IF(B268="",IF(CONCATENATE(C268,D268,E268,F268,G268,H268,I268)="","",ws3_EU_ID_blank),IF(ISERROR(MATCH(B268,'2. Emissions Units &amp; Activities'!$B$7:$B$193,0)),ws3_matching_error_msg,G268*IF(E268="Y",1,1-F268)*INDEX('2. Emissions Units &amp; Activities'!$J$7:$J$193,MATCH(B268,'2. Emissions Units &amp; Activities'!$B$7:$B$193,0))))</f>
        <v>2.0079999999999997E-4</v>
      </c>
      <c r="M268" s="509">
        <f t="shared" si="9"/>
        <v>1.0541822673148146E-6</v>
      </c>
      <c r="N268" s="284"/>
    </row>
    <row r="269" spans="1:14" ht="15.75" x14ac:dyDescent="0.25">
      <c r="A269" s="86"/>
      <c r="B269" s="508" t="s">
        <v>56</v>
      </c>
      <c r="C269" s="339" t="s">
        <v>255</v>
      </c>
      <c r="D269" s="340" t="s">
        <v>256</v>
      </c>
      <c r="E269" s="339" t="s">
        <v>214</v>
      </c>
      <c r="F269" s="341">
        <v>0</v>
      </c>
      <c r="G269" s="339">
        <v>6.8999999999999999E-3</v>
      </c>
      <c r="H269" s="339" t="s">
        <v>223</v>
      </c>
      <c r="I269" s="339" t="s">
        <v>272</v>
      </c>
      <c r="J269" s="85">
        <f>IF(B269="",IF(CONCATENATE(C269,D269,E269,F269,G269,H269,I269)="","",ws3_EU_ID_blank),IF(ISERROR(MATCH(B269,'2. Emissions Units &amp; Activities'!$B$7:$B$193,0)),ws3_matching_error_msg,G269*IF(E269="Y",1,1-F269)*INDEX('2. Emissions Units &amp; Activities'!$G$7:$G$193,MATCH(B269,'2. Emissions Units &amp; Activities'!$B$7:$B$193,0))))</f>
        <v>0.59495858823529402</v>
      </c>
      <c r="K269" s="85">
        <f t="shared" si="8"/>
        <v>8.5574795817320247E-6</v>
      </c>
      <c r="L269" s="85">
        <f>IF(B269="",IF(CONCATENATE(C269,D269,E269,F269,G269,H269,I269)="","",ws3_EU_ID_blank),IF(ISERROR(MATCH(B269,'2. Emissions Units &amp; Activities'!$B$7:$B$193,0)),ws3_matching_error_msg,G269*IF(E269="Y",1,1-F269)*INDEX('2. Emissions Units &amp; Activities'!$J$7:$J$193,MATCH(B269,'2. Emissions Units &amp; Activities'!$B$7:$B$193,0))))</f>
        <v>1.6300235294117646E-3</v>
      </c>
      <c r="M269" s="509">
        <f t="shared" si="9"/>
        <v>8.5574795817320264E-6</v>
      </c>
      <c r="N269" s="284"/>
    </row>
    <row r="270" spans="1:14" ht="15.75" x14ac:dyDescent="0.25">
      <c r="A270" s="86"/>
      <c r="B270" s="508" t="s">
        <v>56</v>
      </c>
      <c r="C270" s="339" t="s">
        <v>257</v>
      </c>
      <c r="D270" s="340" t="s">
        <v>258</v>
      </c>
      <c r="E270" s="339" t="s">
        <v>214</v>
      </c>
      <c r="F270" s="341">
        <v>0</v>
      </c>
      <c r="G270" s="339">
        <v>4.5999999999999999E-3</v>
      </c>
      <c r="H270" s="339" t="s">
        <v>223</v>
      </c>
      <c r="I270" s="339" t="s">
        <v>272</v>
      </c>
      <c r="J270" s="85">
        <f>IF(B270="",IF(CONCATENATE(C270,D270,E270,F270,G270,H270,I270)="","",ws3_EU_ID_blank),IF(ISERROR(MATCH(B270,'2. Emissions Units &amp; Activities'!$B$7:$B$193,0)),ws3_matching_error_msg,G270*IF(E270="Y",1,1-F270)*INDEX('2. Emissions Units &amp; Activities'!$G$7:$G$193,MATCH(B270,'2. Emissions Units &amp; Activities'!$B$7:$B$193,0))))</f>
        <v>0.3966390588235294</v>
      </c>
      <c r="K270" s="85">
        <f t="shared" si="8"/>
        <v>5.7049863878213512E-6</v>
      </c>
      <c r="L270" s="85">
        <f>IF(B270="",IF(CONCATENATE(C270,D270,E270,F270,G270,H270,I270)="","",ws3_EU_ID_blank),IF(ISERROR(MATCH(B270,'2. Emissions Units &amp; Activities'!$B$7:$B$193,0)),ws3_matching_error_msg,G270*IF(E270="Y",1,1-F270)*INDEX('2. Emissions Units &amp; Activities'!$J$7:$J$193,MATCH(B270,'2. Emissions Units &amp; Activities'!$B$7:$B$193,0))))</f>
        <v>1.0866823529411763E-3</v>
      </c>
      <c r="M270" s="509">
        <f t="shared" si="9"/>
        <v>5.7049863878213503E-6</v>
      </c>
      <c r="N270" s="284"/>
    </row>
    <row r="271" spans="1:14" ht="15.75" x14ac:dyDescent="0.25">
      <c r="A271" s="86"/>
      <c r="B271" s="508" t="s">
        <v>56</v>
      </c>
      <c r="C271" s="339" t="s">
        <v>241</v>
      </c>
      <c r="D271" s="340" t="s">
        <v>242</v>
      </c>
      <c r="E271" s="339" t="s">
        <v>214</v>
      </c>
      <c r="F271" s="341">
        <v>0</v>
      </c>
      <c r="G271" s="339">
        <v>5.0000000000000001E-4</v>
      </c>
      <c r="H271" s="339" t="s">
        <v>223</v>
      </c>
      <c r="I271" s="339" t="s">
        <v>272</v>
      </c>
      <c r="J271" s="85">
        <f>IF(B271="",IF(CONCATENATE(C271,D271,E271,F271,G271,H271,I271)="","",ws3_EU_ID_blank),IF(ISERROR(MATCH(B271,'2. Emissions Units &amp; Activities'!$B$7:$B$193,0)),ws3_matching_error_msg,G271*IF(E271="Y",1,1-F271)*INDEX('2. Emissions Units &amp; Activities'!$G$7:$G$193,MATCH(B271,'2. Emissions Units &amp; Activities'!$B$7:$B$193,0))))</f>
        <v>4.3112941176470583E-2</v>
      </c>
      <c r="K271" s="85">
        <f t="shared" si="8"/>
        <v>6.2010721606753809E-7</v>
      </c>
      <c r="L271" s="85">
        <f>IF(B271="",IF(CONCATENATE(C271,D271,E271,F271,G271,H271,I271)="","",ws3_EU_ID_blank),IF(ISERROR(MATCH(B271,'2. Emissions Units &amp; Activities'!$B$7:$B$193,0)),ws3_matching_error_msg,G271*IF(E271="Y",1,1-F271)*INDEX('2. Emissions Units &amp; Activities'!$J$7:$J$193,MATCH(B271,'2. Emissions Units &amp; Activities'!$B$7:$B$193,0))))</f>
        <v>1.1811764705882352E-4</v>
      </c>
      <c r="M271" s="509">
        <f t="shared" si="9"/>
        <v>6.2010721606753809E-7</v>
      </c>
      <c r="N271" s="284"/>
    </row>
    <row r="272" spans="1:14" ht="15.75" x14ac:dyDescent="0.25">
      <c r="A272" s="86"/>
      <c r="B272" s="508" t="s">
        <v>56</v>
      </c>
      <c r="C272" s="339" t="s">
        <v>261</v>
      </c>
      <c r="D272" s="340" t="s">
        <v>262</v>
      </c>
      <c r="E272" s="339" t="s">
        <v>214</v>
      </c>
      <c r="F272" s="341">
        <v>0</v>
      </c>
      <c r="G272" s="339">
        <v>3.8000000000000002E-4</v>
      </c>
      <c r="H272" s="339" t="s">
        <v>223</v>
      </c>
      <c r="I272" s="339" t="s">
        <v>272</v>
      </c>
      <c r="J272" s="85">
        <f>IF(B272="",IF(CONCATENATE(C272,D272,E272,F272,G272,H272,I272)="","",ws3_EU_ID_blank),IF(ISERROR(MATCH(B272,'2. Emissions Units &amp; Activities'!$B$7:$B$193,0)),ws3_matching_error_msg,G272*IF(E272="Y",1,1-F272)*INDEX('2. Emissions Units &amp; Activities'!$G$7:$G$193,MATCH(B272,'2. Emissions Units &amp; Activities'!$B$7:$B$193,0))))</f>
        <v>3.2765835294117647E-2</v>
      </c>
      <c r="K272" s="85">
        <f t="shared" si="8"/>
        <v>4.7128148421132896E-7</v>
      </c>
      <c r="L272" s="85">
        <f>IF(B272="",IF(CONCATENATE(C272,D272,E272,F272,G272,H272,I272)="","",ws3_EU_ID_blank),IF(ISERROR(MATCH(B272,'2. Emissions Units &amp; Activities'!$B$7:$B$193,0)),ws3_matching_error_msg,G272*IF(E272="Y",1,1-F272)*INDEX('2. Emissions Units &amp; Activities'!$J$7:$J$193,MATCH(B272,'2. Emissions Units &amp; Activities'!$B$7:$B$193,0))))</f>
        <v>8.9769411764705883E-5</v>
      </c>
      <c r="M272" s="509">
        <f t="shared" si="9"/>
        <v>4.7128148421132896E-7</v>
      </c>
      <c r="N272" s="284"/>
    </row>
    <row r="273" spans="1:14" ht="15.75" x14ac:dyDescent="0.25">
      <c r="A273" s="86"/>
      <c r="B273" s="508" t="s">
        <v>56</v>
      </c>
      <c r="C273" s="339" t="s">
        <v>263</v>
      </c>
      <c r="D273" s="340" t="s">
        <v>264</v>
      </c>
      <c r="E273" s="339" t="s">
        <v>214</v>
      </c>
      <c r="F273" s="341">
        <v>0</v>
      </c>
      <c r="G273" s="339">
        <v>2.5999999999999998E-4</v>
      </c>
      <c r="H273" s="339" t="s">
        <v>223</v>
      </c>
      <c r="I273" s="339" t="s">
        <v>272</v>
      </c>
      <c r="J273" s="85">
        <f>IF(B273="",IF(CONCATENATE(C273,D273,E273,F273,G273,H273,I273)="","",ws3_EU_ID_blank),IF(ISERROR(MATCH(B273,'2. Emissions Units &amp; Activities'!$B$7:$B$193,0)),ws3_matching_error_msg,G273*IF(E273="Y",1,1-F273)*INDEX('2. Emissions Units &amp; Activities'!$G$7:$G$193,MATCH(B273,'2. Emissions Units &amp; Activities'!$B$7:$B$193,0))))</f>
        <v>2.2418729411764701E-2</v>
      </c>
      <c r="K273" s="85">
        <f t="shared" si="8"/>
        <v>3.2245575235511977E-7</v>
      </c>
      <c r="L273" s="85">
        <f>IF(B273="",IF(CONCATENATE(C273,D273,E273,F273,G273,H273,I273)="","",ws3_EU_ID_blank),IF(ISERROR(MATCH(B273,'2. Emissions Units &amp; Activities'!$B$7:$B$193,0)),ws3_matching_error_msg,G273*IF(E273="Y",1,1-F273)*INDEX('2. Emissions Units &amp; Activities'!$J$7:$J$193,MATCH(B273,'2. Emissions Units &amp; Activities'!$B$7:$B$193,0))))</f>
        <v>6.1421176470588231E-5</v>
      </c>
      <c r="M273" s="509">
        <f t="shared" si="9"/>
        <v>3.2245575235511982E-7</v>
      </c>
      <c r="N273" s="284"/>
    </row>
    <row r="274" spans="1:14" ht="15.75" x14ac:dyDescent="0.25">
      <c r="A274" s="86"/>
      <c r="B274" s="508" t="s">
        <v>56</v>
      </c>
      <c r="C274" s="339" t="s">
        <v>281</v>
      </c>
      <c r="D274" s="340" t="s">
        <v>282</v>
      </c>
      <c r="E274" s="339" t="s">
        <v>214</v>
      </c>
      <c r="F274" s="341">
        <v>0</v>
      </c>
      <c r="G274" s="339">
        <v>1.65E-3</v>
      </c>
      <c r="H274" s="339" t="s">
        <v>223</v>
      </c>
      <c r="I274" s="339" t="s">
        <v>272</v>
      </c>
      <c r="J274" s="85">
        <f>IF(B274="",IF(CONCATENATE(C274,D274,E274,F274,G274,H274,I274)="","",ws3_EU_ID_blank),IF(ISERROR(MATCH(B274,'2. Emissions Units &amp; Activities'!$B$7:$B$193,0)),ws3_matching_error_msg,G274*IF(E274="Y",1,1-F274)*INDEX('2. Emissions Units &amp; Activities'!$G$7:$G$193,MATCH(B274,'2. Emissions Units &amp; Activities'!$B$7:$B$193,0))))</f>
        <v>0.14227270588235294</v>
      </c>
      <c r="K274" s="85">
        <f t="shared" si="8"/>
        <v>2.0463538130228759E-6</v>
      </c>
      <c r="L274" s="85">
        <f>IF(B274="",IF(CONCATENATE(C274,D274,E274,F274,G274,H274,I274)="","",ws3_EU_ID_blank),IF(ISERROR(MATCH(B274,'2. Emissions Units &amp; Activities'!$B$7:$B$193,0)),ws3_matching_error_msg,G274*IF(E274="Y",1,1-F274)*INDEX('2. Emissions Units &amp; Activities'!$J$7:$J$193,MATCH(B274,'2. Emissions Units &amp; Activities'!$B$7:$B$193,0))))</f>
        <v>3.8978823529411759E-4</v>
      </c>
      <c r="M274" s="509">
        <f t="shared" si="9"/>
        <v>2.0463538130228755E-6</v>
      </c>
      <c r="N274" s="284"/>
    </row>
    <row r="275" spans="1:14" ht="15.75" x14ac:dyDescent="0.25">
      <c r="A275" s="86"/>
      <c r="B275" s="508" t="s">
        <v>56</v>
      </c>
      <c r="C275" s="339">
        <v>365</v>
      </c>
      <c r="D275" s="340" t="s">
        <v>243</v>
      </c>
      <c r="E275" s="339" t="s">
        <v>214</v>
      </c>
      <c r="F275" s="341">
        <v>0</v>
      </c>
      <c r="G275" s="339">
        <v>2.0999999999999999E-3</v>
      </c>
      <c r="H275" s="339" t="s">
        <v>223</v>
      </c>
      <c r="I275" s="339" t="s">
        <v>272</v>
      </c>
      <c r="J275" s="85">
        <f>IF(B275="",IF(CONCATENATE(C275,D275,E275,F275,G275,H275,I275)="","",ws3_EU_ID_blank),IF(ISERROR(MATCH(B275,'2. Emissions Units &amp; Activities'!$B$7:$B$193,0)),ws3_matching_error_msg,G275*IF(E275="Y",1,1-F275)*INDEX('2. Emissions Units &amp; Activities'!$G$7:$G$193,MATCH(B275,'2. Emissions Units &amp; Activities'!$B$7:$B$193,0))))</f>
        <v>0.18107435294117644</v>
      </c>
      <c r="K275" s="85">
        <f t="shared" si="8"/>
        <v>2.6044503074836597E-6</v>
      </c>
      <c r="L275" s="85">
        <f>IF(B275="",IF(CONCATENATE(C275,D275,E275,F275,G275,H275,I275)="","",ws3_EU_ID_blank),IF(ISERROR(MATCH(B275,'2. Emissions Units &amp; Activities'!$B$7:$B$193,0)),ws3_matching_error_msg,G275*IF(E275="Y",1,1-F275)*INDEX('2. Emissions Units &amp; Activities'!$J$7:$J$193,MATCH(B275,'2. Emissions Units &amp; Activities'!$B$7:$B$193,0))))</f>
        <v>4.9609411764705875E-4</v>
      </c>
      <c r="M275" s="509">
        <f t="shared" si="9"/>
        <v>2.6044503074836597E-6</v>
      </c>
      <c r="N275" s="284"/>
    </row>
    <row r="276" spans="1:14" ht="15.75" x14ac:dyDescent="0.25">
      <c r="A276" s="86"/>
      <c r="B276" s="508" t="s">
        <v>56</v>
      </c>
      <c r="C276" s="339" t="s">
        <v>265</v>
      </c>
      <c r="D276" s="340" t="s">
        <v>266</v>
      </c>
      <c r="E276" s="339" t="s">
        <v>214</v>
      </c>
      <c r="F276" s="341">
        <v>0</v>
      </c>
      <c r="G276" s="339">
        <v>2.4000000000000001E-5</v>
      </c>
      <c r="H276" s="339" t="s">
        <v>223</v>
      </c>
      <c r="I276" s="339" t="s">
        <v>272</v>
      </c>
      <c r="J276" s="85">
        <f>IF(B276="",IF(CONCATENATE(C276,D276,E276,F276,G276,H276,I276)="","",ws3_EU_ID_blank),IF(ISERROR(MATCH(B276,'2. Emissions Units &amp; Activities'!$B$7:$B$193,0)),ws3_matching_error_msg,G276*IF(E276="Y",1,1-F276)*INDEX('2. Emissions Units &amp; Activities'!$G$7:$G$193,MATCH(B276,'2. Emissions Units &amp; Activities'!$B$7:$B$193,0))))</f>
        <v>2.0694211764705883E-3</v>
      </c>
      <c r="K276" s="85">
        <f t="shared" si="8"/>
        <v>2.9765146371241831E-8</v>
      </c>
      <c r="L276" s="85">
        <f>IF(B276="",IF(CONCATENATE(C276,D276,E276,F276,G276,H276,I276)="","",ws3_EU_ID_blank),IF(ISERROR(MATCH(B276,'2. Emissions Units &amp; Activities'!$B$7:$B$193,0)),ws3_matching_error_msg,G276*IF(E276="Y",1,1-F276)*INDEX('2. Emissions Units &amp; Activities'!$J$7:$J$193,MATCH(B276,'2. Emissions Units &amp; Activities'!$B$7:$B$193,0))))</f>
        <v>5.6696470588235288E-6</v>
      </c>
      <c r="M276" s="509">
        <f t="shared" si="9"/>
        <v>2.9765146371241828E-8</v>
      </c>
      <c r="N276" s="284"/>
    </row>
    <row r="277" spans="1:14" ht="15.75" x14ac:dyDescent="0.25">
      <c r="A277" s="86"/>
      <c r="B277" s="508" t="s">
        <v>56</v>
      </c>
      <c r="C277" s="339" t="s">
        <v>267</v>
      </c>
      <c r="D277" s="340" t="s">
        <v>268</v>
      </c>
      <c r="E277" s="339" t="s">
        <v>214</v>
      </c>
      <c r="F277" s="341">
        <v>0</v>
      </c>
      <c r="G277" s="339">
        <v>2.6499999999999999E-2</v>
      </c>
      <c r="H277" s="339" t="s">
        <v>223</v>
      </c>
      <c r="I277" s="339" t="s">
        <v>272</v>
      </c>
      <c r="J277" s="85">
        <f>IF(B277="",IF(CONCATENATE(C277,D277,E277,F277,G277,H277,I277)="","",ws3_EU_ID_blank),IF(ISERROR(MATCH(B277,'2. Emissions Units &amp; Activities'!$B$7:$B$193,0)),ws3_matching_error_msg,G277*IF(E277="Y",1,1-F277)*INDEX('2. Emissions Units &amp; Activities'!$G$7:$G$193,MATCH(B277,'2. Emissions Units &amp; Activities'!$B$7:$B$193,0))))</f>
        <v>2.2849858823529408</v>
      </c>
      <c r="K277" s="85">
        <f t="shared" si="8"/>
        <v>3.2865682451579512E-5</v>
      </c>
      <c r="L277" s="85">
        <f>IF(B277="",IF(CONCATENATE(C277,D277,E277,F277,G277,H277,I277)="","",ws3_EU_ID_blank),IF(ISERROR(MATCH(B277,'2. Emissions Units &amp; Activities'!$B$7:$B$193,0)),ws3_matching_error_msg,G277*IF(E277="Y",1,1-F277)*INDEX('2. Emissions Units &amp; Activities'!$J$7:$J$193,MATCH(B277,'2. Emissions Units &amp; Activities'!$B$7:$B$193,0))))</f>
        <v>6.2602352941176463E-3</v>
      </c>
      <c r="M277" s="509">
        <f t="shared" si="9"/>
        <v>3.2865682451579512E-5</v>
      </c>
      <c r="N277" s="284"/>
    </row>
    <row r="278" spans="1:14" ht="15.75" x14ac:dyDescent="0.25">
      <c r="A278" s="86"/>
      <c r="B278" s="508" t="s">
        <v>56</v>
      </c>
      <c r="C278" s="339" t="s">
        <v>283</v>
      </c>
      <c r="D278" s="340" t="s">
        <v>284</v>
      </c>
      <c r="E278" s="339" t="s">
        <v>214</v>
      </c>
      <c r="F278" s="341">
        <v>0</v>
      </c>
      <c r="G278" s="339">
        <v>2.3E-3</v>
      </c>
      <c r="H278" s="339" t="s">
        <v>223</v>
      </c>
      <c r="I278" s="339" t="s">
        <v>272</v>
      </c>
      <c r="J278" s="85">
        <f>IF(B278="",IF(CONCATENATE(C278,D278,E278,F278,G278,H278,I278)="","",ws3_EU_ID_blank),IF(ISERROR(MATCH(B278,'2. Emissions Units &amp; Activities'!$B$7:$B$193,0)),ws3_matching_error_msg,G278*IF(E278="Y",1,1-F278)*INDEX('2. Emissions Units &amp; Activities'!$G$7:$G$193,MATCH(B278,'2. Emissions Units &amp; Activities'!$B$7:$B$193,0))))</f>
        <v>0.1983195294117647</v>
      </c>
      <c r="K278" s="85">
        <f t="shared" si="8"/>
        <v>2.8524931939106756E-6</v>
      </c>
      <c r="L278" s="85">
        <f>IF(B278="",IF(CONCATENATE(C278,D278,E278,F278,G278,H278,I278)="","",ws3_EU_ID_blank),IF(ISERROR(MATCH(B278,'2. Emissions Units &amp; Activities'!$B$7:$B$193,0)),ws3_matching_error_msg,G278*IF(E278="Y",1,1-F278)*INDEX('2. Emissions Units &amp; Activities'!$J$7:$J$193,MATCH(B278,'2. Emissions Units &amp; Activities'!$B$7:$B$193,0))))</f>
        <v>5.4334117647058817E-4</v>
      </c>
      <c r="M278" s="509">
        <f t="shared" si="9"/>
        <v>2.8524931939106752E-6</v>
      </c>
      <c r="N278" s="284"/>
    </row>
    <row r="279" spans="1:14" ht="15.75" x14ac:dyDescent="0.25">
      <c r="A279" s="86"/>
      <c r="B279" s="508" t="s">
        <v>56</v>
      </c>
      <c r="C279" s="339" t="s">
        <v>269</v>
      </c>
      <c r="D279" s="340" t="s">
        <v>270</v>
      </c>
      <c r="E279" s="339" t="s">
        <v>214</v>
      </c>
      <c r="F279" s="341">
        <v>0</v>
      </c>
      <c r="G279" s="339">
        <v>1.9699999999999999E-2</v>
      </c>
      <c r="H279" s="339" t="s">
        <v>223</v>
      </c>
      <c r="I279" s="339" t="s">
        <v>272</v>
      </c>
      <c r="J279" s="85">
        <f>IF(B279="",IF(CONCATENATE(C279,D279,E279,F279,G279,H279,I279)="","",ws3_EU_ID_blank),IF(ISERROR(MATCH(B279,'2. Emissions Units &amp; Activities'!$B$7:$B$193,0)),ws3_matching_error_msg,G279*IF(E279="Y",1,1-F279)*INDEX('2. Emissions Units &amp; Activities'!$G$7:$G$193,MATCH(B279,'2. Emissions Units &amp; Activities'!$B$7:$B$193,0))))</f>
        <v>1.698649882352941</v>
      </c>
      <c r="K279" s="85">
        <f t="shared" si="8"/>
        <v>2.4432224313061001E-5</v>
      </c>
      <c r="L279" s="85">
        <f>IF(B279="",IF(CONCATENATE(C279,D279,E279,F279,G279,H279,I279)="","",ws3_EU_ID_blank),IF(ISERROR(MATCH(B279,'2. Emissions Units &amp; Activities'!$B$7:$B$193,0)),ws3_matching_error_msg,G279*IF(E279="Y",1,1-F279)*INDEX('2. Emissions Units &amp; Activities'!$J$7:$J$193,MATCH(B279,'2. Emissions Units &amp; Activities'!$B$7:$B$193,0))))</f>
        <v>4.6538352941176463E-3</v>
      </c>
      <c r="M279" s="509">
        <f t="shared" si="9"/>
        <v>2.4432224313061001E-5</v>
      </c>
      <c r="N279" s="284"/>
    </row>
    <row r="280" spans="1:14" ht="15.75" x14ac:dyDescent="0.25">
      <c r="A280" s="86"/>
      <c r="B280" s="508" t="s">
        <v>56</v>
      </c>
      <c r="C280" s="339" t="s">
        <v>285</v>
      </c>
      <c r="D280" s="340" t="s">
        <v>286</v>
      </c>
      <c r="E280" s="339" t="s">
        <v>214</v>
      </c>
      <c r="F280" s="341">
        <v>0</v>
      </c>
      <c r="G280" s="339">
        <v>2.9000000000000001E-2</v>
      </c>
      <c r="H280" s="339" t="s">
        <v>223</v>
      </c>
      <c r="I280" s="339" t="s">
        <v>272</v>
      </c>
      <c r="J280" s="85">
        <f>IF(B280="",IF(CONCATENATE(C280,D280,E280,F280,G280,H280,I280)="","",ws3_EU_ID_blank),IF(ISERROR(MATCH(B280,'2. Emissions Units &amp; Activities'!$B$7:$B$193,0)),ws3_matching_error_msg,G280*IF(E280="Y",1,1-F280)*INDEX('2. Emissions Units &amp; Activities'!$G$7:$G$193,MATCH(B280,'2. Emissions Units &amp; Activities'!$B$7:$B$193,0))))</f>
        <v>2.5005505882352939</v>
      </c>
      <c r="K280" s="85">
        <f t="shared" si="8"/>
        <v>3.5966218531917213E-5</v>
      </c>
      <c r="L280" s="85">
        <f>IF(B280="",IF(CONCATENATE(C280,D280,E280,F280,G280,H280,I280)="","",ws3_EU_ID_blank),IF(ISERROR(MATCH(B280,'2. Emissions Units &amp; Activities'!$B$7:$B$193,0)),ws3_matching_error_msg,G280*IF(E280="Y",1,1-F280)*INDEX('2. Emissions Units &amp; Activities'!$J$7:$J$193,MATCH(B280,'2. Emissions Units &amp; Activities'!$B$7:$B$193,0))))</f>
        <v>6.8508235294117642E-3</v>
      </c>
      <c r="M280" s="509">
        <f t="shared" si="9"/>
        <v>3.5966218531917206E-5</v>
      </c>
      <c r="N280" s="284"/>
    </row>
    <row r="281" spans="1:14" ht="15.75" x14ac:dyDescent="0.25">
      <c r="A281" s="86"/>
      <c r="B281" s="508" t="s">
        <v>57</v>
      </c>
      <c r="C281" s="339" t="s">
        <v>221</v>
      </c>
      <c r="D281" s="340" t="s">
        <v>222</v>
      </c>
      <c r="E281" s="339" t="s">
        <v>214</v>
      </c>
      <c r="F281" s="341">
        <v>0</v>
      </c>
      <c r="G281" s="339">
        <v>5.7999999999999996E-3</v>
      </c>
      <c r="H281" s="339" t="s">
        <v>223</v>
      </c>
      <c r="I281" s="339" t="s">
        <v>272</v>
      </c>
      <c r="J281" s="85">
        <f>IF(B281="",IF(CONCATENATE(C281,D281,E281,F281,G281,H281,I281)="","",ws3_EU_ID_blank),IF(ISERROR(MATCH(B281,'2. Emissions Units &amp; Activities'!$B$7:$B$193,0)),ws3_matching_error_msg,G281*IF(E281="Y",1,1-F281)*INDEX('2. Emissions Units &amp; Activities'!$G$7:$G$193,MATCH(B281,'2. Emissions Units &amp; Activities'!$B$7:$B$193,0))))</f>
        <v>1.4590364</v>
      </c>
      <c r="K281" s="85">
        <f t="shared" si="8"/>
        <v>2.098578699239815E-5</v>
      </c>
      <c r="L281" s="85">
        <f>IF(B281="",IF(CONCATENATE(C281,D281,E281,F281,G281,H281,I281)="","",ws3_EU_ID_blank),IF(ISERROR(MATCH(B281,'2. Emissions Units &amp; Activities'!$B$7:$B$193,0)),ws3_matching_error_msg,G281*IF(E281="Y",1,1-F281)*INDEX('2. Emissions Units &amp; Activities'!$J$7:$J$193,MATCH(B281,'2. Emissions Units &amp; Activities'!$B$7:$B$193,0))))</f>
        <v>3.9973600000000001E-3</v>
      </c>
      <c r="M281" s="509">
        <f t="shared" si="9"/>
        <v>2.0985786992398153E-5</v>
      </c>
      <c r="N281" s="284"/>
    </row>
    <row r="282" spans="1:14" ht="15.75" x14ac:dyDescent="0.25">
      <c r="A282" s="86"/>
      <c r="B282" s="508" t="s">
        <v>57</v>
      </c>
      <c r="C282" s="339" t="s">
        <v>237</v>
      </c>
      <c r="D282" s="340" t="s">
        <v>238</v>
      </c>
      <c r="E282" s="339" t="s">
        <v>214</v>
      </c>
      <c r="F282" s="341">
        <v>0</v>
      </c>
      <c r="G282" s="339">
        <v>1.23E-2</v>
      </c>
      <c r="H282" s="339" t="s">
        <v>223</v>
      </c>
      <c r="I282" s="339" t="s">
        <v>272</v>
      </c>
      <c r="J282" s="85">
        <f>IF(B282="",IF(CONCATENATE(C282,D282,E282,F282,G282,H282,I282)="","",ws3_EU_ID_blank),IF(ISERROR(MATCH(B282,'2. Emissions Units &amp; Activities'!$B$7:$B$193,0)),ws3_matching_error_msg,G282*IF(E282="Y",1,1-F282)*INDEX('2. Emissions Units &amp; Activities'!$G$7:$G$193,MATCH(B282,'2. Emissions Units &amp; Activities'!$B$7:$B$193,0))))</f>
        <v>3.0941634000000002</v>
      </c>
      <c r="K282" s="85">
        <f t="shared" si="8"/>
        <v>4.4504341380430563E-5</v>
      </c>
      <c r="L282" s="85">
        <f>IF(B282="",IF(CONCATENATE(C282,D282,E282,F282,G282,H282,I282)="","",ws3_EU_ID_blank),IF(ISERROR(MATCH(B282,'2. Emissions Units &amp; Activities'!$B$7:$B$193,0)),ws3_matching_error_msg,G282*IF(E282="Y",1,1-F282)*INDEX('2. Emissions Units &amp; Activities'!$J$7:$J$193,MATCH(B282,'2. Emissions Units &amp; Activities'!$B$7:$B$193,0))))</f>
        <v>8.4771600000000009E-3</v>
      </c>
      <c r="M282" s="509">
        <f t="shared" si="9"/>
        <v>4.4504341380430563E-5</v>
      </c>
      <c r="N282" s="284"/>
    </row>
    <row r="283" spans="1:14" ht="15.75" x14ac:dyDescent="0.25">
      <c r="A283" s="86"/>
      <c r="B283" s="508" t="s">
        <v>57</v>
      </c>
      <c r="C283" s="339">
        <v>401</v>
      </c>
      <c r="D283" s="340" t="s">
        <v>246</v>
      </c>
      <c r="E283" s="339" t="s">
        <v>214</v>
      </c>
      <c r="F283" s="341">
        <v>0</v>
      </c>
      <c r="G283" s="339">
        <v>1E-4</v>
      </c>
      <c r="H283" s="339" t="s">
        <v>223</v>
      </c>
      <c r="I283" s="339" t="s">
        <v>272</v>
      </c>
      <c r="J283" s="85">
        <f>IF(B283="",IF(CONCATENATE(C283,D283,E283,F283,G283,H283,I283)="","",ws3_EU_ID_blank),IF(ISERROR(MATCH(B283,'2. Emissions Units &amp; Activities'!$B$7:$B$193,0)),ws3_matching_error_msg,G283*IF(E283="Y",1,1-F283)*INDEX('2. Emissions Units &amp; Activities'!$G$7:$G$193,MATCH(B283,'2. Emissions Units &amp; Activities'!$B$7:$B$193,0))))</f>
        <v>2.5155800000000002E-2</v>
      </c>
      <c r="K283" s="85">
        <f t="shared" si="8"/>
        <v>3.6182391366203709E-7</v>
      </c>
      <c r="L283" s="85">
        <f>IF(B283="",IF(CONCATENATE(C283,D283,E283,F283,G283,H283,I283)="","",ws3_EU_ID_blank),IF(ISERROR(MATCH(B283,'2. Emissions Units &amp; Activities'!$B$7:$B$193,0)),ws3_matching_error_msg,G283*IF(E283="Y",1,1-F283)*INDEX('2. Emissions Units &amp; Activities'!$J$7:$J$193,MATCH(B283,'2. Emissions Units &amp; Activities'!$B$7:$B$193,0))))</f>
        <v>6.8920000000000011E-5</v>
      </c>
      <c r="M283" s="509">
        <f t="shared" si="9"/>
        <v>3.6182391366203709E-7</v>
      </c>
      <c r="N283" s="284"/>
    </row>
    <row r="284" spans="1:14" ht="15.75" x14ac:dyDescent="0.25">
      <c r="A284" s="86"/>
      <c r="B284" s="508" t="s">
        <v>57</v>
      </c>
      <c r="C284" s="339" t="s">
        <v>273</v>
      </c>
      <c r="D284" s="340" t="s">
        <v>274</v>
      </c>
      <c r="E284" s="339" t="s">
        <v>214</v>
      </c>
      <c r="F284" s="341">
        <v>0</v>
      </c>
      <c r="G284" s="339">
        <v>1.1999999999999999E-6</v>
      </c>
      <c r="H284" s="339" t="s">
        <v>223</v>
      </c>
      <c r="I284" s="339" t="s">
        <v>272</v>
      </c>
      <c r="J284" s="85">
        <f>IF(B284="",IF(CONCATENATE(C284,D284,E284,F284,G284,H284,I284)="","",ws3_EU_ID_blank),IF(ISERROR(MATCH(B284,'2. Emissions Units &amp; Activities'!$B$7:$B$193,0)),ws3_matching_error_msg,G284*IF(E284="Y",1,1-F284)*INDEX('2. Emissions Units &amp; Activities'!$G$7:$G$193,MATCH(B284,'2. Emissions Units &amp; Activities'!$B$7:$B$193,0))))</f>
        <v>3.0186960000000001E-4</v>
      </c>
      <c r="K284" s="85">
        <f t="shared" si="8"/>
        <v>4.3418869639444458E-9</v>
      </c>
      <c r="L284" s="85">
        <f>IF(B284="",IF(CONCATENATE(C284,D284,E284,F284,G284,H284,I284)="","",ws3_EU_ID_blank),IF(ISERROR(MATCH(B284,'2. Emissions Units &amp; Activities'!$B$7:$B$193,0)),ws3_matching_error_msg,G284*IF(E284="Y",1,1-F284)*INDEX('2. Emissions Units &amp; Activities'!$J$7:$J$193,MATCH(B284,'2. Emissions Units &amp; Activities'!$B$7:$B$193,0))))</f>
        <v>8.2704000000000003E-7</v>
      </c>
      <c r="M284" s="509">
        <f t="shared" si="9"/>
        <v>4.341886963944445E-9</v>
      </c>
      <c r="N284" s="284"/>
    </row>
    <row r="285" spans="1:14" ht="15.75" x14ac:dyDescent="0.25">
      <c r="A285" s="86"/>
      <c r="B285" s="508" t="s">
        <v>57</v>
      </c>
      <c r="C285" s="339" t="s">
        <v>244</v>
      </c>
      <c r="D285" s="340" t="s">
        <v>245</v>
      </c>
      <c r="E285" s="339" t="s">
        <v>214</v>
      </c>
      <c r="F285" s="341">
        <v>0</v>
      </c>
      <c r="G285" s="339">
        <v>2.9999999999999997E-4</v>
      </c>
      <c r="H285" s="339" t="s">
        <v>223</v>
      </c>
      <c r="I285" s="339" t="s">
        <v>272</v>
      </c>
      <c r="J285" s="85">
        <f>IF(B285="",IF(CONCATENATE(C285,D285,E285,F285,G285,H285,I285)="","",ws3_EU_ID_blank),IF(ISERROR(MATCH(B285,'2. Emissions Units &amp; Activities'!$B$7:$B$193,0)),ws3_matching_error_msg,G285*IF(E285="Y",1,1-F285)*INDEX('2. Emissions Units &amp; Activities'!$G$7:$G$193,MATCH(B285,'2. Emissions Units &amp; Activities'!$B$7:$B$193,0))))</f>
        <v>7.5467400000000004E-2</v>
      </c>
      <c r="K285" s="85">
        <f t="shared" si="8"/>
        <v>1.0854717409861111E-6</v>
      </c>
      <c r="L285" s="85">
        <f>IF(B285="",IF(CONCATENATE(C285,D285,E285,F285,G285,H285,I285)="","",ws3_EU_ID_blank),IF(ISERROR(MATCH(B285,'2. Emissions Units &amp; Activities'!$B$7:$B$193,0)),ws3_matching_error_msg,G285*IF(E285="Y",1,1-F285)*INDEX('2. Emissions Units &amp; Activities'!$J$7:$J$193,MATCH(B285,'2. Emissions Units &amp; Activities'!$B$7:$B$193,0))))</f>
        <v>2.0676000000000001E-4</v>
      </c>
      <c r="M285" s="509">
        <f t="shared" si="9"/>
        <v>1.0854717409861111E-6</v>
      </c>
      <c r="N285" s="284"/>
    </row>
    <row r="286" spans="1:14" ht="15.75" x14ac:dyDescent="0.25">
      <c r="A286" s="86"/>
      <c r="B286" s="508" t="s">
        <v>57</v>
      </c>
      <c r="C286" s="339" t="s">
        <v>247</v>
      </c>
      <c r="D286" s="340" t="s">
        <v>248</v>
      </c>
      <c r="E286" s="339" t="s">
        <v>214</v>
      </c>
      <c r="F286" s="341">
        <v>0</v>
      </c>
      <c r="G286" s="339">
        <v>3.0999999999999999E-3</v>
      </c>
      <c r="H286" s="339" t="s">
        <v>223</v>
      </c>
      <c r="I286" s="339" t="s">
        <v>272</v>
      </c>
      <c r="J286" s="85">
        <f>IF(B286="",IF(CONCATENATE(C286,D286,E286,F286,G286,H286,I286)="","",ws3_EU_ID_blank),IF(ISERROR(MATCH(B286,'2. Emissions Units &amp; Activities'!$B$7:$B$193,0)),ws3_matching_error_msg,G286*IF(E286="Y",1,1-F286)*INDEX('2. Emissions Units &amp; Activities'!$G$7:$G$193,MATCH(B286,'2. Emissions Units &amp; Activities'!$B$7:$B$193,0))))</f>
        <v>0.77982980000000002</v>
      </c>
      <c r="K286" s="85">
        <f t="shared" si="8"/>
        <v>1.1216541323523149E-5</v>
      </c>
      <c r="L286" s="85">
        <f>IF(B286="",IF(CONCATENATE(C286,D286,E286,F286,G286,H286,I286)="","",ws3_EU_ID_blank),IF(ISERROR(MATCH(B286,'2. Emissions Units &amp; Activities'!$B$7:$B$193,0)),ws3_matching_error_msg,G286*IF(E286="Y",1,1-F286)*INDEX('2. Emissions Units &amp; Activities'!$J$7:$J$193,MATCH(B286,'2. Emissions Units &amp; Activities'!$B$7:$B$193,0))))</f>
        <v>2.1365199999999998E-3</v>
      </c>
      <c r="M286" s="509">
        <f t="shared" si="9"/>
        <v>1.1216541323523147E-5</v>
      </c>
      <c r="N286" s="284"/>
    </row>
    <row r="287" spans="1:14" ht="15.75" x14ac:dyDescent="0.25">
      <c r="A287" s="86"/>
      <c r="B287" s="508" t="s">
        <v>57</v>
      </c>
      <c r="C287" s="339" t="s">
        <v>249</v>
      </c>
      <c r="D287" s="340" t="s">
        <v>250</v>
      </c>
      <c r="E287" s="339" t="s">
        <v>214</v>
      </c>
      <c r="F287" s="341">
        <v>0</v>
      </c>
      <c r="G287" s="339">
        <v>2.7000000000000001E-3</v>
      </c>
      <c r="H287" s="339" t="s">
        <v>223</v>
      </c>
      <c r="I287" s="339" t="s">
        <v>272</v>
      </c>
      <c r="J287" s="85">
        <f>IF(B287="",IF(CONCATENATE(C287,D287,E287,F287,G287,H287,I287)="","",ws3_EU_ID_blank),IF(ISERROR(MATCH(B287,'2. Emissions Units &amp; Activities'!$B$7:$B$193,0)),ws3_matching_error_msg,G287*IF(E287="Y",1,1-F287)*INDEX('2. Emissions Units &amp; Activities'!$G$7:$G$193,MATCH(B287,'2. Emissions Units &amp; Activities'!$B$7:$B$193,0))))</f>
        <v>0.6792066000000001</v>
      </c>
      <c r="K287" s="85">
        <f t="shared" si="8"/>
        <v>9.7692456688750025E-6</v>
      </c>
      <c r="L287" s="85">
        <f>IF(B287="",IF(CONCATENATE(C287,D287,E287,F287,G287,H287,I287)="","",ws3_EU_ID_blank),IF(ISERROR(MATCH(B287,'2. Emissions Units &amp; Activities'!$B$7:$B$193,0)),ws3_matching_error_msg,G287*IF(E287="Y",1,1-F287)*INDEX('2. Emissions Units &amp; Activities'!$J$7:$J$193,MATCH(B287,'2. Emissions Units &amp; Activities'!$B$7:$B$193,0))))</f>
        <v>1.8608400000000001E-3</v>
      </c>
      <c r="M287" s="509">
        <f t="shared" si="9"/>
        <v>9.7692456688750008E-6</v>
      </c>
      <c r="N287" s="284"/>
    </row>
    <row r="288" spans="1:14" ht="15.75" x14ac:dyDescent="0.25">
      <c r="A288" s="86"/>
      <c r="B288" s="508" t="s">
        <v>57</v>
      </c>
      <c r="C288" s="339" t="s">
        <v>251</v>
      </c>
      <c r="D288" s="340" t="s">
        <v>252</v>
      </c>
      <c r="E288" s="339" t="s">
        <v>214</v>
      </c>
      <c r="F288" s="341">
        <v>0</v>
      </c>
      <c r="G288" s="339">
        <v>3.2</v>
      </c>
      <c r="H288" s="339" t="s">
        <v>223</v>
      </c>
      <c r="I288" s="339" t="s">
        <v>272</v>
      </c>
      <c r="J288" s="85">
        <f>IF(B288="",IF(CONCATENATE(C288,D288,E288,F288,G288,H288,I288)="","",ws3_EU_ID_blank),IF(ISERROR(MATCH(B288,'2. Emissions Units &amp; Activities'!$B$7:$B$193,0)),ws3_matching_error_msg,G288*IF(E288="Y",1,1-F288)*INDEX('2. Emissions Units &amp; Activities'!$G$7:$G$193,MATCH(B288,'2. Emissions Units &amp; Activities'!$B$7:$B$193,0))))</f>
        <v>804.98560000000009</v>
      </c>
      <c r="K288" s="85">
        <f t="shared" si="8"/>
        <v>1.1578365237185187E-2</v>
      </c>
      <c r="L288" s="85">
        <f>IF(B288="",IF(CONCATENATE(C288,D288,E288,F288,G288,H288,I288)="","",ws3_EU_ID_blank),IF(ISERROR(MATCH(B288,'2. Emissions Units &amp; Activities'!$B$7:$B$193,0)),ws3_matching_error_msg,G288*IF(E288="Y",1,1-F288)*INDEX('2. Emissions Units &amp; Activities'!$J$7:$J$193,MATCH(B288,'2. Emissions Units &amp; Activities'!$B$7:$B$193,0))))</f>
        <v>2.2054400000000003</v>
      </c>
      <c r="M288" s="509">
        <f t="shared" si="9"/>
        <v>1.1578365237185187E-2</v>
      </c>
      <c r="N288" s="284"/>
    </row>
    <row r="289" spans="1:14" ht="15.75" x14ac:dyDescent="0.25">
      <c r="A289" s="86"/>
      <c r="B289" s="508" t="s">
        <v>57</v>
      </c>
      <c r="C289" s="339" t="s">
        <v>218</v>
      </c>
      <c r="D289" s="340" t="s">
        <v>219</v>
      </c>
      <c r="E289" s="339" t="s">
        <v>214</v>
      </c>
      <c r="F289" s="341">
        <v>0</v>
      </c>
      <c r="G289" s="339">
        <v>2.0000000000000001E-4</v>
      </c>
      <c r="H289" s="339" t="s">
        <v>223</v>
      </c>
      <c r="I289" s="339" t="s">
        <v>272</v>
      </c>
      <c r="J289" s="85">
        <f>IF(B289="",IF(CONCATENATE(C289,D289,E289,F289,G289,H289,I289)="","",ws3_EU_ID_blank),IF(ISERROR(MATCH(B289,'2. Emissions Units &amp; Activities'!$B$7:$B$193,0)),ws3_matching_error_msg,G289*IF(E289="Y",1,1-F289)*INDEX('2. Emissions Units &amp; Activities'!$G$7:$G$193,MATCH(B289,'2. Emissions Units &amp; Activities'!$B$7:$B$193,0))))</f>
        <v>5.0311600000000005E-2</v>
      </c>
      <c r="K289" s="85">
        <f t="shared" si="8"/>
        <v>7.2364782732407417E-7</v>
      </c>
      <c r="L289" s="85">
        <f>IF(B289="",IF(CONCATENATE(C289,D289,E289,F289,G289,H289,I289)="","",ws3_EU_ID_blank),IF(ISERROR(MATCH(B289,'2. Emissions Units &amp; Activities'!$B$7:$B$193,0)),ws3_matching_error_msg,G289*IF(E289="Y",1,1-F289)*INDEX('2. Emissions Units &amp; Activities'!$J$7:$J$193,MATCH(B289,'2. Emissions Units &amp; Activities'!$B$7:$B$193,0))))</f>
        <v>1.3784000000000002E-4</v>
      </c>
      <c r="M289" s="509">
        <f t="shared" si="9"/>
        <v>7.2364782732407417E-7</v>
      </c>
      <c r="N289" s="284"/>
    </row>
    <row r="290" spans="1:14" ht="15.75" x14ac:dyDescent="0.25">
      <c r="A290" s="86"/>
      <c r="B290" s="508" t="s">
        <v>57</v>
      </c>
      <c r="C290" s="339" t="s">
        <v>275</v>
      </c>
      <c r="D290" s="340" t="s">
        <v>276</v>
      </c>
      <c r="E290" s="339" t="s">
        <v>214</v>
      </c>
      <c r="F290" s="341">
        <v>0</v>
      </c>
      <c r="G290" s="339">
        <v>4.4000000000000003E-3</v>
      </c>
      <c r="H290" s="339" t="s">
        <v>223</v>
      </c>
      <c r="I290" s="339" t="s">
        <v>272</v>
      </c>
      <c r="J290" s="85">
        <f>IF(B290="",IF(CONCATENATE(C290,D290,E290,F290,G290,H290,I290)="","",ws3_EU_ID_blank),IF(ISERROR(MATCH(B290,'2. Emissions Units &amp; Activities'!$B$7:$B$193,0)),ws3_matching_error_msg,G290*IF(E290="Y",1,1-F290)*INDEX('2. Emissions Units &amp; Activities'!$G$7:$G$193,MATCH(B290,'2. Emissions Units &amp; Activities'!$B$7:$B$193,0))))</f>
        <v>1.1068552000000003</v>
      </c>
      <c r="K290" s="85">
        <f t="shared" si="8"/>
        <v>1.5920252201129633E-5</v>
      </c>
      <c r="L290" s="85">
        <f>IF(B290="",IF(CONCATENATE(C290,D290,E290,F290,G290,H290,I290)="","",ws3_EU_ID_blank),IF(ISERROR(MATCH(B290,'2. Emissions Units &amp; Activities'!$B$7:$B$193,0)),ws3_matching_error_msg,G290*IF(E290="Y",1,1-F290)*INDEX('2. Emissions Units &amp; Activities'!$J$7:$J$193,MATCH(B290,'2. Emissions Units &amp; Activities'!$B$7:$B$193,0))))</f>
        <v>3.0324800000000002E-3</v>
      </c>
      <c r="M290" s="509">
        <f t="shared" si="9"/>
        <v>1.5920252201129633E-5</v>
      </c>
      <c r="N290" s="284"/>
    </row>
    <row r="291" spans="1:14" ht="15.75" x14ac:dyDescent="0.25">
      <c r="A291" s="86"/>
      <c r="B291" s="508" t="s">
        <v>57</v>
      </c>
      <c r="C291" s="339" t="s">
        <v>277</v>
      </c>
      <c r="D291" s="340" t="s">
        <v>278</v>
      </c>
      <c r="E291" s="339" t="s">
        <v>214</v>
      </c>
      <c r="F291" s="341">
        <v>0</v>
      </c>
      <c r="G291" s="339">
        <v>1.2E-5</v>
      </c>
      <c r="H291" s="339" t="s">
        <v>223</v>
      </c>
      <c r="I291" s="339" t="s">
        <v>272</v>
      </c>
      <c r="J291" s="85">
        <f>IF(B291="",IF(CONCATENATE(C291,D291,E291,F291,G291,H291,I291)="","",ws3_EU_ID_blank),IF(ISERROR(MATCH(B291,'2. Emissions Units &amp; Activities'!$B$7:$B$193,0)),ws3_matching_error_msg,G291*IF(E291="Y",1,1-F291)*INDEX('2. Emissions Units &amp; Activities'!$G$7:$G$193,MATCH(B291,'2. Emissions Units &amp; Activities'!$B$7:$B$193,0))))</f>
        <v>3.0186960000000004E-3</v>
      </c>
      <c r="K291" s="85">
        <f t="shared" si="8"/>
        <v>4.341886963944445E-8</v>
      </c>
      <c r="L291" s="85">
        <f>IF(B291="",IF(CONCATENATE(C291,D291,E291,F291,G291,H291,I291)="","",ws3_EU_ID_blank),IF(ISERROR(MATCH(B291,'2. Emissions Units &amp; Activities'!$B$7:$B$193,0)),ws3_matching_error_msg,G291*IF(E291="Y",1,1-F291)*INDEX('2. Emissions Units &amp; Activities'!$J$7:$J$193,MATCH(B291,'2. Emissions Units &amp; Activities'!$B$7:$B$193,0))))</f>
        <v>8.2704000000000013E-6</v>
      </c>
      <c r="M291" s="509">
        <f t="shared" si="9"/>
        <v>4.3418869639444456E-8</v>
      </c>
      <c r="N291" s="284"/>
    </row>
    <row r="292" spans="1:14" ht="15.75" x14ac:dyDescent="0.25">
      <c r="A292" s="86"/>
      <c r="B292" s="508" t="s">
        <v>57</v>
      </c>
      <c r="C292" s="339" t="s">
        <v>235</v>
      </c>
      <c r="D292" s="340" t="s">
        <v>236</v>
      </c>
      <c r="E292" s="339" t="s">
        <v>214</v>
      </c>
      <c r="F292" s="341">
        <v>0</v>
      </c>
      <c r="G292" s="339">
        <v>1.1000000000000001E-3</v>
      </c>
      <c r="H292" s="339" t="s">
        <v>223</v>
      </c>
      <c r="I292" s="339" t="s">
        <v>272</v>
      </c>
      <c r="J292" s="85">
        <f>IF(B292="",IF(CONCATENATE(C292,D292,E292,F292,G292,H292,I292)="","",ws3_EU_ID_blank),IF(ISERROR(MATCH(B292,'2. Emissions Units &amp; Activities'!$B$7:$B$193,0)),ws3_matching_error_msg,G292*IF(E292="Y",1,1-F292)*INDEX('2. Emissions Units &amp; Activities'!$G$7:$G$193,MATCH(B292,'2. Emissions Units &amp; Activities'!$B$7:$B$193,0))))</f>
        <v>0.27671380000000007</v>
      </c>
      <c r="K292" s="85">
        <f t="shared" si="8"/>
        <v>3.9800630502824082E-6</v>
      </c>
      <c r="L292" s="85">
        <f>IF(B292="",IF(CONCATENATE(C292,D292,E292,F292,G292,H292,I292)="","",ws3_EU_ID_blank),IF(ISERROR(MATCH(B292,'2. Emissions Units &amp; Activities'!$B$7:$B$193,0)),ws3_matching_error_msg,G292*IF(E292="Y",1,1-F292)*INDEX('2. Emissions Units &amp; Activities'!$J$7:$J$193,MATCH(B292,'2. Emissions Units &amp; Activities'!$B$7:$B$193,0))))</f>
        <v>7.5812000000000004E-4</v>
      </c>
      <c r="M292" s="509">
        <f t="shared" si="9"/>
        <v>3.9800630502824082E-6</v>
      </c>
      <c r="N292" s="284"/>
    </row>
    <row r="293" spans="1:14" ht="15.75" x14ac:dyDescent="0.25">
      <c r="A293" s="86"/>
      <c r="B293" s="508" t="s">
        <v>57</v>
      </c>
      <c r="C293" s="339" t="s">
        <v>239</v>
      </c>
      <c r="D293" s="340" t="s">
        <v>240</v>
      </c>
      <c r="E293" s="339" t="s">
        <v>214</v>
      </c>
      <c r="F293" s="341">
        <v>0</v>
      </c>
      <c r="G293" s="339">
        <v>1.4E-3</v>
      </c>
      <c r="H293" s="339" t="s">
        <v>223</v>
      </c>
      <c r="I293" s="339" t="s">
        <v>272</v>
      </c>
      <c r="J293" s="85">
        <f>IF(B293="",IF(CONCATENATE(C293,D293,E293,F293,G293,H293,I293)="","",ws3_EU_ID_blank),IF(ISERROR(MATCH(B293,'2. Emissions Units &amp; Activities'!$B$7:$B$193,0)),ws3_matching_error_msg,G293*IF(E293="Y",1,1-F293)*INDEX('2. Emissions Units &amp; Activities'!$G$7:$G$193,MATCH(B293,'2. Emissions Units &amp; Activities'!$B$7:$B$193,0))))</f>
        <v>0.35218120000000003</v>
      </c>
      <c r="K293" s="85">
        <f t="shared" si="8"/>
        <v>5.0655347912685193E-6</v>
      </c>
      <c r="L293" s="85">
        <f>IF(B293="",IF(CONCATENATE(C293,D293,E293,F293,G293,H293,I293)="","",ws3_EU_ID_blank),IF(ISERROR(MATCH(B293,'2. Emissions Units &amp; Activities'!$B$7:$B$193,0)),ws3_matching_error_msg,G293*IF(E293="Y",1,1-F293)*INDEX('2. Emissions Units &amp; Activities'!$J$7:$J$193,MATCH(B293,'2. Emissions Units &amp; Activities'!$B$7:$B$193,0))))</f>
        <v>9.6487999999999999E-4</v>
      </c>
      <c r="M293" s="509">
        <f t="shared" si="9"/>
        <v>5.0655347912685185E-6</v>
      </c>
      <c r="N293" s="284"/>
    </row>
    <row r="294" spans="1:14" ht="15.75" x14ac:dyDescent="0.25">
      <c r="A294" s="86"/>
      <c r="B294" s="508" t="s">
        <v>57</v>
      </c>
      <c r="C294" s="339" t="s">
        <v>279</v>
      </c>
      <c r="D294" s="340" t="s">
        <v>280</v>
      </c>
      <c r="E294" s="339" t="s">
        <v>214</v>
      </c>
      <c r="F294" s="341">
        <v>0</v>
      </c>
      <c r="G294" s="339">
        <v>8.3999999999999995E-5</v>
      </c>
      <c r="H294" s="339" t="s">
        <v>223</v>
      </c>
      <c r="I294" s="339" t="s">
        <v>272</v>
      </c>
      <c r="J294" s="85">
        <f>IF(B294="",IF(CONCATENATE(C294,D294,E294,F294,G294,H294,I294)="","",ws3_EU_ID_blank),IF(ISERROR(MATCH(B294,'2. Emissions Units &amp; Activities'!$B$7:$B$193,0)),ws3_matching_error_msg,G294*IF(E294="Y",1,1-F294)*INDEX('2. Emissions Units &amp; Activities'!$G$7:$G$193,MATCH(B294,'2. Emissions Units &amp; Activities'!$B$7:$B$193,0))))</f>
        <v>2.1130872000000002E-2</v>
      </c>
      <c r="K294" s="85">
        <f t="shared" si="8"/>
        <v>3.0393208747611113E-7</v>
      </c>
      <c r="L294" s="85">
        <f>IF(B294="",IF(CONCATENATE(C294,D294,E294,F294,G294,H294,I294)="","",ws3_EU_ID_blank),IF(ISERROR(MATCH(B294,'2. Emissions Units &amp; Activities'!$B$7:$B$193,0)),ws3_matching_error_msg,G294*IF(E294="Y",1,1-F294)*INDEX('2. Emissions Units &amp; Activities'!$J$7:$J$193,MATCH(B294,'2. Emissions Units &amp; Activities'!$B$7:$B$193,0))))</f>
        <v>5.7892800000000002E-5</v>
      </c>
      <c r="M294" s="509">
        <f t="shared" si="9"/>
        <v>3.0393208747611113E-7</v>
      </c>
      <c r="N294" s="284"/>
    </row>
    <row r="295" spans="1:14" ht="15.75" x14ac:dyDescent="0.25">
      <c r="A295" s="86"/>
      <c r="B295" s="508" t="s">
        <v>57</v>
      </c>
      <c r="C295" s="339" t="s">
        <v>253</v>
      </c>
      <c r="D295" s="340" t="s">
        <v>254</v>
      </c>
      <c r="E295" s="339" t="s">
        <v>214</v>
      </c>
      <c r="F295" s="341">
        <v>0</v>
      </c>
      <c r="G295" s="339">
        <v>8.4999999999999995E-4</v>
      </c>
      <c r="H295" s="339" t="s">
        <v>223</v>
      </c>
      <c r="I295" s="339" t="s">
        <v>272</v>
      </c>
      <c r="J295" s="85">
        <f>IF(B295="",IF(CONCATENATE(C295,D295,E295,F295,G295,H295,I295)="","",ws3_EU_ID_blank),IF(ISERROR(MATCH(B295,'2. Emissions Units &amp; Activities'!$B$7:$B$193,0)),ws3_matching_error_msg,G295*IF(E295="Y",1,1-F295)*INDEX('2. Emissions Units &amp; Activities'!$G$7:$G$193,MATCH(B295,'2. Emissions Units &amp; Activities'!$B$7:$B$193,0))))</f>
        <v>0.21382429999999999</v>
      </c>
      <c r="K295" s="85">
        <f t="shared" si="8"/>
        <v>3.0755032661273144E-6</v>
      </c>
      <c r="L295" s="85">
        <f>IF(B295="",IF(CONCATENATE(C295,D295,E295,F295,G295,H295,I295)="","",ws3_EU_ID_blank),IF(ISERROR(MATCH(B295,'2. Emissions Units &amp; Activities'!$B$7:$B$193,0)),ws3_matching_error_msg,G295*IF(E295="Y",1,1-F295)*INDEX('2. Emissions Units &amp; Activities'!$J$7:$J$193,MATCH(B295,'2. Emissions Units &amp; Activities'!$B$7:$B$193,0))))</f>
        <v>5.8582000000000003E-4</v>
      </c>
      <c r="M295" s="509">
        <f t="shared" si="9"/>
        <v>3.0755032661273148E-6</v>
      </c>
      <c r="N295" s="284"/>
    </row>
    <row r="296" spans="1:14" ht="15.75" x14ac:dyDescent="0.25">
      <c r="A296" s="86"/>
      <c r="B296" s="508" t="s">
        <v>57</v>
      </c>
      <c r="C296" s="339" t="s">
        <v>255</v>
      </c>
      <c r="D296" s="340" t="s">
        <v>256</v>
      </c>
      <c r="E296" s="339" t="s">
        <v>214</v>
      </c>
      <c r="F296" s="341">
        <v>0</v>
      </c>
      <c r="G296" s="339">
        <v>6.8999999999999999E-3</v>
      </c>
      <c r="H296" s="339" t="s">
        <v>223</v>
      </c>
      <c r="I296" s="339" t="s">
        <v>272</v>
      </c>
      <c r="J296" s="85">
        <f>IF(B296="",IF(CONCATENATE(C296,D296,E296,F296,G296,H296,I296)="","",ws3_EU_ID_blank),IF(ISERROR(MATCH(B296,'2. Emissions Units &amp; Activities'!$B$7:$B$193,0)),ws3_matching_error_msg,G296*IF(E296="Y",1,1-F296)*INDEX('2. Emissions Units &amp; Activities'!$G$7:$G$193,MATCH(B296,'2. Emissions Units &amp; Activities'!$B$7:$B$193,0))))</f>
        <v>1.7357502</v>
      </c>
      <c r="K296" s="85">
        <f t="shared" si="8"/>
        <v>2.4965850042680558E-5</v>
      </c>
      <c r="L296" s="85">
        <f>IF(B296="",IF(CONCATENATE(C296,D296,E296,F296,G296,H296,I296)="","",ws3_EU_ID_blank),IF(ISERROR(MATCH(B296,'2. Emissions Units &amp; Activities'!$B$7:$B$193,0)),ws3_matching_error_msg,G296*IF(E296="Y",1,1-F296)*INDEX('2. Emissions Units &amp; Activities'!$J$7:$J$193,MATCH(B296,'2. Emissions Units &amp; Activities'!$B$7:$B$193,0))))</f>
        <v>4.7554800000000003E-3</v>
      </c>
      <c r="M296" s="509">
        <f t="shared" si="9"/>
        <v>2.4965850042680558E-5</v>
      </c>
      <c r="N296" s="284"/>
    </row>
    <row r="297" spans="1:14" ht="15.75" x14ac:dyDescent="0.25">
      <c r="A297" s="86"/>
      <c r="B297" s="508" t="s">
        <v>57</v>
      </c>
      <c r="C297" s="339" t="s">
        <v>257</v>
      </c>
      <c r="D297" s="340" t="s">
        <v>258</v>
      </c>
      <c r="E297" s="339" t="s">
        <v>214</v>
      </c>
      <c r="F297" s="341">
        <v>0</v>
      </c>
      <c r="G297" s="339">
        <v>4.5999999999999999E-3</v>
      </c>
      <c r="H297" s="339" t="s">
        <v>223</v>
      </c>
      <c r="I297" s="339" t="s">
        <v>272</v>
      </c>
      <c r="J297" s="85">
        <f>IF(B297="",IF(CONCATENATE(C297,D297,E297,F297,G297,H297,I297)="","",ws3_EU_ID_blank),IF(ISERROR(MATCH(B297,'2. Emissions Units &amp; Activities'!$B$7:$B$193,0)),ws3_matching_error_msg,G297*IF(E297="Y",1,1-F297)*INDEX('2. Emissions Units &amp; Activities'!$G$7:$G$193,MATCH(B297,'2. Emissions Units &amp; Activities'!$B$7:$B$193,0))))</f>
        <v>1.1571668000000002</v>
      </c>
      <c r="K297" s="85">
        <f t="shared" si="8"/>
        <v>1.6643900028453709E-5</v>
      </c>
      <c r="L297" s="85">
        <f>IF(B297="",IF(CONCATENATE(C297,D297,E297,F297,G297,H297,I297)="","",ws3_EU_ID_blank),IF(ISERROR(MATCH(B297,'2. Emissions Units &amp; Activities'!$B$7:$B$193,0)),ws3_matching_error_msg,G297*IF(E297="Y",1,1-F297)*INDEX('2. Emissions Units &amp; Activities'!$J$7:$J$193,MATCH(B297,'2. Emissions Units &amp; Activities'!$B$7:$B$193,0))))</f>
        <v>3.1703199999999999E-3</v>
      </c>
      <c r="M297" s="509">
        <f t="shared" si="9"/>
        <v>1.6643900028453705E-5</v>
      </c>
      <c r="N297" s="284"/>
    </row>
    <row r="298" spans="1:14" ht="15.75" x14ac:dyDescent="0.25">
      <c r="A298" s="86"/>
      <c r="B298" s="508" t="s">
        <v>57</v>
      </c>
      <c r="C298" s="339" t="s">
        <v>241</v>
      </c>
      <c r="D298" s="340" t="s">
        <v>242</v>
      </c>
      <c r="E298" s="339" t="s">
        <v>214</v>
      </c>
      <c r="F298" s="341">
        <v>0</v>
      </c>
      <c r="G298" s="339">
        <v>5.0000000000000001E-4</v>
      </c>
      <c r="H298" s="339" t="s">
        <v>223</v>
      </c>
      <c r="I298" s="339" t="s">
        <v>272</v>
      </c>
      <c r="J298" s="85">
        <f>IF(B298="",IF(CONCATENATE(C298,D298,E298,F298,G298,H298,I298)="","",ws3_EU_ID_blank),IF(ISERROR(MATCH(B298,'2. Emissions Units &amp; Activities'!$B$7:$B$193,0)),ws3_matching_error_msg,G298*IF(E298="Y",1,1-F298)*INDEX('2. Emissions Units &amp; Activities'!$G$7:$G$193,MATCH(B298,'2. Emissions Units &amp; Activities'!$B$7:$B$193,0))))</f>
        <v>0.125779</v>
      </c>
      <c r="K298" s="85">
        <f t="shared" si="8"/>
        <v>1.8091195683101854E-6</v>
      </c>
      <c r="L298" s="85">
        <f>IF(B298="",IF(CONCATENATE(C298,D298,E298,F298,G298,H298,I298)="","",ws3_EU_ID_blank),IF(ISERROR(MATCH(B298,'2. Emissions Units &amp; Activities'!$B$7:$B$193,0)),ws3_matching_error_msg,G298*IF(E298="Y",1,1-F298)*INDEX('2. Emissions Units &amp; Activities'!$J$7:$J$193,MATCH(B298,'2. Emissions Units &amp; Activities'!$B$7:$B$193,0))))</f>
        <v>3.4460000000000003E-4</v>
      </c>
      <c r="M298" s="509">
        <f t="shared" si="9"/>
        <v>1.8091195683101856E-6</v>
      </c>
      <c r="N298" s="284"/>
    </row>
    <row r="299" spans="1:14" ht="15.75" x14ac:dyDescent="0.25">
      <c r="A299" s="86"/>
      <c r="B299" s="508" t="s">
        <v>57</v>
      </c>
      <c r="C299" s="339" t="s">
        <v>261</v>
      </c>
      <c r="D299" s="340" t="s">
        <v>262</v>
      </c>
      <c r="E299" s="339" t="s">
        <v>214</v>
      </c>
      <c r="F299" s="341">
        <v>0</v>
      </c>
      <c r="G299" s="339">
        <v>3.8000000000000002E-4</v>
      </c>
      <c r="H299" s="339" t="s">
        <v>223</v>
      </c>
      <c r="I299" s="339" t="s">
        <v>272</v>
      </c>
      <c r="J299" s="85">
        <f>IF(B299="",IF(CONCATENATE(C299,D299,E299,F299,G299,H299,I299)="","",ws3_EU_ID_blank),IF(ISERROR(MATCH(B299,'2. Emissions Units &amp; Activities'!$B$7:$B$193,0)),ws3_matching_error_msg,G299*IF(E299="Y",1,1-F299)*INDEX('2. Emissions Units &amp; Activities'!$G$7:$G$193,MATCH(B299,'2. Emissions Units &amp; Activities'!$B$7:$B$193,0))))</f>
        <v>9.5592040000000017E-2</v>
      </c>
      <c r="K299" s="85">
        <f t="shared" si="8"/>
        <v>1.3749308719157411E-6</v>
      </c>
      <c r="L299" s="85">
        <f>IF(B299="",IF(CONCATENATE(C299,D299,E299,F299,G299,H299,I299)="","",ws3_EU_ID_blank),IF(ISERROR(MATCH(B299,'2. Emissions Units &amp; Activities'!$B$7:$B$193,0)),ws3_matching_error_msg,G299*IF(E299="Y",1,1-F299)*INDEX('2. Emissions Units &amp; Activities'!$J$7:$J$193,MATCH(B299,'2. Emissions Units &amp; Activities'!$B$7:$B$193,0))))</f>
        <v>2.6189600000000001E-4</v>
      </c>
      <c r="M299" s="509">
        <f t="shared" si="9"/>
        <v>1.3749308719157409E-6</v>
      </c>
      <c r="N299" s="284"/>
    </row>
    <row r="300" spans="1:14" ht="15.75" x14ac:dyDescent="0.25">
      <c r="A300" s="86"/>
      <c r="B300" s="508" t="s">
        <v>57</v>
      </c>
      <c r="C300" s="339" t="s">
        <v>263</v>
      </c>
      <c r="D300" s="340" t="s">
        <v>264</v>
      </c>
      <c r="E300" s="339" t="s">
        <v>214</v>
      </c>
      <c r="F300" s="341">
        <v>0</v>
      </c>
      <c r="G300" s="339">
        <v>2.5999999999999998E-4</v>
      </c>
      <c r="H300" s="339" t="s">
        <v>223</v>
      </c>
      <c r="I300" s="339" t="s">
        <v>272</v>
      </c>
      <c r="J300" s="85">
        <f>IF(B300="",IF(CONCATENATE(C300,D300,E300,F300,G300,H300,I300)="","",ws3_EU_ID_blank),IF(ISERROR(MATCH(B300,'2. Emissions Units &amp; Activities'!$B$7:$B$193,0)),ws3_matching_error_msg,G300*IF(E300="Y",1,1-F300)*INDEX('2. Emissions Units &amp; Activities'!$G$7:$G$193,MATCH(B300,'2. Emissions Units &amp; Activities'!$B$7:$B$193,0))))</f>
        <v>6.5405080000000004E-2</v>
      </c>
      <c r="K300" s="85">
        <f t="shared" si="8"/>
        <v>9.4074217552129631E-7</v>
      </c>
      <c r="L300" s="85">
        <f>IF(B300="",IF(CONCATENATE(C300,D300,E300,F300,G300,H300,I300)="","",ws3_EU_ID_blank),IF(ISERROR(MATCH(B300,'2. Emissions Units &amp; Activities'!$B$7:$B$193,0)),ws3_matching_error_msg,G300*IF(E300="Y",1,1-F300)*INDEX('2. Emissions Units &amp; Activities'!$J$7:$J$193,MATCH(B300,'2. Emissions Units &amp; Activities'!$B$7:$B$193,0))))</f>
        <v>1.79192E-4</v>
      </c>
      <c r="M300" s="509">
        <f t="shared" si="9"/>
        <v>9.4074217552129631E-7</v>
      </c>
      <c r="N300" s="284"/>
    </row>
    <row r="301" spans="1:14" ht="15.75" x14ac:dyDescent="0.25">
      <c r="A301" s="86"/>
      <c r="B301" s="508" t="s">
        <v>57</v>
      </c>
      <c r="C301" s="339" t="s">
        <v>281</v>
      </c>
      <c r="D301" s="340" t="s">
        <v>282</v>
      </c>
      <c r="E301" s="339" t="s">
        <v>214</v>
      </c>
      <c r="F301" s="341">
        <v>0</v>
      </c>
      <c r="G301" s="339">
        <v>1.65E-3</v>
      </c>
      <c r="H301" s="339" t="s">
        <v>223</v>
      </c>
      <c r="I301" s="339" t="s">
        <v>272</v>
      </c>
      <c r="J301" s="85">
        <f>IF(B301="",IF(CONCATENATE(C301,D301,E301,F301,G301,H301,I301)="","",ws3_EU_ID_blank),IF(ISERROR(MATCH(B301,'2. Emissions Units &amp; Activities'!$B$7:$B$193,0)),ws3_matching_error_msg,G301*IF(E301="Y",1,1-F301)*INDEX('2. Emissions Units &amp; Activities'!$G$7:$G$193,MATCH(B301,'2. Emissions Units &amp; Activities'!$B$7:$B$193,0))))</f>
        <v>0.41507070000000001</v>
      </c>
      <c r="K301" s="85">
        <f t="shared" si="8"/>
        <v>5.9700945754236115E-6</v>
      </c>
      <c r="L301" s="85">
        <f>IF(B301="",IF(CONCATENATE(C301,D301,E301,F301,G301,H301,I301)="","",ws3_EU_ID_blank),IF(ISERROR(MATCH(B301,'2. Emissions Units &amp; Activities'!$B$7:$B$193,0)),ws3_matching_error_msg,G301*IF(E301="Y",1,1-F301)*INDEX('2. Emissions Units &amp; Activities'!$J$7:$J$193,MATCH(B301,'2. Emissions Units &amp; Activities'!$B$7:$B$193,0))))</f>
        <v>1.13718E-3</v>
      </c>
      <c r="M301" s="509">
        <f t="shared" si="9"/>
        <v>5.9700945754236115E-6</v>
      </c>
      <c r="N301" s="284"/>
    </row>
    <row r="302" spans="1:14" ht="15.75" x14ac:dyDescent="0.25">
      <c r="A302" s="86"/>
      <c r="B302" s="508" t="s">
        <v>57</v>
      </c>
      <c r="C302" s="339">
        <v>365</v>
      </c>
      <c r="D302" s="340" t="s">
        <v>243</v>
      </c>
      <c r="E302" s="339" t="s">
        <v>214</v>
      </c>
      <c r="F302" s="341">
        <v>0</v>
      </c>
      <c r="G302" s="339">
        <v>2.0999999999999999E-3</v>
      </c>
      <c r="H302" s="339" t="s">
        <v>223</v>
      </c>
      <c r="I302" s="339" t="s">
        <v>272</v>
      </c>
      <c r="J302" s="85">
        <f>IF(B302="",IF(CONCATENATE(C302,D302,E302,F302,G302,H302,I302)="","",ws3_EU_ID_blank),IF(ISERROR(MATCH(B302,'2. Emissions Units &amp; Activities'!$B$7:$B$193,0)),ws3_matching_error_msg,G302*IF(E302="Y",1,1-F302)*INDEX('2. Emissions Units &amp; Activities'!$G$7:$G$193,MATCH(B302,'2. Emissions Units &amp; Activities'!$B$7:$B$193,0))))</f>
        <v>0.52827179999999996</v>
      </c>
      <c r="K302" s="85">
        <f t="shared" si="8"/>
        <v>7.5983021869027769E-6</v>
      </c>
      <c r="L302" s="85">
        <f>IF(B302="",IF(CONCATENATE(C302,D302,E302,F302,G302,H302,I302)="","",ws3_EU_ID_blank),IF(ISERROR(MATCH(B302,'2. Emissions Units &amp; Activities'!$B$7:$B$193,0)),ws3_matching_error_msg,G302*IF(E302="Y",1,1-F302)*INDEX('2. Emissions Units &amp; Activities'!$J$7:$J$193,MATCH(B302,'2. Emissions Units &amp; Activities'!$B$7:$B$193,0))))</f>
        <v>1.44732E-3</v>
      </c>
      <c r="M302" s="509">
        <f t="shared" si="9"/>
        <v>7.5983021869027769E-6</v>
      </c>
      <c r="N302" s="284"/>
    </row>
    <row r="303" spans="1:14" ht="15.75" x14ac:dyDescent="0.25">
      <c r="A303" s="86"/>
      <c r="B303" s="508" t="s">
        <v>57</v>
      </c>
      <c r="C303" s="339" t="s">
        <v>265</v>
      </c>
      <c r="D303" s="340" t="s">
        <v>266</v>
      </c>
      <c r="E303" s="339" t="s">
        <v>214</v>
      </c>
      <c r="F303" s="341">
        <v>0</v>
      </c>
      <c r="G303" s="339">
        <v>2.4000000000000001E-5</v>
      </c>
      <c r="H303" s="339" t="s">
        <v>223</v>
      </c>
      <c r="I303" s="339" t="s">
        <v>272</v>
      </c>
      <c r="J303" s="85">
        <f>IF(B303="",IF(CONCATENATE(C303,D303,E303,F303,G303,H303,I303)="","",ws3_EU_ID_blank),IF(ISERROR(MATCH(B303,'2. Emissions Units &amp; Activities'!$B$7:$B$193,0)),ws3_matching_error_msg,G303*IF(E303="Y",1,1-F303)*INDEX('2. Emissions Units &amp; Activities'!$G$7:$G$193,MATCH(B303,'2. Emissions Units &amp; Activities'!$B$7:$B$193,0))))</f>
        <v>6.0373920000000008E-3</v>
      </c>
      <c r="K303" s="85">
        <f t="shared" si="8"/>
        <v>8.6837739278888899E-8</v>
      </c>
      <c r="L303" s="85">
        <f>IF(B303="",IF(CONCATENATE(C303,D303,E303,F303,G303,H303,I303)="","",ws3_EU_ID_blank),IF(ISERROR(MATCH(B303,'2. Emissions Units &amp; Activities'!$B$7:$B$193,0)),ws3_matching_error_msg,G303*IF(E303="Y",1,1-F303)*INDEX('2. Emissions Units &amp; Activities'!$J$7:$J$193,MATCH(B303,'2. Emissions Units &amp; Activities'!$B$7:$B$193,0))))</f>
        <v>1.6540800000000003E-5</v>
      </c>
      <c r="M303" s="509">
        <f t="shared" si="9"/>
        <v>8.6837739278888913E-8</v>
      </c>
      <c r="N303" s="284"/>
    </row>
    <row r="304" spans="1:14" ht="15.75" x14ac:dyDescent="0.25">
      <c r="A304" s="86"/>
      <c r="B304" s="508" t="s">
        <v>57</v>
      </c>
      <c r="C304" s="339" t="s">
        <v>267</v>
      </c>
      <c r="D304" s="340" t="s">
        <v>268</v>
      </c>
      <c r="E304" s="339" t="s">
        <v>214</v>
      </c>
      <c r="F304" s="341">
        <v>0</v>
      </c>
      <c r="G304" s="339">
        <v>2.6499999999999999E-2</v>
      </c>
      <c r="H304" s="339" t="s">
        <v>223</v>
      </c>
      <c r="I304" s="339" t="s">
        <v>272</v>
      </c>
      <c r="J304" s="85">
        <f>IF(B304="",IF(CONCATENATE(C304,D304,E304,F304,G304,H304,I304)="","",ws3_EU_ID_blank),IF(ISERROR(MATCH(B304,'2. Emissions Units &amp; Activities'!$B$7:$B$193,0)),ws3_matching_error_msg,G304*IF(E304="Y",1,1-F304)*INDEX('2. Emissions Units &amp; Activities'!$G$7:$G$193,MATCH(B304,'2. Emissions Units &amp; Activities'!$B$7:$B$193,0))))</f>
        <v>6.6662870000000005</v>
      </c>
      <c r="K304" s="85">
        <f t="shared" si="8"/>
        <v>9.5883337120439817E-5</v>
      </c>
      <c r="L304" s="85">
        <f>IF(B304="",IF(CONCATENATE(C304,D304,E304,F304,G304,H304,I304)="","",ws3_EU_ID_blank),IF(ISERROR(MATCH(B304,'2. Emissions Units &amp; Activities'!$B$7:$B$193,0)),ws3_matching_error_msg,G304*IF(E304="Y",1,1-F304)*INDEX('2. Emissions Units &amp; Activities'!$J$7:$J$193,MATCH(B304,'2. Emissions Units &amp; Activities'!$B$7:$B$193,0))))</f>
        <v>1.82638E-2</v>
      </c>
      <c r="M304" s="509">
        <f t="shared" si="9"/>
        <v>9.5883337120439817E-5</v>
      </c>
      <c r="N304" s="284"/>
    </row>
    <row r="305" spans="1:14" ht="15.75" x14ac:dyDescent="0.25">
      <c r="A305" s="86"/>
      <c r="B305" s="508" t="s">
        <v>57</v>
      </c>
      <c r="C305" s="339" t="s">
        <v>283</v>
      </c>
      <c r="D305" s="340" t="s">
        <v>284</v>
      </c>
      <c r="E305" s="339" t="s">
        <v>214</v>
      </c>
      <c r="F305" s="341">
        <v>0</v>
      </c>
      <c r="G305" s="339">
        <v>2.3E-3</v>
      </c>
      <c r="H305" s="339" t="s">
        <v>223</v>
      </c>
      <c r="I305" s="339" t="s">
        <v>272</v>
      </c>
      <c r="J305" s="85">
        <f>IF(B305="",IF(CONCATENATE(C305,D305,E305,F305,G305,H305,I305)="","",ws3_EU_ID_blank),IF(ISERROR(MATCH(B305,'2. Emissions Units &amp; Activities'!$B$7:$B$193,0)),ws3_matching_error_msg,G305*IF(E305="Y",1,1-F305)*INDEX('2. Emissions Units &amp; Activities'!$G$7:$G$193,MATCH(B305,'2. Emissions Units &amp; Activities'!$B$7:$B$193,0))))</f>
        <v>0.57858340000000008</v>
      </c>
      <c r="K305" s="85">
        <f t="shared" si="8"/>
        <v>8.3219500142268543E-6</v>
      </c>
      <c r="L305" s="85">
        <f>IF(B305="",IF(CONCATENATE(C305,D305,E305,F305,G305,H305,I305)="","",ws3_EU_ID_blank),IF(ISERROR(MATCH(B305,'2. Emissions Units &amp; Activities'!$B$7:$B$193,0)),ws3_matching_error_msg,G305*IF(E305="Y",1,1-F305)*INDEX('2. Emissions Units &amp; Activities'!$J$7:$J$193,MATCH(B305,'2. Emissions Units &amp; Activities'!$B$7:$B$193,0))))</f>
        <v>1.58516E-3</v>
      </c>
      <c r="M305" s="509">
        <f t="shared" si="9"/>
        <v>8.3219500142268526E-6</v>
      </c>
      <c r="N305" s="284"/>
    </row>
    <row r="306" spans="1:14" ht="15.75" x14ac:dyDescent="0.25">
      <c r="A306" s="86"/>
      <c r="B306" s="508" t="s">
        <v>57</v>
      </c>
      <c r="C306" s="339" t="s">
        <v>269</v>
      </c>
      <c r="D306" s="340" t="s">
        <v>270</v>
      </c>
      <c r="E306" s="339" t="s">
        <v>214</v>
      </c>
      <c r="F306" s="341">
        <v>0</v>
      </c>
      <c r="G306" s="339">
        <v>1.9699999999999999E-2</v>
      </c>
      <c r="H306" s="339" t="s">
        <v>223</v>
      </c>
      <c r="I306" s="339" t="s">
        <v>272</v>
      </c>
      <c r="J306" s="85">
        <f>IF(B306="",IF(CONCATENATE(C306,D306,E306,F306,G306,H306,I306)="","",ws3_EU_ID_blank),IF(ISERROR(MATCH(B306,'2. Emissions Units &amp; Activities'!$B$7:$B$193,0)),ws3_matching_error_msg,G306*IF(E306="Y",1,1-F306)*INDEX('2. Emissions Units &amp; Activities'!$G$7:$G$193,MATCH(B306,'2. Emissions Units &amp; Activities'!$B$7:$B$193,0))))</f>
        <v>4.9556925999999999</v>
      </c>
      <c r="K306" s="85">
        <f t="shared" si="8"/>
        <v>7.1279310991421302E-5</v>
      </c>
      <c r="L306" s="85">
        <f>IF(B306="",IF(CONCATENATE(C306,D306,E306,F306,G306,H306,I306)="","",ws3_EU_ID_blank),IF(ISERROR(MATCH(B306,'2. Emissions Units &amp; Activities'!$B$7:$B$193,0)),ws3_matching_error_msg,G306*IF(E306="Y",1,1-F306)*INDEX('2. Emissions Units &amp; Activities'!$J$7:$J$193,MATCH(B306,'2. Emissions Units &amp; Activities'!$B$7:$B$193,0))))</f>
        <v>1.3577239999999999E-2</v>
      </c>
      <c r="M306" s="509">
        <f t="shared" si="9"/>
        <v>7.1279310991421288E-5</v>
      </c>
      <c r="N306" s="284"/>
    </row>
    <row r="307" spans="1:14" ht="15.75" x14ac:dyDescent="0.25">
      <c r="A307" s="86"/>
      <c r="B307" s="508" t="s">
        <v>57</v>
      </c>
      <c r="C307" s="339" t="s">
        <v>285</v>
      </c>
      <c r="D307" s="340" t="s">
        <v>286</v>
      </c>
      <c r="E307" s="339" t="s">
        <v>214</v>
      </c>
      <c r="F307" s="341">
        <v>0</v>
      </c>
      <c r="G307" s="339">
        <v>2.9000000000000001E-2</v>
      </c>
      <c r="H307" s="339" t="s">
        <v>223</v>
      </c>
      <c r="I307" s="339" t="s">
        <v>272</v>
      </c>
      <c r="J307" s="85">
        <f>IF(B307="",IF(CONCATENATE(C307,D307,E307,F307,G307,H307,I307)="","",ws3_EU_ID_blank),IF(ISERROR(MATCH(B307,'2. Emissions Units &amp; Activities'!$B$7:$B$193,0)),ws3_matching_error_msg,G307*IF(E307="Y",1,1-F307)*INDEX('2. Emissions Units &amp; Activities'!$G$7:$G$193,MATCH(B307,'2. Emissions Units &amp; Activities'!$B$7:$B$193,0))))</f>
        <v>7.2951820000000014</v>
      </c>
      <c r="K307" s="85">
        <f t="shared" si="8"/>
        <v>1.0492893496199077E-4</v>
      </c>
      <c r="L307" s="85">
        <f>IF(B307="",IF(CONCATENATE(C307,D307,E307,F307,G307,H307,I307)="","",ws3_EU_ID_blank),IF(ISERROR(MATCH(B307,'2. Emissions Units &amp; Activities'!$B$7:$B$193,0)),ws3_matching_error_msg,G307*IF(E307="Y",1,1-F307)*INDEX('2. Emissions Units &amp; Activities'!$J$7:$J$193,MATCH(B307,'2. Emissions Units &amp; Activities'!$B$7:$B$193,0))))</f>
        <v>1.9986800000000002E-2</v>
      </c>
      <c r="M307" s="509">
        <f t="shared" si="9"/>
        <v>1.0492893496199077E-4</v>
      </c>
      <c r="N307" s="284"/>
    </row>
    <row r="308" spans="1:14" ht="15.75" x14ac:dyDescent="0.25">
      <c r="A308" s="86"/>
      <c r="B308" s="508" t="s">
        <v>58</v>
      </c>
      <c r="C308" s="339" t="s">
        <v>221</v>
      </c>
      <c r="D308" s="340" t="s">
        <v>222</v>
      </c>
      <c r="E308" s="339" t="s">
        <v>214</v>
      </c>
      <c r="F308" s="341">
        <v>0</v>
      </c>
      <c r="G308" s="339">
        <v>5.7999999999999996E-3</v>
      </c>
      <c r="H308" s="339" t="s">
        <v>223</v>
      </c>
      <c r="I308" s="339" t="s">
        <v>272</v>
      </c>
      <c r="J308" s="85">
        <f>IF(B308="",IF(CONCATENATE(C308,D308,E308,F308,G308,H308,I308)="","",ws3_EU_ID_blank),IF(ISERROR(MATCH(B308,'2. Emissions Units &amp; Activities'!$B$7:$B$193,0)),ws3_matching_error_msg,G308*IF(E308="Y",1,1-F308)*INDEX('2. Emissions Units &amp; Activities'!$G$7:$G$193,MATCH(B308,'2. Emissions Units &amp; Activities'!$B$7:$B$193,0))))</f>
        <v>1.4590364</v>
      </c>
      <c r="K308" s="85">
        <f t="shared" si="8"/>
        <v>2.098578699239815E-5</v>
      </c>
      <c r="L308" s="85">
        <f>IF(B308="",IF(CONCATENATE(C308,D308,E308,F308,G308,H308,I308)="","",ws3_EU_ID_blank),IF(ISERROR(MATCH(B308,'2. Emissions Units &amp; Activities'!$B$7:$B$193,0)),ws3_matching_error_msg,G308*IF(E308="Y",1,1-F308)*INDEX('2. Emissions Units &amp; Activities'!$J$7:$J$193,MATCH(B308,'2. Emissions Units &amp; Activities'!$B$7:$B$193,0))))</f>
        <v>3.9973600000000001E-3</v>
      </c>
      <c r="M308" s="509">
        <f t="shared" si="9"/>
        <v>2.0985786992398153E-5</v>
      </c>
      <c r="N308" s="284"/>
    </row>
    <row r="309" spans="1:14" ht="15.75" x14ac:dyDescent="0.25">
      <c r="A309" s="86"/>
      <c r="B309" s="508" t="s">
        <v>58</v>
      </c>
      <c r="C309" s="339" t="s">
        <v>237</v>
      </c>
      <c r="D309" s="340" t="s">
        <v>238</v>
      </c>
      <c r="E309" s="339" t="s">
        <v>214</v>
      </c>
      <c r="F309" s="341">
        <v>0</v>
      </c>
      <c r="G309" s="339">
        <v>1.23E-2</v>
      </c>
      <c r="H309" s="339" t="s">
        <v>223</v>
      </c>
      <c r="I309" s="339" t="s">
        <v>272</v>
      </c>
      <c r="J309" s="85">
        <f>IF(B309="",IF(CONCATENATE(C309,D309,E309,F309,G309,H309,I309)="","",ws3_EU_ID_blank),IF(ISERROR(MATCH(B309,'2. Emissions Units &amp; Activities'!$B$7:$B$193,0)),ws3_matching_error_msg,G309*IF(E309="Y",1,1-F309)*INDEX('2. Emissions Units &amp; Activities'!$G$7:$G$193,MATCH(B309,'2. Emissions Units &amp; Activities'!$B$7:$B$193,0))))</f>
        <v>3.0941634000000002</v>
      </c>
      <c r="K309" s="85">
        <f t="shared" si="8"/>
        <v>4.4504341380430563E-5</v>
      </c>
      <c r="L309" s="85">
        <f>IF(B309="",IF(CONCATENATE(C309,D309,E309,F309,G309,H309,I309)="","",ws3_EU_ID_blank),IF(ISERROR(MATCH(B309,'2. Emissions Units &amp; Activities'!$B$7:$B$193,0)),ws3_matching_error_msg,G309*IF(E309="Y",1,1-F309)*INDEX('2. Emissions Units &amp; Activities'!$J$7:$J$193,MATCH(B309,'2. Emissions Units &amp; Activities'!$B$7:$B$193,0))))</f>
        <v>8.4771600000000009E-3</v>
      </c>
      <c r="M309" s="509">
        <f t="shared" si="9"/>
        <v>4.4504341380430563E-5</v>
      </c>
      <c r="N309" s="284"/>
    </row>
    <row r="310" spans="1:14" ht="15.75" x14ac:dyDescent="0.25">
      <c r="A310" s="86"/>
      <c r="B310" s="508" t="s">
        <v>58</v>
      </c>
      <c r="C310" s="339">
        <v>401</v>
      </c>
      <c r="D310" s="340" t="s">
        <v>246</v>
      </c>
      <c r="E310" s="339" t="s">
        <v>214</v>
      </c>
      <c r="F310" s="341">
        <v>0</v>
      </c>
      <c r="G310" s="339">
        <v>1E-4</v>
      </c>
      <c r="H310" s="339" t="s">
        <v>223</v>
      </c>
      <c r="I310" s="339" t="s">
        <v>272</v>
      </c>
      <c r="J310" s="85">
        <f>IF(B310="",IF(CONCATENATE(C310,D310,E310,F310,G310,H310,I310)="","",ws3_EU_ID_blank),IF(ISERROR(MATCH(B310,'2. Emissions Units &amp; Activities'!$B$7:$B$193,0)),ws3_matching_error_msg,G310*IF(E310="Y",1,1-F310)*INDEX('2. Emissions Units &amp; Activities'!$G$7:$G$193,MATCH(B310,'2. Emissions Units &amp; Activities'!$B$7:$B$193,0))))</f>
        <v>2.5155800000000002E-2</v>
      </c>
      <c r="K310" s="85">
        <f t="shared" si="8"/>
        <v>3.6182391366203709E-7</v>
      </c>
      <c r="L310" s="85">
        <f>IF(B310="",IF(CONCATENATE(C310,D310,E310,F310,G310,H310,I310)="","",ws3_EU_ID_blank),IF(ISERROR(MATCH(B310,'2. Emissions Units &amp; Activities'!$B$7:$B$193,0)),ws3_matching_error_msg,G310*IF(E310="Y",1,1-F310)*INDEX('2. Emissions Units &amp; Activities'!$J$7:$J$193,MATCH(B310,'2. Emissions Units &amp; Activities'!$B$7:$B$193,0))))</f>
        <v>6.8920000000000011E-5</v>
      </c>
      <c r="M310" s="509">
        <f t="shared" si="9"/>
        <v>3.6182391366203709E-7</v>
      </c>
      <c r="N310" s="284"/>
    </row>
    <row r="311" spans="1:14" ht="15.75" x14ac:dyDescent="0.25">
      <c r="A311" s="86"/>
      <c r="B311" s="508" t="s">
        <v>58</v>
      </c>
      <c r="C311" s="339" t="s">
        <v>273</v>
      </c>
      <c r="D311" s="340" t="s">
        <v>274</v>
      </c>
      <c r="E311" s="339" t="s">
        <v>214</v>
      </c>
      <c r="F311" s="341">
        <v>0</v>
      </c>
      <c r="G311" s="339">
        <v>1.1999999999999999E-6</v>
      </c>
      <c r="H311" s="339" t="s">
        <v>223</v>
      </c>
      <c r="I311" s="339" t="s">
        <v>272</v>
      </c>
      <c r="J311" s="85">
        <f>IF(B311="",IF(CONCATENATE(C311,D311,E311,F311,G311,H311,I311)="","",ws3_EU_ID_blank),IF(ISERROR(MATCH(B311,'2. Emissions Units &amp; Activities'!$B$7:$B$193,0)),ws3_matching_error_msg,G311*IF(E311="Y",1,1-F311)*INDEX('2. Emissions Units &amp; Activities'!$G$7:$G$193,MATCH(B311,'2. Emissions Units &amp; Activities'!$B$7:$B$193,0))))</f>
        <v>3.0186960000000001E-4</v>
      </c>
      <c r="K311" s="85">
        <f t="shared" si="8"/>
        <v>4.3418869639444458E-9</v>
      </c>
      <c r="L311" s="85">
        <f>IF(B311="",IF(CONCATENATE(C311,D311,E311,F311,G311,H311,I311)="","",ws3_EU_ID_blank),IF(ISERROR(MATCH(B311,'2. Emissions Units &amp; Activities'!$B$7:$B$193,0)),ws3_matching_error_msg,G311*IF(E311="Y",1,1-F311)*INDEX('2. Emissions Units &amp; Activities'!$J$7:$J$193,MATCH(B311,'2. Emissions Units &amp; Activities'!$B$7:$B$193,0))))</f>
        <v>8.2704000000000003E-7</v>
      </c>
      <c r="M311" s="509">
        <f t="shared" si="9"/>
        <v>4.341886963944445E-9</v>
      </c>
      <c r="N311" s="284"/>
    </row>
    <row r="312" spans="1:14" ht="15.75" x14ac:dyDescent="0.25">
      <c r="A312" s="86"/>
      <c r="B312" s="508" t="s">
        <v>58</v>
      </c>
      <c r="C312" s="339" t="s">
        <v>244</v>
      </c>
      <c r="D312" s="340" t="s">
        <v>245</v>
      </c>
      <c r="E312" s="339" t="s">
        <v>214</v>
      </c>
      <c r="F312" s="341">
        <v>0</v>
      </c>
      <c r="G312" s="339">
        <v>2.9999999999999997E-4</v>
      </c>
      <c r="H312" s="339" t="s">
        <v>223</v>
      </c>
      <c r="I312" s="339" t="s">
        <v>272</v>
      </c>
      <c r="J312" s="85">
        <f>IF(B312="",IF(CONCATENATE(C312,D312,E312,F312,G312,H312,I312)="","",ws3_EU_ID_blank),IF(ISERROR(MATCH(B312,'2. Emissions Units &amp; Activities'!$B$7:$B$193,0)),ws3_matching_error_msg,G312*IF(E312="Y",1,1-F312)*INDEX('2. Emissions Units &amp; Activities'!$G$7:$G$193,MATCH(B312,'2. Emissions Units &amp; Activities'!$B$7:$B$193,0))))</f>
        <v>7.5467400000000004E-2</v>
      </c>
      <c r="K312" s="85">
        <f t="shared" si="8"/>
        <v>1.0854717409861111E-6</v>
      </c>
      <c r="L312" s="85">
        <f>IF(B312="",IF(CONCATENATE(C312,D312,E312,F312,G312,H312,I312)="","",ws3_EU_ID_blank),IF(ISERROR(MATCH(B312,'2. Emissions Units &amp; Activities'!$B$7:$B$193,0)),ws3_matching_error_msg,G312*IF(E312="Y",1,1-F312)*INDEX('2. Emissions Units &amp; Activities'!$J$7:$J$193,MATCH(B312,'2. Emissions Units &amp; Activities'!$B$7:$B$193,0))))</f>
        <v>2.0676000000000001E-4</v>
      </c>
      <c r="M312" s="509">
        <f t="shared" si="9"/>
        <v>1.0854717409861111E-6</v>
      </c>
      <c r="N312" s="284"/>
    </row>
    <row r="313" spans="1:14" ht="15.75" x14ac:dyDescent="0.25">
      <c r="A313" s="86"/>
      <c r="B313" s="508" t="s">
        <v>58</v>
      </c>
      <c r="C313" s="339" t="s">
        <v>247</v>
      </c>
      <c r="D313" s="340" t="s">
        <v>248</v>
      </c>
      <c r="E313" s="339" t="s">
        <v>214</v>
      </c>
      <c r="F313" s="341">
        <v>0</v>
      </c>
      <c r="G313" s="339">
        <v>3.0999999999999999E-3</v>
      </c>
      <c r="H313" s="339" t="s">
        <v>223</v>
      </c>
      <c r="I313" s="339" t="s">
        <v>272</v>
      </c>
      <c r="J313" s="85">
        <f>IF(B313="",IF(CONCATENATE(C313,D313,E313,F313,G313,H313,I313)="","",ws3_EU_ID_blank),IF(ISERROR(MATCH(B313,'2. Emissions Units &amp; Activities'!$B$7:$B$193,0)),ws3_matching_error_msg,G313*IF(E313="Y",1,1-F313)*INDEX('2. Emissions Units &amp; Activities'!$G$7:$G$193,MATCH(B313,'2. Emissions Units &amp; Activities'!$B$7:$B$193,0))))</f>
        <v>0.77982980000000002</v>
      </c>
      <c r="K313" s="85">
        <f t="shared" si="8"/>
        <v>1.1216541323523149E-5</v>
      </c>
      <c r="L313" s="85">
        <f>IF(B313="",IF(CONCATENATE(C313,D313,E313,F313,G313,H313,I313)="","",ws3_EU_ID_blank),IF(ISERROR(MATCH(B313,'2. Emissions Units &amp; Activities'!$B$7:$B$193,0)),ws3_matching_error_msg,G313*IF(E313="Y",1,1-F313)*INDEX('2. Emissions Units &amp; Activities'!$J$7:$J$193,MATCH(B313,'2. Emissions Units &amp; Activities'!$B$7:$B$193,0))))</f>
        <v>2.1365199999999998E-3</v>
      </c>
      <c r="M313" s="509">
        <f t="shared" si="9"/>
        <v>1.1216541323523147E-5</v>
      </c>
      <c r="N313" s="284"/>
    </row>
    <row r="314" spans="1:14" ht="15.75" x14ac:dyDescent="0.25">
      <c r="A314" s="86"/>
      <c r="B314" s="508" t="s">
        <v>58</v>
      </c>
      <c r="C314" s="339" t="s">
        <v>249</v>
      </c>
      <c r="D314" s="340" t="s">
        <v>250</v>
      </c>
      <c r="E314" s="339" t="s">
        <v>214</v>
      </c>
      <c r="F314" s="341">
        <v>0</v>
      </c>
      <c r="G314" s="339">
        <v>2.7000000000000001E-3</v>
      </c>
      <c r="H314" s="339" t="s">
        <v>223</v>
      </c>
      <c r="I314" s="339" t="s">
        <v>272</v>
      </c>
      <c r="J314" s="85">
        <f>IF(B314="",IF(CONCATENATE(C314,D314,E314,F314,G314,H314,I314)="","",ws3_EU_ID_blank),IF(ISERROR(MATCH(B314,'2. Emissions Units &amp; Activities'!$B$7:$B$193,0)),ws3_matching_error_msg,G314*IF(E314="Y",1,1-F314)*INDEX('2. Emissions Units &amp; Activities'!$G$7:$G$193,MATCH(B314,'2. Emissions Units &amp; Activities'!$B$7:$B$193,0))))</f>
        <v>0.6792066000000001</v>
      </c>
      <c r="K314" s="85">
        <f t="shared" si="8"/>
        <v>9.7692456688750025E-6</v>
      </c>
      <c r="L314" s="85">
        <f>IF(B314="",IF(CONCATENATE(C314,D314,E314,F314,G314,H314,I314)="","",ws3_EU_ID_blank),IF(ISERROR(MATCH(B314,'2. Emissions Units &amp; Activities'!$B$7:$B$193,0)),ws3_matching_error_msg,G314*IF(E314="Y",1,1-F314)*INDEX('2. Emissions Units &amp; Activities'!$J$7:$J$193,MATCH(B314,'2. Emissions Units &amp; Activities'!$B$7:$B$193,0))))</f>
        <v>1.8608400000000001E-3</v>
      </c>
      <c r="M314" s="509">
        <f t="shared" si="9"/>
        <v>9.7692456688750008E-6</v>
      </c>
      <c r="N314" s="284"/>
    </row>
    <row r="315" spans="1:14" ht="15.75" x14ac:dyDescent="0.25">
      <c r="A315" s="86"/>
      <c r="B315" s="508" t="s">
        <v>58</v>
      </c>
      <c r="C315" s="339" t="s">
        <v>251</v>
      </c>
      <c r="D315" s="340" t="s">
        <v>252</v>
      </c>
      <c r="E315" s="339" t="s">
        <v>214</v>
      </c>
      <c r="F315" s="341">
        <v>0</v>
      </c>
      <c r="G315" s="339">
        <v>3.2</v>
      </c>
      <c r="H315" s="339" t="s">
        <v>223</v>
      </c>
      <c r="I315" s="339" t="s">
        <v>272</v>
      </c>
      <c r="J315" s="85">
        <f>IF(B315="",IF(CONCATENATE(C315,D315,E315,F315,G315,H315,I315)="","",ws3_EU_ID_blank),IF(ISERROR(MATCH(B315,'2. Emissions Units &amp; Activities'!$B$7:$B$193,0)),ws3_matching_error_msg,G315*IF(E315="Y",1,1-F315)*INDEX('2. Emissions Units &amp; Activities'!$G$7:$G$193,MATCH(B315,'2. Emissions Units &amp; Activities'!$B$7:$B$193,0))))</f>
        <v>804.98560000000009</v>
      </c>
      <c r="K315" s="85">
        <f t="shared" si="8"/>
        <v>1.1578365237185187E-2</v>
      </c>
      <c r="L315" s="85">
        <f>IF(B315="",IF(CONCATENATE(C315,D315,E315,F315,G315,H315,I315)="","",ws3_EU_ID_blank),IF(ISERROR(MATCH(B315,'2. Emissions Units &amp; Activities'!$B$7:$B$193,0)),ws3_matching_error_msg,G315*IF(E315="Y",1,1-F315)*INDEX('2. Emissions Units &amp; Activities'!$J$7:$J$193,MATCH(B315,'2. Emissions Units &amp; Activities'!$B$7:$B$193,0))))</f>
        <v>2.2054400000000003</v>
      </c>
      <c r="M315" s="509">
        <f t="shared" si="9"/>
        <v>1.1578365237185187E-2</v>
      </c>
      <c r="N315" s="284"/>
    </row>
    <row r="316" spans="1:14" ht="15.75" x14ac:dyDescent="0.25">
      <c r="A316" s="86"/>
      <c r="B316" s="508" t="s">
        <v>58</v>
      </c>
      <c r="C316" s="339" t="s">
        <v>218</v>
      </c>
      <c r="D316" s="340" t="s">
        <v>219</v>
      </c>
      <c r="E316" s="339" t="s">
        <v>214</v>
      </c>
      <c r="F316" s="341">
        <v>0</v>
      </c>
      <c r="G316" s="339">
        <v>2.0000000000000001E-4</v>
      </c>
      <c r="H316" s="339" t="s">
        <v>223</v>
      </c>
      <c r="I316" s="339" t="s">
        <v>272</v>
      </c>
      <c r="J316" s="85">
        <f>IF(B316="",IF(CONCATENATE(C316,D316,E316,F316,G316,H316,I316)="","",ws3_EU_ID_blank),IF(ISERROR(MATCH(B316,'2. Emissions Units &amp; Activities'!$B$7:$B$193,0)),ws3_matching_error_msg,G316*IF(E316="Y",1,1-F316)*INDEX('2. Emissions Units &amp; Activities'!$G$7:$G$193,MATCH(B316,'2. Emissions Units &amp; Activities'!$B$7:$B$193,0))))</f>
        <v>5.0311600000000005E-2</v>
      </c>
      <c r="K316" s="85">
        <f t="shared" si="8"/>
        <v>7.2364782732407417E-7</v>
      </c>
      <c r="L316" s="85">
        <f>IF(B316="",IF(CONCATENATE(C316,D316,E316,F316,G316,H316,I316)="","",ws3_EU_ID_blank),IF(ISERROR(MATCH(B316,'2. Emissions Units &amp; Activities'!$B$7:$B$193,0)),ws3_matching_error_msg,G316*IF(E316="Y",1,1-F316)*INDEX('2. Emissions Units &amp; Activities'!$J$7:$J$193,MATCH(B316,'2. Emissions Units &amp; Activities'!$B$7:$B$193,0))))</f>
        <v>1.3784000000000002E-4</v>
      </c>
      <c r="M316" s="509">
        <f t="shared" si="9"/>
        <v>7.2364782732407417E-7</v>
      </c>
      <c r="N316" s="284"/>
    </row>
    <row r="317" spans="1:14" ht="15.75" x14ac:dyDescent="0.25">
      <c r="A317" s="86"/>
      <c r="B317" s="508" t="s">
        <v>58</v>
      </c>
      <c r="C317" s="339" t="s">
        <v>275</v>
      </c>
      <c r="D317" s="340" t="s">
        <v>276</v>
      </c>
      <c r="E317" s="339" t="s">
        <v>214</v>
      </c>
      <c r="F317" s="341">
        <v>0</v>
      </c>
      <c r="G317" s="339">
        <v>4.4000000000000003E-3</v>
      </c>
      <c r="H317" s="339" t="s">
        <v>223</v>
      </c>
      <c r="I317" s="339" t="s">
        <v>272</v>
      </c>
      <c r="J317" s="85">
        <f>IF(B317="",IF(CONCATENATE(C317,D317,E317,F317,G317,H317,I317)="","",ws3_EU_ID_blank),IF(ISERROR(MATCH(B317,'2. Emissions Units &amp; Activities'!$B$7:$B$193,0)),ws3_matching_error_msg,G317*IF(E317="Y",1,1-F317)*INDEX('2. Emissions Units &amp; Activities'!$G$7:$G$193,MATCH(B317,'2. Emissions Units &amp; Activities'!$B$7:$B$193,0))))</f>
        <v>1.1068552000000003</v>
      </c>
      <c r="K317" s="85">
        <f t="shared" si="8"/>
        <v>1.5920252201129633E-5</v>
      </c>
      <c r="L317" s="85">
        <f>IF(B317="",IF(CONCATENATE(C317,D317,E317,F317,G317,H317,I317)="","",ws3_EU_ID_blank),IF(ISERROR(MATCH(B317,'2. Emissions Units &amp; Activities'!$B$7:$B$193,0)),ws3_matching_error_msg,G317*IF(E317="Y",1,1-F317)*INDEX('2. Emissions Units &amp; Activities'!$J$7:$J$193,MATCH(B317,'2. Emissions Units &amp; Activities'!$B$7:$B$193,0))))</f>
        <v>3.0324800000000002E-3</v>
      </c>
      <c r="M317" s="509">
        <f t="shared" si="9"/>
        <v>1.5920252201129633E-5</v>
      </c>
      <c r="N317" s="284"/>
    </row>
    <row r="318" spans="1:14" ht="15.75" x14ac:dyDescent="0.25">
      <c r="A318" s="86"/>
      <c r="B318" s="508" t="s">
        <v>58</v>
      </c>
      <c r="C318" s="339" t="s">
        <v>277</v>
      </c>
      <c r="D318" s="340" t="s">
        <v>278</v>
      </c>
      <c r="E318" s="339" t="s">
        <v>214</v>
      </c>
      <c r="F318" s="341">
        <v>0</v>
      </c>
      <c r="G318" s="339">
        <v>1.2E-5</v>
      </c>
      <c r="H318" s="339" t="s">
        <v>223</v>
      </c>
      <c r="I318" s="339" t="s">
        <v>272</v>
      </c>
      <c r="J318" s="85">
        <f>IF(B318="",IF(CONCATENATE(C318,D318,E318,F318,G318,H318,I318)="","",ws3_EU_ID_blank),IF(ISERROR(MATCH(B318,'2. Emissions Units &amp; Activities'!$B$7:$B$193,0)),ws3_matching_error_msg,G318*IF(E318="Y",1,1-F318)*INDEX('2. Emissions Units &amp; Activities'!$G$7:$G$193,MATCH(B318,'2. Emissions Units &amp; Activities'!$B$7:$B$193,0))))</f>
        <v>3.0186960000000004E-3</v>
      </c>
      <c r="K318" s="85">
        <f t="shared" si="8"/>
        <v>4.341886963944445E-8</v>
      </c>
      <c r="L318" s="85">
        <f>IF(B318="",IF(CONCATENATE(C318,D318,E318,F318,G318,H318,I318)="","",ws3_EU_ID_blank),IF(ISERROR(MATCH(B318,'2. Emissions Units &amp; Activities'!$B$7:$B$193,0)),ws3_matching_error_msg,G318*IF(E318="Y",1,1-F318)*INDEX('2. Emissions Units &amp; Activities'!$J$7:$J$193,MATCH(B318,'2. Emissions Units &amp; Activities'!$B$7:$B$193,0))))</f>
        <v>8.2704000000000013E-6</v>
      </c>
      <c r="M318" s="509">
        <f t="shared" si="9"/>
        <v>4.3418869639444456E-8</v>
      </c>
      <c r="N318" s="284"/>
    </row>
    <row r="319" spans="1:14" ht="15.75" x14ac:dyDescent="0.25">
      <c r="A319" s="86"/>
      <c r="B319" s="508" t="s">
        <v>58</v>
      </c>
      <c r="C319" s="339" t="s">
        <v>235</v>
      </c>
      <c r="D319" s="340" t="s">
        <v>236</v>
      </c>
      <c r="E319" s="339" t="s">
        <v>214</v>
      </c>
      <c r="F319" s="341">
        <v>0</v>
      </c>
      <c r="G319" s="339">
        <v>1.1000000000000001E-3</v>
      </c>
      <c r="H319" s="339" t="s">
        <v>223</v>
      </c>
      <c r="I319" s="339" t="s">
        <v>272</v>
      </c>
      <c r="J319" s="85">
        <f>IF(B319="",IF(CONCATENATE(C319,D319,E319,F319,G319,H319,I319)="","",ws3_EU_ID_blank),IF(ISERROR(MATCH(B319,'2. Emissions Units &amp; Activities'!$B$7:$B$193,0)),ws3_matching_error_msg,G319*IF(E319="Y",1,1-F319)*INDEX('2. Emissions Units &amp; Activities'!$G$7:$G$193,MATCH(B319,'2. Emissions Units &amp; Activities'!$B$7:$B$193,0))))</f>
        <v>0.27671380000000007</v>
      </c>
      <c r="K319" s="85">
        <f t="shared" si="8"/>
        <v>3.9800630502824082E-6</v>
      </c>
      <c r="L319" s="85">
        <f>IF(B319="",IF(CONCATENATE(C319,D319,E319,F319,G319,H319,I319)="","",ws3_EU_ID_blank),IF(ISERROR(MATCH(B319,'2. Emissions Units &amp; Activities'!$B$7:$B$193,0)),ws3_matching_error_msg,G319*IF(E319="Y",1,1-F319)*INDEX('2. Emissions Units &amp; Activities'!$J$7:$J$193,MATCH(B319,'2. Emissions Units &amp; Activities'!$B$7:$B$193,0))))</f>
        <v>7.5812000000000004E-4</v>
      </c>
      <c r="M319" s="509">
        <f t="shared" si="9"/>
        <v>3.9800630502824082E-6</v>
      </c>
      <c r="N319" s="284"/>
    </row>
    <row r="320" spans="1:14" ht="15.75" x14ac:dyDescent="0.25">
      <c r="A320" s="86"/>
      <c r="B320" s="508" t="s">
        <v>58</v>
      </c>
      <c r="C320" s="339" t="s">
        <v>239</v>
      </c>
      <c r="D320" s="340" t="s">
        <v>240</v>
      </c>
      <c r="E320" s="339" t="s">
        <v>214</v>
      </c>
      <c r="F320" s="341">
        <v>0</v>
      </c>
      <c r="G320" s="339">
        <v>1.4E-3</v>
      </c>
      <c r="H320" s="339" t="s">
        <v>223</v>
      </c>
      <c r="I320" s="339" t="s">
        <v>272</v>
      </c>
      <c r="J320" s="85">
        <f>IF(B320="",IF(CONCATENATE(C320,D320,E320,F320,G320,H320,I320)="","",ws3_EU_ID_blank),IF(ISERROR(MATCH(B320,'2. Emissions Units &amp; Activities'!$B$7:$B$193,0)),ws3_matching_error_msg,G320*IF(E320="Y",1,1-F320)*INDEX('2. Emissions Units &amp; Activities'!$G$7:$G$193,MATCH(B320,'2. Emissions Units &amp; Activities'!$B$7:$B$193,0))))</f>
        <v>0.35218120000000003</v>
      </c>
      <c r="K320" s="85">
        <f t="shared" si="8"/>
        <v>5.0655347912685193E-6</v>
      </c>
      <c r="L320" s="85">
        <f>IF(B320="",IF(CONCATENATE(C320,D320,E320,F320,G320,H320,I320)="","",ws3_EU_ID_blank),IF(ISERROR(MATCH(B320,'2. Emissions Units &amp; Activities'!$B$7:$B$193,0)),ws3_matching_error_msg,G320*IF(E320="Y",1,1-F320)*INDEX('2. Emissions Units &amp; Activities'!$J$7:$J$193,MATCH(B320,'2. Emissions Units &amp; Activities'!$B$7:$B$193,0))))</f>
        <v>9.6487999999999999E-4</v>
      </c>
      <c r="M320" s="509">
        <f t="shared" si="9"/>
        <v>5.0655347912685185E-6</v>
      </c>
      <c r="N320" s="284"/>
    </row>
    <row r="321" spans="1:14" ht="15.75" x14ac:dyDescent="0.25">
      <c r="A321" s="86"/>
      <c r="B321" s="508" t="s">
        <v>58</v>
      </c>
      <c r="C321" s="339" t="s">
        <v>279</v>
      </c>
      <c r="D321" s="340" t="s">
        <v>280</v>
      </c>
      <c r="E321" s="339" t="s">
        <v>214</v>
      </c>
      <c r="F321" s="341">
        <v>0</v>
      </c>
      <c r="G321" s="339">
        <v>8.3999999999999995E-5</v>
      </c>
      <c r="H321" s="339" t="s">
        <v>223</v>
      </c>
      <c r="I321" s="339" t="s">
        <v>272</v>
      </c>
      <c r="J321" s="85">
        <f>IF(B321="",IF(CONCATENATE(C321,D321,E321,F321,G321,H321,I321)="","",ws3_EU_ID_blank),IF(ISERROR(MATCH(B321,'2. Emissions Units &amp; Activities'!$B$7:$B$193,0)),ws3_matching_error_msg,G321*IF(E321="Y",1,1-F321)*INDEX('2. Emissions Units &amp; Activities'!$G$7:$G$193,MATCH(B321,'2. Emissions Units &amp; Activities'!$B$7:$B$193,0))))</f>
        <v>2.1130872000000002E-2</v>
      </c>
      <c r="K321" s="85">
        <f t="shared" si="8"/>
        <v>3.0393208747611113E-7</v>
      </c>
      <c r="L321" s="85">
        <f>IF(B321="",IF(CONCATENATE(C321,D321,E321,F321,G321,H321,I321)="","",ws3_EU_ID_blank),IF(ISERROR(MATCH(B321,'2. Emissions Units &amp; Activities'!$B$7:$B$193,0)),ws3_matching_error_msg,G321*IF(E321="Y",1,1-F321)*INDEX('2. Emissions Units &amp; Activities'!$J$7:$J$193,MATCH(B321,'2. Emissions Units &amp; Activities'!$B$7:$B$193,0))))</f>
        <v>5.7892800000000002E-5</v>
      </c>
      <c r="M321" s="509">
        <f t="shared" si="9"/>
        <v>3.0393208747611113E-7</v>
      </c>
      <c r="N321" s="284"/>
    </row>
    <row r="322" spans="1:14" ht="15.75" x14ac:dyDescent="0.25">
      <c r="A322" s="86"/>
      <c r="B322" s="508" t="s">
        <v>58</v>
      </c>
      <c r="C322" s="339" t="s">
        <v>253</v>
      </c>
      <c r="D322" s="340" t="s">
        <v>254</v>
      </c>
      <c r="E322" s="339" t="s">
        <v>214</v>
      </c>
      <c r="F322" s="341">
        <v>0</v>
      </c>
      <c r="G322" s="339">
        <v>8.4999999999999995E-4</v>
      </c>
      <c r="H322" s="339" t="s">
        <v>223</v>
      </c>
      <c r="I322" s="339" t="s">
        <v>272</v>
      </c>
      <c r="J322" s="85">
        <f>IF(B322="",IF(CONCATENATE(C322,D322,E322,F322,G322,H322,I322)="","",ws3_EU_ID_blank),IF(ISERROR(MATCH(B322,'2. Emissions Units &amp; Activities'!$B$7:$B$193,0)),ws3_matching_error_msg,G322*IF(E322="Y",1,1-F322)*INDEX('2. Emissions Units &amp; Activities'!$G$7:$G$193,MATCH(B322,'2. Emissions Units &amp; Activities'!$B$7:$B$193,0))))</f>
        <v>0.21382429999999999</v>
      </c>
      <c r="K322" s="85">
        <f t="shared" si="8"/>
        <v>3.0755032661273144E-6</v>
      </c>
      <c r="L322" s="85">
        <f>IF(B322="",IF(CONCATENATE(C322,D322,E322,F322,G322,H322,I322)="","",ws3_EU_ID_blank),IF(ISERROR(MATCH(B322,'2. Emissions Units &amp; Activities'!$B$7:$B$193,0)),ws3_matching_error_msg,G322*IF(E322="Y",1,1-F322)*INDEX('2. Emissions Units &amp; Activities'!$J$7:$J$193,MATCH(B322,'2. Emissions Units &amp; Activities'!$B$7:$B$193,0))))</f>
        <v>5.8582000000000003E-4</v>
      </c>
      <c r="M322" s="509">
        <f t="shared" si="9"/>
        <v>3.0755032661273148E-6</v>
      </c>
      <c r="N322" s="284"/>
    </row>
    <row r="323" spans="1:14" ht="15.75" x14ac:dyDescent="0.25">
      <c r="A323" s="86"/>
      <c r="B323" s="508" t="s">
        <v>58</v>
      </c>
      <c r="C323" s="339" t="s">
        <v>255</v>
      </c>
      <c r="D323" s="340" t="s">
        <v>256</v>
      </c>
      <c r="E323" s="339" t="s">
        <v>214</v>
      </c>
      <c r="F323" s="341">
        <v>0</v>
      </c>
      <c r="G323" s="339">
        <v>6.8999999999999999E-3</v>
      </c>
      <c r="H323" s="339" t="s">
        <v>223</v>
      </c>
      <c r="I323" s="339" t="s">
        <v>272</v>
      </c>
      <c r="J323" s="85">
        <f>IF(B323="",IF(CONCATENATE(C323,D323,E323,F323,G323,H323,I323)="","",ws3_EU_ID_blank),IF(ISERROR(MATCH(B323,'2. Emissions Units &amp; Activities'!$B$7:$B$193,0)),ws3_matching_error_msg,G323*IF(E323="Y",1,1-F323)*INDEX('2. Emissions Units &amp; Activities'!$G$7:$G$193,MATCH(B323,'2. Emissions Units &amp; Activities'!$B$7:$B$193,0))))</f>
        <v>1.7357502</v>
      </c>
      <c r="K323" s="85">
        <f t="shared" si="8"/>
        <v>2.4965850042680558E-5</v>
      </c>
      <c r="L323" s="85">
        <f>IF(B323="",IF(CONCATENATE(C323,D323,E323,F323,G323,H323,I323)="","",ws3_EU_ID_blank),IF(ISERROR(MATCH(B323,'2. Emissions Units &amp; Activities'!$B$7:$B$193,0)),ws3_matching_error_msg,G323*IF(E323="Y",1,1-F323)*INDEX('2. Emissions Units &amp; Activities'!$J$7:$J$193,MATCH(B323,'2. Emissions Units &amp; Activities'!$B$7:$B$193,0))))</f>
        <v>4.7554800000000003E-3</v>
      </c>
      <c r="M323" s="509">
        <f t="shared" si="9"/>
        <v>2.4965850042680558E-5</v>
      </c>
      <c r="N323" s="284"/>
    </row>
    <row r="324" spans="1:14" ht="15.75" x14ac:dyDescent="0.25">
      <c r="A324" s="86"/>
      <c r="B324" s="508" t="s">
        <v>58</v>
      </c>
      <c r="C324" s="339" t="s">
        <v>257</v>
      </c>
      <c r="D324" s="340" t="s">
        <v>258</v>
      </c>
      <c r="E324" s="339" t="s">
        <v>214</v>
      </c>
      <c r="F324" s="341">
        <v>0</v>
      </c>
      <c r="G324" s="339">
        <v>4.5999999999999999E-3</v>
      </c>
      <c r="H324" s="339" t="s">
        <v>223</v>
      </c>
      <c r="I324" s="339" t="s">
        <v>272</v>
      </c>
      <c r="J324" s="85">
        <f>IF(B324="",IF(CONCATENATE(C324,D324,E324,F324,G324,H324,I324)="","",ws3_EU_ID_blank),IF(ISERROR(MATCH(B324,'2. Emissions Units &amp; Activities'!$B$7:$B$193,0)),ws3_matching_error_msg,G324*IF(E324="Y",1,1-F324)*INDEX('2. Emissions Units &amp; Activities'!$G$7:$G$193,MATCH(B324,'2. Emissions Units &amp; Activities'!$B$7:$B$193,0))))</f>
        <v>1.1571668000000002</v>
      </c>
      <c r="K324" s="85">
        <f t="shared" si="8"/>
        <v>1.6643900028453709E-5</v>
      </c>
      <c r="L324" s="85">
        <f>IF(B324="",IF(CONCATENATE(C324,D324,E324,F324,G324,H324,I324)="","",ws3_EU_ID_blank),IF(ISERROR(MATCH(B324,'2. Emissions Units &amp; Activities'!$B$7:$B$193,0)),ws3_matching_error_msg,G324*IF(E324="Y",1,1-F324)*INDEX('2. Emissions Units &amp; Activities'!$J$7:$J$193,MATCH(B324,'2. Emissions Units &amp; Activities'!$B$7:$B$193,0))))</f>
        <v>3.1703199999999999E-3</v>
      </c>
      <c r="M324" s="509">
        <f t="shared" si="9"/>
        <v>1.6643900028453705E-5</v>
      </c>
      <c r="N324" s="284"/>
    </row>
    <row r="325" spans="1:14" ht="15.75" x14ac:dyDescent="0.25">
      <c r="A325" s="86"/>
      <c r="B325" s="508" t="s">
        <v>58</v>
      </c>
      <c r="C325" s="339" t="s">
        <v>241</v>
      </c>
      <c r="D325" s="340" t="s">
        <v>242</v>
      </c>
      <c r="E325" s="339" t="s">
        <v>214</v>
      </c>
      <c r="F325" s="341">
        <v>0</v>
      </c>
      <c r="G325" s="339">
        <v>5.0000000000000001E-4</v>
      </c>
      <c r="H325" s="339" t="s">
        <v>223</v>
      </c>
      <c r="I325" s="339" t="s">
        <v>272</v>
      </c>
      <c r="J325" s="85">
        <f>IF(B325="",IF(CONCATENATE(C325,D325,E325,F325,G325,H325,I325)="","",ws3_EU_ID_blank),IF(ISERROR(MATCH(B325,'2. Emissions Units &amp; Activities'!$B$7:$B$193,0)),ws3_matching_error_msg,G325*IF(E325="Y",1,1-F325)*INDEX('2. Emissions Units &amp; Activities'!$G$7:$G$193,MATCH(B325,'2. Emissions Units &amp; Activities'!$B$7:$B$193,0))))</f>
        <v>0.125779</v>
      </c>
      <c r="K325" s="85">
        <f t="shared" si="8"/>
        <v>1.8091195683101854E-6</v>
      </c>
      <c r="L325" s="85">
        <f>IF(B325="",IF(CONCATENATE(C325,D325,E325,F325,G325,H325,I325)="","",ws3_EU_ID_blank),IF(ISERROR(MATCH(B325,'2. Emissions Units &amp; Activities'!$B$7:$B$193,0)),ws3_matching_error_msg,G325*IF(E325="Y",1,1-F325)*INDEX('2. Emissions Units &amp; Activities'!$J$7:$J$193,MATCH(B325,'2. Emissions Units &amp; Activities'!$B$7:$B$193,0))))</f>
        <v>3.4460000000000003E-4</v>
      </c>
      <c r="M325" s="509">
        <f t="shared" si="9"/>
        <v>1.8091195683101856E-6</v>
      </c>
      <c r="N325" s="284"/>
    </row>
    <row r="326" spans="1:14" ht="15.75" x14ac:dyDescent="0.25">
      <c r="A326" s="86"/>
      <c r="B326" s="508" t="s">
        <v>58</v>
      </c>
      <c r="C326" s="339" t="s">
        <v>261</v>
      </c>
      <c r="D326" s="340" t="s">
        <v>262</v>
      </c>
      <c r="E326" s="339" t="s">
        <v>214</v>
      </c>
      <c r="F326" s="341">
        <v>0</v>
      </c>
      <c r="G326" s="339">
        <v>3.8000000000000002E-4</v>
      </c>
      <c r="H326" s="339" t="s">
        <v>223</v>
      </c>
      <c r="I326" s="339" t="s">
        <v>272</v>
      </c>
      <c r="J326" s="85">
        <f>IF(B326="",IF(CONCATENATE(C326,D326,E326,F326,G326,H326,I326)="","",ws3_EU_ID_blank),IF(ISERROR(MATCH(B326,'2. Emissions Units &amp; Activities'!$B$7:$B$193,0)),ws3_matching_error_msg,G326*IF(E326="Y",1,1-F326)*INDEX('2. Emissions Units &amp; Activities'!$G$7:$G$193,MATCH(B326,'2. Emissions Units &amp; Activities'!$B$7:$B$193,0))))</f>
        <v>9.5592040000000017E-2</v>
      </c>
      <c r="K326" s="85">
        <f t="shared" si="8"/>
        <v>1.3749308719157411E-6</v>
      </c>
      <c r="L326" s="85">
        <f>IF(B326="",IF(CONCATENATE(C326,D326,E326,F326,G326,H326,I326)="","",ws3_EU_ID_blank),IF(ISERROR(MATCH(B326,'2. Emissions Units &amp; Activities'!$B$7:$B$193,0)),ws3_matching_error_msg,G326*IF(E326="Y",1,1-F326)*INDEX('2. Emissions Units &amp; Activities'!$J$7:$J$193,MATCH(B326,'2. Emissions Units &amp; Activities'!$B$7:$B$193,0))))</f>
        <v>2.6189600000000001E-4</v>
      </c>
      <c r="M326" s="509">
        <f t="shared" si="9"/>
        <v>1.3749308719157409E-6</v>
      </c>
      <c r="N326" s="284"/>
    </row>
    <row r="327" spans="1:14" ht="15.75" x14ac:dyDescent="0.25">
      <c r="A327" s="86"/>
      <c r="B327" s="508" t="s">
        <v>58</v>
      </c>
      <c r="C327" s="339" t="s">
        <v>263</v>
      </c>
      <c r="D327" s="340" t="s">
        <v>264</v>
      </c>
      <c r="E327" s="339" t="s">
        <v>214</v>
      </c>
      <c r="F327" s="341">
        <v>0</v>
      </c>
      <c r="G327" s="339">
        <v>2.5999999999999998E-4</v>
      </c>
      <c r="H327" s="339" t="s">
        <v>223</v>
      </c>
      <c r="I327" s="339" t="s">
        <v>272</v>
      </c>
      <c r="J327" s="85">
        <f>IF(B327="",IF(CONCATENATE(C327,D327,E327,F327,G327,H327,I327)="","",ws3_EU_ID_blank),IF(ISERROR(MATCH(B327,'2. Emissions Units &amp; Activities'!$B$7:$B$193,0)),ws3_matching_error_msg,G327*IF(E327="Y",1,1-F327)*INDEX('2. Emissions Units &amp; Activities'!$G$7:$G$193,MATCH(B327,'2. Emissions Units &amp; Activities'!$B$7:$B$193,0))))</f>
        <v>6.5405080000000004E-2</v>
      </c>
      <c r="K327" s="85">
        <f t="shared" si="8"/>
        <v>9.4074217552129631E-7</v>
      </c>
      <c r="L327" s="85">
        <f>IF(B327="",IF(CONCATENATE(C327,D327,E327,F327,G327,H327,I327)="","",ws3_EU_ID_blank),IF(ISERROR(MATCH(B327,'2. Emissions Units &amp; Activities'!$B$7:$B$193,0)),ws3_matching_error_msg,G327*IF(E327="Y",1,1-F327)*INDEX('2. Emissions Units &amp; Activities'!$J$7:$J$193,MATCH(B327,'2. Emissions Units &amp; Activities'!$B$7:$B$193,0))))</f>
        <v>1.79192E-4</v>
      </c>
      <c r="M327" s="509">
        <f t="shared" si="9"/>
        <v>9.4074217552129631E-7</v>
      </c>
      <c r="N327" s="284"/>
    </row>
    <row r="328" spans="1:14" ht="15.75" x14ac:dyDescent="0.25">
      <c r="A328" s="86"/>
      <c r="B328" s="508" t="s">
        <v>58</v>
      </c>
      <c r="C328" s="339" t="s">
        <v>281</v>
      </c>
      <c r="D328" s="340" t="s">
        <v>282</v>
      </c>
      <c r="E328" s="339" t="s">
        <v>214</v>
      </c>
      <c r="F328" s="341">
        <v>0</v>
      </c>
      <c r="G328" s="339">
        <v>1.65E-3</v>
      </c>
      <c r="H328" s="339" t="s">
        <v>223</v>
      </c>
      <c r="I328" s="339" t="s">
        <v>272</v>
      </c>
      <c r="J328" s="85">
        <f>IF(B328="",IF(CONCATENATE(C328,D328,E328,F328,G328,H328,I328)="","",ws3_EU_ID_blank),IF(ISERROR(MATCH(B328,'2. Emissions Units &amp; Activities'!$B$7:$B$193,0)),ws3_matching_error_msg,G328*IF(E328="Y",1,1-F328)*INDEX('2. Emissions Units &amp; Activities'!$G$7:$G$193,MATCH(B328,'2. Emissions Units &amp; Activities'!$B$7:$B$193,0))))</f>
        <v>0.41507070000000001</v>
      </c>
      <c r="K328" s="85">
        <f t="shared" si="8"/>
        <v>5.9700945754236115E-6</v>
      </c>
      <c r="L328" s="85">
        <f>IF(B328="",IF(CONCATENATE(C328,D328,E328,F328,G328,H328,I328)="","",ws3_EU_ID_blank),IF(ISERROR(MATCH(B328,'2. Emissions Units &amp; Activities'!$B$7:$B$193,0)),ws3_matching_error_msg,G328*IF(E328="Y",1,1-F328)*INDEX('2. Emissions Units &amp; Activities'!$J$7:$J$193,MATCH(B328,'2. Emissions Units &amp; Activities'!$B$7:$B$193,0))))</f>
        <v>1.13718E-3</v>
      </c>
      <c r="M328" s="509">
        <f t="shared" si="9"/>
        <v>5.9700945754236115E-6</v>
      </c>
      <c r="N328" s="284"/>
    </row>
    <row r="329" spans="1:14" ht="15.75" x14ac:dyDescent="0.25">
      <c r="A329" s="86"/>
      <c r="B329" s="508" t="s">
        <v>58</v>
      </c>
      <c r="C329" s="339">
        <v>365</v>
      </c>
      <c r="D329" s="340" t="s">
        <v>243</v>
      </c>
      <c r="E329" s="339" t="s">
        <v>214</v>
      </c>
      <c r="F329" s="341">
        <v>0</v>
      </c>
      <c r="G329" s="339">
        <v>2.0999999999999999E-3</v>
      </c>
      <c r="H329" s="339" t="s">
        <v>223</v>
      </c>
      <c r="I329" s="339" t="s">
        <v>272</v>
      </c>
      <c r="J329" s="85">
        <f>IF(B329="",IF(CONCATENATE(C329,D329,E329,F329,G329,H329,I329)="","",ws3_EU_ID_blank),IF(ISERROR(MATCH(B329,'2. Emissions Units &amp; Activities'!$B$7:$B$193,0)),ws3_matching_error_msg,G329*IF(E329="Y",1,1-F329)*INDEX('2. Emissions Units &amp; Activities'!$G$7:$G$193,MATCH(B329,'2. Emissions Units &amp; Activities'!$B$7:$B$193,0))))</f>
        <v>0.52827179999999996</v>
      </c>
      <c r="K329" s="85">
        <f t="shared" ref="K329:K574" si="10">CONVERT(J329,"lbm","g")/8760/3600</f>
        <v>7.5983021869027769E-6</v>
      </c>
      <c r="L329" s="85">
        <f>IF(B329="",IF(CONCATENATE(C329,D329,E329,F329,G329,H329,I329)="","",ws3_EU_ID_blank),IF(ISERROR(MATCH(B329,'2. Emissions Units &amp; Activities'!$B$7:$B$193,0)),ws3_matching_error_msg,G329*IF(E329="Y",1,1-F329)*INDEX('2. Emissions Units &amp; Activities'!$J$7:$J$193,MATCH(B329,'2. Emissions Units &amp; Activities'!$B$7:$B$193,0))))</f>
        <v>1.44732E-3</v>
      </c>
      <c r="M329" s="509">
        <f t="shared" ref="M329:M574" si="11">CONVERT(L329,"lbm","g")/24/3600</f>
        <v>7.5983021869027769E-6</v>
      </c>
      <c r="N329" s="284"/>
    </row>
    <row r="330" spans="1:14" ht="15.75" x14ac:dyDescent="0.25">
      <c r="A330" s="86"/>
      <c r="B330" s="508" t="s">
        <v>58</v>
      </c>
      <c r="C330" s="339" t="s">
        <v>265</v>
      </c>
      <c r="D330" s="340" t="s">
        <v>266</v>
      </c>
      <c r="E330" s="339" t="s">
        <v>214</v>
      </c>
      <c r="F330" s="341">
        <v>0</v>
      </c>
      <c r="G330" s="339">
        <v>2.4000000000000001E-5</v>
      </c>
      <c r="H330" s="339" t="s">
        <v>223</v>
      </c>
      <c r="I330" s="339" t="s">
        <v>272</v>
      </c>
      <c r="J330" s="85">
        <f>IF(B330="",IF(CONCATENATE(C330,D330,E330,F330,G330,H330,I330)="","",ws3_EU_ID_blank),IF(ISERROR(MATCH(B330,'2. Emissions Units &amp; Activities'!$B$7:$B$193,0)),ws3_matching_error_msg,G330*IF(E330="Y",1,1-F330)*INDEX('2. Emissions Units &amp; Activities'!$G$7:$G$193,MATCH(B330,'2. Emissions Units &amp; Activities'!$B$7:$B$193,0))))</f>
        <v>6.0373920000000008E-3</v>
      </c>
      <c r="K330" s="85">
        <f t="shared" si="10"/>
        <v>8.6837739278888899E-8</v>
      </c>
      <c r="L330" s="85">
        <f>IF(B330="",IF(CONCATENATE(C330,D330,E330,F330,G330,H330,I330)="","",ws3_EU_ID_blank),IF(ISERROR(MATCH(B330,'2. Emissions Units &amp; Activities'!$B$7:$B$193,0)),ws3_matching_error_msg,G330*IF(E330="Y",1,1-F330)*INDEX('2. Emissions Units &amp; Activities'!$J$7:$J$193,MATCH(B330,'2. Emissions Units &amp; Activities'!$B$7:$B$193,0))))</f>
        <v>1.6540800000000003E-5</v>
      </c>
      <c r="M330" s="509">
        <f t="shared" si="11"/>
        <v>8.6837739278888913E-8</v>
      </c>
      <c r="N330" s="284"/>
    </row>
    <row r="331" spans="1:14" ht="15.75" x14ac:dyDescent="0.25">
      <c r="A331" s="86"/>
      <c r="B331" s="508" t="s">
        <v>58</v>
      </c>
      <c r="C331" s="339" t="s">
        <v>267</v>
      </c>
      <c r="D331" s="340" t="s">
        <v>268</v>
      </c>
      <c r="E331" s="339" t="s">
        <v>214</v>
      </c>
      <c r="F331" s="341">
        <v>0</v>
      </c>
      <c r="G331" s="339">
        <v>2.6499999999999999E-2</v>
      </c>
      <c r="H331" s="339" t="s">
        <v>223</v>
      </c>
      <c r="I331" s="339" t="s">
        <v>272</v>
      </c>
      <c r="J331" s="85">
        <f>IF(B331="",IF(CONCATENATE(C331,D331,E331,F331,G331,H331,I331)="","",ws3_EU_ID_blank),IF(ISERROR(MATCH(B331,'2. Emissions Units &amp; Activities'!$B$7:$B$193,0)),ws3_matching_error_msg,G331*IF(E331="Y",1,1-F331)*INDEX('2. Emissions Units &amp; Activities'!$G$7:$G$193,MATCH(B331,'2. Emissions Units &amp; Activities'!$B$7:$B$193,0))))</f>
        <v>6.6662870000000005</v>
      </c>
      <c r="K331" s="85">
        <f t="shared" si="10"/>
        <v>9.5883337120439817E-5</v>
      </c>
      <c r="L331" s="85">
        <f>IF(B331="",IF(CONCATENATE(C331,D331,E331,F331,G331,H331,I331)="","",ws3_EU_ID_blank),IF(ISERROR(MATCH(B331,'2. Emissions Units &amp; Activities'!$B$7:$B$193,0)),ws3_matching_error_msg,G331*IF(E331="Y",1,1-F331)*INDEX('2. Emissions Units &amp; Activities'!$J$7:$J$193,MATCH(B331,'2. Emissions Units &amp; Activities'!$B$7:$B$193,0))))</f>
        <v>1.82638E-2</v>
      </c>
      <c r="M331" s="509">
        <f t="shared" si="11"/>
        <v>9.5883337120439817E-5</v>
      </c>
      <c r="N331" s="284"/>
    </row>
    <row r="332" spans="1:14" ht="15.75" x14ac:dyDescent="0.25">
      <c r="A332" s="86"/>
      <c r="B332" s="508" t="s">
        <v>58</v>
      </c>
      <c r="C332" s="339" t="s">
        <v>283</v>
      </c>
      <c r="D332" s="340" t="s">
        <v>284</v>
      </c>
      <c r="E332" s="339" t="s">
        <v>214</v>
      </c>
      <c r="F332" s="341">
        <v>0</v>
      </c>
      <c r="G332" s="339">
        <v>2.3E-3</v>
      </c>
      <c r="H332" s="339" t="s">
        <v>223</v>
      </c>
      <c r="I332" s="339" t="s">
        <v>272</v>
      </c>
      <c r="J332" s="85">
        <f>IF(B332="",IF(CONCATENATE(C332,D332,E332,F332,G332,H332,I332)="","",ws3_EU_ID_blank),IF(ISERROR(MATCH(B332,'2. Emissions Units &amp; Activities'!$B$7:$B$193,0)),ws3_matching_error_msg,G332*IF(E332="Y",1,1-F332)*INDEX('2. Emissions Units &amp; Activities'!$G$7:$G$193,MATCH(B332,'2. Emissions Units &amp; Activities'!$B$7:$B$193,0))))</f>
        <v>0.57858340000000008</v>
      </c>
      <c r="K332" s="85">
        <f t="shared" si="10"/>
        <v>8.3219500142268543E-6</v>
      </c>
      <c r="L332" s="85">
        <f>IF(B332="",IF(CONCATENATE(C332,D332,E332,F332,G332,H332,I332)="","",ws3_EU_ID_blank),IF(ISERROR(MATCH(B332,'2. Emissions Units &amp; Activities'!$B$7:$B$193,0)),ws3_matching_error_msg,G332*IF(E332="Y",1,1-F332)*INDEX('2. Emissions Units &amp; Activities'!$J$7:$J$193,MATCH(B332,'2. Emissions Units &amp; Activities'!$B$7:$B$193,0))))</f>
        <v>1.58516E-3</v>
      </c>
      <c r="M332" s="509">
        <f t="shared" si="11"/>
        <v>8.3219500142268526E-6</v>
      </c>
      <c r="N332" s="284"/>
    </row>
    <row r="333" spans="1:14" ht="15.75" x14ac:dyDescent="0.25">
      <c r="A333" s="86"/>
      <c r="B333" s="508" t="s">
        <v>58</v>
      </c>
      <c r="C333" s="339" t="s">
        <v>269</v>
      </c>
      <c r="D333" s="340" t="s">
        <v>270</v>
      </c>
      <c r="E333" s="339" t="s">
        <v>214</v>
      </c>
      <c r="F333" s="341">
        <v>0</v>
      </c>
      <c r="G333" s="339">
        <v>1.9699999999999999E-2</v>
      </c>
      <c r="H333" s="339" t="s">
        <v>223</v>
      </c>
      <c r="I333" s="339" t="s">
        <v>272</v>
      </c>
      <c r="J333" s="85">
        <f>IF(B333="",IF(CONCATENATE(C333,D333,E333,F333,G333,H333,I333)="","",ws3_EU_ID_blank),IF(ISERROR(MATCH(B333,'2. Emissions Units &amp; Activities'!$B$7:$B$193,0)),ws3_matching_error_msg,G333*IF(E333="Y",1,1-F333)*INDEX('2. Emissions Units &amp; Activities'!$G$7:$G$193,MATCH(B333,'2. Emissions Units &amp; Activities'!$B$7:$B$193,0))))</f>
        <v>4.9556925999999999</v>
      </c>
      <c r="K333" s="85">
        <f t="shared" si="10"/>
        <v>7.1279310991421302E-5</v>
      </c>
      <c r="L333" s="85">
        <f>IF(B333="",IF(CONCATENATE(C333,D333,E333,F333,G333,H333,I333)="","",ws3_EU_ID_blank),IF(ISERROR(MATCH(B333,'2. Emissions Units &amp; Activities'!$B$7:$B$193,0)),ws3_matching_error_msg,G333*IF(E333="Y",1,1-F333)*INDEX('2. Emissions Units &amp; Activities'!$J$7:$J$193,MATCH(B333,'2. Emissions Units &amp; Activities'!$B$7:$B$193,0))))</f>
        <v>1.3577239999999999E-2</v>
      </c>
      <c r="M333" s="509">
        <f t="shared" si="11"/>
        <v>7.1279310991421288E-5</v>
      </c>
      <c r="N333" s="284"/>
    </row>
    <row r="334" spans="1:14" ht="15.75" x14ac:dyDescent="0.25">
      <c r="A334" s="86"/>
      <c r="B334" s="508" t="s">
        <v>58</v>
      </c>
      <c r="C334" s="339" t="s">
        <v>285</v>
      </c>
      <c r="D334" s="340" t="s">
        <v>286</v>
      </c>
      <c r="E334" s="339" t="s">
        <v>214</v>
      </c>
      <c r="F334" s="341">
        <v>0</v>
      </c>
      <c r="G334" s="339">
        <v>2.9000000000000001E-2</v>
      </c>
      <c r="H334" s="339" t="s">
        <v>223</v>
      </c>
      <c r="I334" s="339" t="s">
        <v>272</v>
      </c>
      <c r="J334" s="85">
        <f>IF(B334="",IF(CONCATENATE(C334,D334,E334,F334,G334,H334,I334)="","",ws3_EU_ID_blank),IF(ISERROR(MATCH(B334,'2. Emissions Units &amp; Activities'!$B$7:$B$193,0)),ws3_matching_error_msg,G334*IF(E334="Y",1,1-F334)*INDEX('2. Emissions Units &amp; Activities'!$G$7:$G$193,MATCH(B334,'2. Emissions Units &amp; Activities'!$B$7:$B$193,0))))</f>
        <v>7.2951820000000014</v>
      </c>
      <c r="K334" s="85">
        <f t="shared" si="10"/>
        <v>1.0492893496199077E-4</v>
      </c>
      <c r="L334" s="85">
        <f>IF(B334="",IF(CONCATENATE(C334,D334,E334,F334,G334,H334,I334)="","",ws3_EU_ID_blank),IF(ISERROR(MATCH(B334,'2. Emissions Units &amp; Activities'!$B$7:$B$193,0)),ws3_matching_error_msg,G334*IF(E334="Y",1,1-F334)*INDEX('2. Emissions Units &amp; Activities'!$J$7:$J$193,MATCH(B334,'2. Emissions Units &amp; Activities'!$B$7:$B$193,0))))</f>
        <v>1.9986800000000002E-2</v>
      </c>
      <c r="M334" s="509">
        <f t="shared" si="11"/>
        <v>1.0492893496199077E-4</v>
      </c>
      <c r="N334" s="284"/>
    </row>
    <row r="335" spans="1:14" ht="15.75" x14ac:dyDescent="0.25">
      <c r="A335" s="86"/>
      <c r="B335" s="508" t="s">
        <v>59</v>
      </c>
      <c r="C335" s="339" t="s">
        <v>221</v>
      </c>
      <c r="D335" s="340" t="s">
        <v>222</v>
      </c>
      <c r="E335" s="339" t="s">
        <v>214</v>
      </c>
      <c r="F335" s="341">
        <v>0</v>
      </c>
      <c r="G335" s="339">
        <v>5.7999999999999996E-3</v>
      </c>
      <c r="H335" s="339" t="s">
        <v>223</v>
      </c>
      <c r="I335" s="339" t="s">
        <v>272</v>
      </c>
      <c r="J335" s="85">
        <f>IF(B335="",IF(CONCATENATE(C335,D335,E335,F335,G335,H335,I335)="","",ws3_EU_ID_blank),IF(ISERROR(MATCH(B335,'2. Emissions Units &amp; Activities'!$B$7:$B$193,0)),ws3_matching_error_msg,G335*IF(E335="Y",1,1-F335)*INDEX('2. Emissions Units &amp; Activities'!$G$7:$G$193,MATCH(B335,'2. Emissions Units &amp; Activities'!$B$7:$B$193,0))))</f>
        <v>1.4590364</v>
      </c>
      <c r="K335" s="85">
        <f t="shared" si="10"/>
        <v>2.098578699239815E-5</v>
      </c>
      <c r="L335" s="85">
        <f>IF(B335="",IF(CONCATENATE(C335,D335,E335,F335,G335,H335,I335)="","",ws3_EU_ID_blank),IF(ISERROR(MATCH(B335,'2. Emissions Units &amp; Activities'!$B$7:$B$193,0)),ws3_matching_error_msg,G335*IF(E335="Y",1,1-F335)*INDEX('2. Emissions Units &amp; Activities'!$J$7:$J$193,MATCH(B335,'2. Emissions Units &amp; Activities'!$B$7:$B$193,0))))</f>
        <v>3.9973600000000001E-3</v>
      </c>
      <c r="M335" s="509">
        <f t="shared" si="11"/>
        <v>2.0985786992398153E-5</v>
      </c>
      <c r="N335" s="284"/>
    </row>
    <row r="336" spans="1:14" ht="15.75" x14ac:dyDescent="0.25">
      <c r="A336" s="86"/>
      <c r="B336" s="508" t="s">
        <v>59</v>
      </c>
      <c r="C336" s="339" t="s">
        <v>237</v>
      </c>
      <c r="D336" s="340" t="s">
        <v>238</v>
      </c>
      <c r="E336" s="339" t="s">
        <v>214</v>
      </c>
      <c r="F336" s="341">
        <v>0</v>
      </c>
      <c r="G336" s="339">
        <v>1.23E-2</v>
      </c>
      <c r="H336" s="339" t="s">
        <v>223</v>
      </c>
      <c r="I336" s="339" t="s">
        <v>272</v>
      </c>
      <c r="J336" s="85">
        <f>IF(B336="",IF(CONCATENATE(C336,D336,E336,F336,G336,H336,I336)="","",ws3_EU_ID_blank),IF(ISERROR(MATCH(B336,'2. Emissions Units &amp; Activities'!$B$7:$B$193,0)),ws3_matching_error_msg,G336*IF(E336="Y",1,1-F336)*INDEX('2. Emissions Units &amp; Activities'!$G$7:$G$193,MATCH(B336,'2. Emissions Units &amp; Activities'!$B$7:$B$193,0))))</f>
        <v>3.0941634000000002</v>
      </c>
      <c r="K336" s="85">
        <f t="shared" si="10"/>
        <v>4.4504341380430563E-5</v>
      </c>
      <c r="L336" s="85">
        <f>IF(B336="",IF(CONCATENATE(C336,D336,E336,F336,G336,H336,I336)="","",ws3_EU_ID_blank),IF(ISERROR(MATCH(B336,'2. Emissions Units &amp; Activities'!$B$7:$B$193,0)),ws3_matching_error_msg,G336*IF(E336="Y",1,1-F336)*INDEX('2. Emissions Units &amp; Activities'!$J$7:$J$193,MATCH(B336,'2. Emissions Units &amp; Activities'!$B$7:$B$193,0))))</f>
        <v>8.4771600000000009E-3</v>
      </c>
      <c r="M336" s="509">
        <f t="shared" si="11"/>
        <v>4.4504341380430563E-5</v>
      </c>
      <c r="N336" s="284"/>
    </row>
    <row r="337" spans="1:14" ht="15.75" x14ac:dyDescent="0.25">
      <c r="A337" s="86"/>
      <c r="B337" s="508" t="s">
        <v>59</v>
      </c>
      <c r="C337" s="339">
        <v>401</v>
      </c>
      <c r="D337" s="340" t="s">
        <v>246</v>
      </c>
      <c r="E337" s="339" t="s">
        <v>214</v>
      </c>
      <c r="F337" s="341">
        <v>0</v>
      </c>
      <c r="G337" s="339">
        <v>1E-4</v>
      </c>
      <c r="H337" s="339" t="s">
        <v>223</v>
      </c>
      <c r="I337" s="339" t="s">
        <v>272</v>
      </c>
      <c r="J337" s="85">
        <f>IF(B337="",IF(CONCATENATE(C337,D337,E337,F337,G337,H337,I337)="","",ws3_EU_ID_blank),IF(ISERROR(MATCH(B337,'2. Emissions Units &amp; Activities'!$B$7:$B$193,0)),ws3_matching_error_msg,G337*IF(E337="Y",1,1-F337)*INDEX('2. Emissions Units &amp; Activities'!$G$7:$G$193,MATCH(B337,'2. Emissions Units &amp; Activities'!$B$7:$B$193,0))))</f>
        <v>2.5155800000000002E-2</v>
      </c>
      <c r="K337" s="85">
        <f t="shared" si="10"/>
        <v>3.6182391366203709E-7</v>
      </c>
      <c r="L337" s="85">
        <f>IF(B337="",IF(CONCATENATE(C337,D337,E337,F337,G337,H337,I337)="","",ws3_EU_ID_blank),IF(ISERROR(MATCH(B337,'2. Emissions Units &amp; Activities'!$B$7:$B$193,0)),ws3_matching_error_msg,G337*IF(E337="Y",1,1-F337)*INDEX('2. Emissions Units &amp; Activities'!$J$7:$J$193,MATCH(B337,'2. Emissions Units &amp; Activities'!$B$7:$B$193,0))))</f>
        <v>6.8920000000000011E-5</v>
      </c>
      <c r="M337" s="509">
        <f t="shared" si="11"/>
        <v>3.6182391366203709E-7</v>
      </c>
      <c r="N337" s="284"/>
    </row>
    <row r="338" spans="1:14" ht="15.75" x14ac:dyDescent="0.25">
      <c r="A338" s="86"/>
      <c r="B338" s="508" t="s">
        <v>59</v>
      </c>
      <c r="C338" s="339" t="s">
        <v>273</v>
      </c>
      <c r="D338" s="340" t="s">
        <v>274</v>
      </c>
      <c r="E338" s="339" t="s">
        <v>214</v>
      </c>
      <c r="F338" s="341">
        <v>0</v>
      </c>
      <c r="G338" s="339">
        <v>1.1999999999999999E-6</v>
      </c>
      <c r="H338" s="339" t="s">
        <v>223</v>
      </c>
      <c r="I338" s="339" t="s">
        <v>272</v>
      </c>
      <c r="J338" s="85">
        <f>IF(B338="",IF(CONCATENATE(C338,D338,E338,F338,G338,H338,I338)="","",ws3_EU_ID_blank),IF(ISERROR(MATCH(B338,'2. Emissions Units &amp; Activities'!$B$7:$B$193,0)),ws3_matching_error_msg,G338*IF(E338="Y",1,1-F338)*INDEX('2. Emissions Units &amp; Activities'!$G$7:$G$193,MATCH(B338,'2. Emissions Units &amp; Activities'!$B$7:$B$193,0))))</f>
        <v>3.0186960000000001E-4</v>
      </c>
      <c r="K338" s="85">
        <f t="shared" si="10"/>
        <v>4.3418869639444458E-9</v>
      </c>
      <c r="L338" s="85">
        <f>IF(B338="",IF(CONCATENATE(C338,D338,E338,F338,G338,H338,I338)="","",ws3_EU_ID_blank),IF(ISERROR(MATCH(B338,'2. Emissions Units &amp; Activities'!$B$7:$B$193,0)),ws3_matching_error_msg,G338*IF(E338="Y",1,1-F338)*INDEX('2. Emissions Units &amp; Activities'!$J$7:$J$193,MATCH(B338,'2. Emissions Units &amp; Activities'!$B$7:$B$193,0))))</f>
        <v>8.2704000000000003E-7</v>
      </c>
      <c r="M338" s="509">
        <f t="shared" si="11"/>
        <v>4.341886963944445E-9</v>
      </c>
      <c r="N338" s="284"/>
    </row>
    <row r="339" spans="1:14" ht="15.75" x14ac:dyDescent="0.25">
      <c r="A339" s="86"/>
      <c r="B339" s="508" t="s">
        <v>59</v>
      </c>
      <c r="C339" s="339" t="s">
        <v>244</v>
      </c>
      <c r="D339" s="340" t="s">
        <v>245</v>
      </c>
      <c r="E339" s="339" t="s">
        <v>214</v>
      </c>
      <c r="F339" s="341">
        <v>0</v>
      </c>
      <c r="G339" s="339">
        <v>2.9999999999999997E-4</v>
      </c>
      <c r="H339" s="339" t="s">
        <v>223</v>
      </c>
      <c r="I339" s="339" t="s">
        <v>272</v>
      </c>
      <c r="J339" s="85">
        <f>IF(B339="",IF(CONCATENATE(C339,D339,E339,F339,G339,H339,I339)="","",ws3_EU_ID_blank),IF(ISERROR(MATCH(B339,'2. Emissions Units &amp; Activities'!$B$7:$B$193,0)),ws3_matching_error_msg,G339*IF(E339="Y",1,1-F339)*INDEX('2. Emissions Units &amp; Activities'!$G$7:$G$193,MATCH(B339,'2. Emissions Units &amp; Activities'!$B$7:$B$193,0))))</f>
        <v>7.5467400000000004E-2</v>
      </c>
      <c r="K339" s="85">
        <f t="shared" si="10"/>
        <v>1.0854717409861111E-6</v>
      </c>
      <c r="L339" s="85">
        <f>IF(B339="",IF(CONCATENATE(C339,D339,E339,F339,G339,H339,I339)="","",ws3_EU_ID_blank),IF(ISERROR(MATCH(B339,'2. Emissions Units &amp; Activities'!$B$7:$B$193,0)),ws3_matching_error_msg,G339*IF(E339="Y",1,1-F339)*INDEX('2. Emissions Units &amp; Activities'!$J$7:$J$193,MATCH(B339,'2. Emissions Units &amp; Activities'!$B$7:$B$193,0))))</f>
        <v>2.0676000000000001E-4</v>
      </c>
      <c r="M339" s="509">
        <f t="shared" si="11"/>
        <v>1.0854717409861111E-6</v>
      </c>
      <c r="N339" s="284"/>
    </row>
    <row r="340" spans="1:14" ht="15.75" x14ac:dyDescent="0.25">
      <c r="A340" s="86"/>
      <c r="B340" s="508" t="s">
        <v>59</v>
      </c>
      <c r="C340" s="339" t="s">
        <v>247</v>
      </c>
      <c r="D340" s="340" t="s">
        <v>248</v>
      </c>
      <c r="E340" s="339" t="s">
        <v>214</v>
      </c>
      <c r="F340" s="341">
        <v>0</v>
      </c>
      <c r="G340" s="339">
        <v>3.0999999999999999E-3</v>
      </c>
      <c r="H340" s="339" t="s">
        <v>223</v>
      </c>
      <c r="I340" s="339" t="s">
        <v>272</v>
      </c>
      <c r="J340" s="85">
        <f>IF(B340="",IF(CONCATENATE(C340,D340,E340,F340,G340,H340,I340)="","",ws3_EU_ID_blank),IF(ISERROR(MATCH(B340,'2. Emissions Units &amp; Activities'!$B$7:$B$193,0)),ws3_matching_error_msg,G340*IF(E340="Y",1,1-F340)*INDEX('2. Emissions Units &amp; Activities'!$G$7:$G$193,MATCH(B340,'2. Emissions Units &amp; Activities'!$B$7:$B$193,0))))</f>
        <v>0.77982980000000002</v>
      </c>
      <c r="K340" s="85">
        <f t="shared" si="10"/>
        <v>1.1216541323523149E-5</v>
      </c>
      <c r="L340" s="85">
        <f>IF(B340="",IF(CONCATENATE(C340,D340,E340,F340,G340,H340,I340)="","",ws3_EU_ID_blank),IF(ISERROR(MATCH(B340,'2. Emissions Units &amp; Activities'!$B$7:$B$193,0)),ws3_matching_error_msg,G340*IF(E340="Y",1,1-F340)*INDEX('2. Emissions Units &amp; Activities'!$J$7:$J$193,MATCH(B340,'2. Emissions Units &amp; Activities'!$B$7:$B$193,0))))</f>
        <v>2.1365199999999998E-3</v>
      </c>
      <c r="M340" s="509">
        <f t="shared" si="11"/>
        <v>1.1216541323523147E-5</v>
      </c>
      <c r="N340" s="284"/>
    </row>
    <row r="341" spans="1:14" ht="15.75" x14ac:dyDescent="0.25">
      <c r="A341" s="86"/>
      <c r="B341" s="508" t="s">
        <v>59</v>
      </c>
      <c r="C341" s="339" t="s">
        <v>249</v>
      </c>
      <c r="D341" s="340" t="s">
        <v>250</v>
      </c>
      <c r="E341" s="339" t="s">
        <v>214</v>
      </c>
      <c r="F341" s="341">
        <v>0</v>
      </c>
      <c r="G341" s="339">
        <v>2.7000000000000001E-3</v>
      </c>
      <c r="H341" s="339" t="s">
        <v>223</v>
      </c>
      <c r="I341" s="339" t="s">
        <v>272</v>
      </c>
      <c r="J341" s="85">
        <f>IF(B341="",IF(CONCATENATE(C341,D341,E341,F341,G341,H341,I341)="","",ws3_EU_ID_blank),IF(ISERROR(MATCH(B341,'2. Emissions Units &amp; Activities'!$B$7:$B$193,0)),ws3_matching_error_msg,G341*IF(E341="Y",1,1-F341)*INDEX('2. Emissions Units &amp; Activities'!$G$7:$G$193,MATCH(B341,'2. Emissions Units &amp; Activities'!$B$7:$B$193,0))))</f>
        <v>0.6792066000000001</v>
      </c>
      <c r="K341" s="85">
        <f t="shared" si="10"/>
        <v>9.7692456688750025E-6</v>
      </c>
      <c r="L341" s="85">
        <f>IF(B341="",IF(CONCATENATE(C341,D341,E341,F341,G341,H341,I341)="","",ws3_EU_ID_blank),IF(ISERROR(MATCH(B341,'2. Emissions Units &amp; Activities'!$B$7:$B$193,0)),ws3_matching_error_msg,G341*IF(E341="Y",1,1-F341)*INDEX('2. Emissions Units &amp; Activities'!$J$7:$J$193,MATCH(B341,'2. Emissions Units &amp; Activities'!$B$7:$B$193,0))))</f>
        <v>1.8608400000000001E-3</v>
      </c>
      <c r="M341" s="509">
        <f t="shared" si="11"/>
        <v>9.7692456688750008E-6</v>
      </c>
      <c r="N341" s="284"/>
    </row>
    <row r="342" spans="1:14" ht="15.75" x14ac:dyDescent="0.25">
      <c r="A342" s="86"/>
      <c r="B342" s="508" t="s">
        <v>59</v>
      </c>
      <c r="C342" s="339" t="s">
        <v>251</v>
      </c>
      <c r="D342" s="340" t="s">
        <v>252</v>
      </c>
      <c r="E342" s="339" t="s">
        <v>214</v>
      </c>
      <c r="F342" s="341">
        <v>0</v>
      </c>
      <c r="G342" s="339">
        <v>3.2</v>
      </c>
      <c r="H342" s="339" t="s">
        <v>223</v>
      </c>
      <c r="I342" s="339" t="s">
        <v>272</v>
      </c>
      <c r="J342" s="85">
        <f>IF(B342="",IF(CONCATENATE(C342,D342,E342,F342,G342,H342,I342)="","",ws3_EU_ID_blank),IF(ISERROR(MATCH(B342,'2. Emissions Units &amp; Activities'!$B$7:$B$193,0)),ws3_matching_error_msg,G342*IF(E342="Y",1,1-F342)*INDEX('2. Emissions Units &amp; Activities'!$G$7:$G$193,MATCH(B342,'2. Emissions Units &amp; Activities'!$B$7:$B$193,0))))</f>
        <v>804.98560000000009</v>
      </c>
      <c r="K342" s="85">
        <f t="shared" si="10"/>
        <v>1.1578365237185187E-2</v>
      </c>
      <c r="L342" s="85">
        <f>IF(B342="",IF(CONCATENATE(C342,D342,E342,F342,G342,H342,I342)="","",ws3_EU_ID_blank),IF(ISERROR(MATCH(B342,'2. Emissions Units &amp; Activities'!$B$7:$B$193,0)),ws3_matching_error_msg,G342*IF(E342="Y",1,1-F342)*INDEX('2. Emissions Units &amp; Activities'!$J$7:$J$193,MATCH(B342,'2. Emissions Units &amp; Activities'!$B$7:$B$193,0))))</f>
        <v>2.2054400000000003</v>
      </c>
      <c r="M342" s="509">
        <f t="shared" si="11"/>
        <v>1.1578365237185187E-2</v>
      </c>
      <c r="N342" s="284"/>
    </row>
    <row r="343" spans="1:14" ht="15.75" x14ac:dyDescent="0.25">
      <c r="A343" s="86"/>
      <c r="B343" s="508" t="s">
        <v>59</v>
      </c>
      <c r="C343" s="339" t="s">
        <v>218</v>
      </c>
      <c r="D343" s="340" t="s">
        <v>219</v>
      </c>
      <c r="E343" s="339" t="s">
        <v>214</v>
      </c>
      <c r="F343" s="341">
        <v>0</v>
      </c>
      <c r="G343" s="339">
        <v>2.0000000000000001E-4</v>
      </c>
      <c r="H343" s="339" t="s">
        <v>223</v>
      </c>
      <c r="I343" s="339" t="s">
        <v>272</v>
      </c>
      <c r="J343" s="85">
        <f>IF(B343="",IF(CONCATENATE(C343,D343,E343,F343,G343,H343,I343)="","",ws3_EU_ID_blank),IF(ISERROR(MATCH(B343,'2. Emissions Units &amp; Activities'!$B$7:$B$193,0)),ws3_matching_error_msg,G343*IF(E343="Y",1,1-F343)*INDEX('2. Emissions Units &amp; Activities'!$G$7:$G$193,MATCH(B343,'2. Emissions Units &amp; Activities'!$B$7:$B$193,0))))</f>
        <v>5.0311600000000005E-2</v>
      </c>
      <c r="K343" s="85">
        <f t="shared" si="10"/>
        <v>7.2364782732407417E-7</v>
      </c>
      <c r="L343" s="85">
        <f>IF(B343="",IF(CONCATENATE(C343,D343,E343,F343,G343,H343,I343)="","",ws3_EU_ID_blank),IF(ISERROR(MATCH(B343,'2. Emissions Units &amp; Activities'!$B$7:$B$193,0)),ws3_matching_error_msg,G343*IF(E343="Y",1,1-F343)*INDEX('2. Emissions Units &amp; Activities'!$J$7:$J$193,MATCH(B343,'2. Emissions Units &amp; Activities'!$B$7:$B$193,0))))</f>
        <v>1.3784000000000002E-4</v>
      </c>
      <c r="M343" s="509">
        <f t="shared" si="11"/>
        <v>7.2364782732407417E-7</v>
      </c>
      <c r="N343" s="284"/>
    </row>
    <row r="344" spans="1:14" ht="15.75" x14ac:dyDescent="0.25">
      <c r="A344" s="86"/>
      <c r="B344" s="508" t="s">
        <v>59</v>
      </c>
      <c r="C344" s="339" t="s">
        <v>275</v>
      </c>
      <c r="D344" s="340" t="s">
        <v>276</v>
      </c>
      <c r="E344" s="339" t="s">
        <v>214</v>
      </c>
      <c r="F344" s="341">
        <v>0</v>
      </c>
      <c r="G344" s="339">
        <v>4.4000000000000003E-3</v>
      </c>
      <c r="H344" s="339" t="s">
        <v>223</v>
      </c>
      <c r="I344" s="339" t="s">
        <v>272</v>
      </c>
      <c r="J344" s="85">
        <f>IF(B344="",IF(CONCATENATE(C344,D344,E344,F344,G344,H344,I344)="","",ws3_EU_ID_blank),IF(ISERROR(MATCH(B344,'2. Emissions Units &amp; Activities'!$B$7:$B$193,0)),ws3_matching_error_msg,G344*IF(E344="Y",1,1-F344)*INDEX('2. Emissions Units &amp; Activities'!$G$7:$G$193,MATCH(B344,'2. Emissions Units &amp; Activities'!$B$7:$B$193,0))))</f>
        <v>1.1068552000000003</v>
      </c>
      <c r="K344" s="85">
        <f t="shared" si="10"/>
        <v>1.5920252201129633E-5</v>
      </c>
      <c r="L344" s="85">
        <f>IF(B344="",IF(CONCATENATE(C344,D344,E344,F344,G344,H344,I344)="","",ws3_EU_ID_blank),IF(ISERROR(MATCH(B344,'2. Emissions Units &amp; Activities'!$B$7:$B$193,0)),ws3_matching_error_msg,G344*IF(E344="Y",1,1-F344)*INDEX('2. Emissions Units &amp; Activities'!$J$7:$J$193,MATCH(B344,'2. Emissions Units &amp; Activities'!$B$7:$B$193,0))))</f>
        <v>3.0324800000000002E-3</v>
      </c>
      <c r="M344" s="509">
        <f t="shared" si="11"/>
        <v>1.5920252201129633E-5</v>
      </c>
      <c r="N344" s="284"/>
    </row>
    <row r="345" spans="1:14" ht="15.75" x14ac:dyDescent="0.25">
      <c r="A345" s="86"/>
      <c r="B345" s="508" t="s">
        <v>59</v>
      </c>
      <c r="C345" s="339" t="s">
        <v>277</v>
      </c>
      <c r="D345" s="340" t="s">
        <v>278</v>
      </c>
      <c r="E345" s="339" t="s">
        <v>214</v>
      </c>
      <c r="F345" s="341">
        <v>0</v>
      </c>
      <c r="G345" s="339">
        <v>1.2E-5</v>
      </c>
      <c r="H345" s="339" t="s">
        <v>223</v>
      </c>
      <c r="I345" s="339" t="s">
        <v>272</v>
      </c>
      <c r="J345" s="85">
        <f>IF(B345="",IF(CONCATENATE(C345,D345,E345,F345,G345,H345,I345)="","",ws3_EU_ID_blank),IF(ISERROR(MATCH(B345,'2. Emissions Units &amp; Activities'!$B$7:$B$193,0)),ws3_matching_error_msg,G345*IF(E345="Y",1,1-F345)*INDEX('2. Emissions Units &amp; Activities'!$G$7:$G$193,MATCH(B345,'2. Emissions Units &amp; Activities'!$B$7:$B$193,0))))</f>
        <v>3.0186960000000004E-3</v>
      </c>
      <c r="K345" s="85">
        <f t="shared" si="10"/>
        <v>4.341886963944445E-8</v>
      </c>
      <c r="L345" s="85">
        <f>IF(B345="",IF(CONCATENATE(C345,D345,E345,F345,G345,H345,I345)="","",ws3_EU_ID_blank),IF(ISERROR(MATCH(B345,'2. Emissions Units &amp; Activities'!$B$7:$B$193,0)),ws3_matching_error_msg,G345*IF(E345="Y",1,1-F345)*INDEX('2. Emissions Units &amp; Activities'!$J$7:$J$193,MATCH(B345,'2. Emissions Units &amp; Activities'!$B$7:$B$193,0))))</f>
        <v>8.2704000000000013E-6</v>
      </c>
      <c r="M345" s="509">
        <f t="shared" si="11"/>
        <v>4.3418869639444456E-8</v>
      </c>
      <c r="N345" s="284"/>
    </row>
    <row r="346" spans="1:14" ht="15.75" x14ac:dyDescent="0.25">
      <c r="A346" s="86"/>
      <c r="B346" s="508" t="s">
        <v>59</v>
      </c>
      <c r="C346" s="339" t="s">
        <v>235</v>
      </c>
      <c r="D346" s="340" t="s">
        <v>236</v>
      </c>
      <c r="E346" s="339" t="s">
        <v>214</v>
      </c>
      <c r="F346" s="341">
        <v>0</v>
      </c>
      <c r="G346" s="339">
        <v>1.1000000000000001E-3</v>
      </c>
      <c r="H346" s="339" t="s">
        <v>223</v>
      </c>
      <c r="I346" s="339" t="s">
        <v>272</v>
      </c>
      <c r="J346" s="85">
        <f>IF(B346="",IF(CONCATENATE(C346,D346,E346,F346,G346,H346,I346)="","",ws3_EU_ID_blank),IF(ISERROR(MATCH(B346,'2. Emissions Units &amp; Activities'!$B$7:$B$193,0)),ws3_matching_error_msg,G346*IF(E346="Y",1,1-F346)*INDEX('2. Emissions Units &amp; Activities'!$G$7:$G$193,MATCH(B346,'2. Emissions Units &amp; Activities'!$B$7:$B$193,0))))</f>
        <v>0.27671380000000007</v>
      </c>
      <c r="K346" s="85">
        <f t="shared" si="10"/>
        <v>3.9800630502824082E-6</v>
      </c>
      <c r="L346" s="85">
        <f>IF(B346="",IF(CONCATENATE(C346,D346,E346,F346,G346,H346,I346)="","",ws3_EU_ID_blank),IF(ISERROR(MATCH(B346,'2. Emissions Units &amp; Activities'!$B$7:$B$193,0)),ws3_matching_error_msg,G346*IF(E346="Y",1,1-F346)*INDEX('2. Emissions Units &amp; Activities'!$J$7:$J$193,MATCH(B346,'2. Emissions Units &amp; Activities'!$B$7:$B$193,0))))</f>
        <v>7.5812000000000004E-4</v>
      </c>
      <c r="M346" s="509">
        <f t="shared" si="11"/>
        <v>3.9800630502824082E-6</v>
      </c>
      <c r="N346" s="284"/>
    </row>
    <row r="347" spans="1:14" ht="15.75" x14ac:dyDescent="0.25">
      <c r="A347" s="86"/>
      <c r="B347" s="508" t="s">
        <v>59</v>
      </c>
      <c r="C347" s="339" t="s">
        <v>239</v>
      </c>
      <c r="D347" s="340" t="s">
        <v>240</v>
      </c>
      <c r="E347" s="339" t="s">
        <v>214</v>
      </c>
      <c r="F347" s="341">
        <v>0</v>
      </c>
      <c r="G347" s="339">
        <v>1.4E-3</v>
      </c>
      <c r="H347" s="339" t="s">
        <v>223</v>
      </c>
      <c r="I347" s="339" t="s">
        <v>272</v>
      </c>
      <c r="J347" s="85">
        <f>IF(B347="",IF(CONCATENATE(C347,D347,E347,F347,G347,H347,I347)="","",ws3_EU_ID_blank),IF(ISERROR(MATCH(B347,'2. Emissions Units &amp; Activities'!$B$7:$B$193,0)),ws3_matching_error_msg,G347*IF(E347="Y",1,1-F347)*INDEX('2. Emissions Units &amp; Activities'!$G$7:$G$193,MATCH(B347,'2. Emissions Units &amp; Activities'!$B$7:$B$193,0))))</f>
        <v>0.35218120000000003</v>
      </c>
      <c r="K347" s="85">
        <f t="shared" si="10"/>
        <v>5.0655347912685193E-6</v>
      </c>
      <c r="L347" s="85">
        <f>IF(B347="",IF(CONCATENATE(C347,D347,E347,F347,G347,H347,I347)="","",ws3_EU_ID_blank),IF(ISERROR(MATCH(B347,'2. Emissions Units &amp; Activities'!$B$7:$B$193,0)),ws3_matching_error_msg,G347*IF(E347="Y",1,1-F347)*INDEX('2. Emissions Units &amp; Activities'!$J$7:$J$193,MATCH(B347,'2. Emissions Units &amp; Activities'!$B$7:$B$193,0))))</f>
        <v>9.6487999999999999E-4</v>
      </c>
      <c r="M347" s="509">
        <f t="shared" si="11"/>
        <v>5.0655347912685185E-6</v>
      </c>
      <c r="N347" s="284"/>
    </row>
    <row r="348" spans="1:14" ht="15.75" x14ac:dyDescent="0.25">
      <c r="A348" s="86"/>
      <c r="B348" s="508" t="s">
        <v>59</v>
      </c>
      <c r="C348" s="339" t="s">
        <v>279</v>
      </c>
      <c r="D348" s="340" t="s">
        <v>280</v>
      </c>
      <c r="E348" s="339" t="s">
        <v>214</v>
      </c>
      <c r="F348" s="341">
        <v>0</v>
      </c>
      <c r="G348" s="339">
        <v>8.3999999999999995E-5</v>
      </c>
      <c r="H348" s="339" t="s">
        <v>223</v>
      </c>
      <c r="I348" s="339" t="s">
        <v>272</v>
      </c>
      <c r="J348" s="85">
        <f>IF(B348="",IF(CONCATENATE(C348,D348,E348,F348,G348,H348,I348)="","",ws3_EU_ID_blank),IF(ISERROR(MATCH(B348,'2. Emissions Units &amp; Activities'!$B$7:$B$193,0)),ws3_matching_error_msg,G348*IF(E348="Y",1,1-F348)*INDEX('2. Emissions Units &amp; Activities'!$G$7:$G$193,MATCH(B348,'2. Emissions Units &amp; Activities'!$B$7:$B$193,0))))</f>
        <v>2.1130872000000002E-2</v>
      </c>
      <c r="K348" s="85">
        <f t="shared" si="10"/>
        <v>3.0393208747611113E-7</v>
      </c>
      <c r="L348" s="85">
        <f>IF(B348="",IF(CONCATENATE(C348,D348,E348,F348,G348,H348,I348)="","",ws3_EU_ID_blank),IF(ISERROR(MATCH(B348,'2. Emissions Units &amp; Activities'!$B$7:$B$193,0)),ws3_matching_error_msg,G348*IF(E348="Y",1,1-F348)*INDEX('2. Emissions Units &amp; Activities'!$J$7:$J$193,MATCH(B348,'2. Emissions Units &amp; Activities'!$B$7:$B$193,0))))</f>
        <v>5.7892800000000002E-5</v>
      </c>
      <c r="M348" s="509">
        <f t="shared" si="11"/>
        <v>3.0393208747611113E-7</v>
      </c>
      <c r="N348" s="284"/>
    </row>
    <row r="349" spans="1:14" ht="15.75" x14ac:dyDescent="0.25">
      <c r="A349" s="86"/>
      <c r="B349" s="508" t="s">
        <v>59</v>
      </c>
      <c r="C349" s="339" t="s">
        <v>253</v>
      </c>
      <c r="D349" s="340" t="s">
        <v>254</v>
      </c>
      <c r="E349" s="339" t="s">
        <v>214</v>
      </c>
      <c r="F349" s="341">
        <v>0</v>
      </c>
      <c r="G349" s="339">
        <v>8.4999999999999995E-4</v>
      </c>
      <c r="H349" s="339" t="s">
        <v>223</v>
      </c>
      <c r="I349" s="339" t="s">
        <v>272</v>
      </c>
      <c r="J349" s="85">
        <f>IF(B349="",IF(CONCATENATE(C349,D349,E349,F349,G349,H349,I349)="","",ws3_EU_ID_blank),IF(ISERROR(MATCH(B349,'2. Emissions Units &amp; Activities'!$B$7:$B$193,0)),ws3_matching_error_msg,G349*IF(E349="Y",1,1-F349)*INDEX('2. Emissions Units &amp; Activities'!$G$7:$G$193,MATCH(B349,'2. Emissions Units &amp; Activities'!$B$7:$B$193,0))))</f>
        <v>0.21382429999999999</v>
      </c>
      <c r="K349" s="85">
        <f t="shared" si="10"/>
        <v>3.0755032661273144E-6</v>
      </c>
      <c r="L349" s="85">
        <f>IF(B349="",IF(CONCATENATE(C349,D349,E349,F349,G349,H349,I349)="","",ws3_EU_ID_blank),IF(ISERROR(MATCH(B349,'2. Emissions Units &amp; Activities'!$B$7:$B$193,0)),ws3_matching_error_msg,G349*IF(E349="Y",1,1-F349)*INDEX('2. Emissions Units &amp; Activities'!$J$7:$J$193,MATCH(B349,'2. Emissions Units &amp; Activities'!$B$7:$B$193,0))))</f>
        <v>5.8582000000000003E-4</v>
      </c>
      <c r="M349" s="509">
        <f t="shared" si="11"/>
        <v>3.0755032661273148E-6</v>
      </c>
      <c r="N349" s="284"/>
    </row>
    <row r="350" spans="1:14" ht="15.75" x14ac:dyDescent="0.25">
      <c r="A350" s="86"/>
      <c r="B350" s="508" t="s">
        <v>59</v>
      </c>
      <c r="C350" s="339" t="s">
        <v>255</v>
      </c>
      <c r="D350" s="340" t="s">
        <v>256</v>
      </c>
      <c r="E350" s="339" t="s">
        <v>214</v>
      </c>
      <c r="F350" s="341">
        <v>0</v>
      </c>
      <c r="G350" s="339">
        <v>6.8999999999999999E-3</v>
      </c>
      <c r="H350" s="339" t="s">
        <v>223</v>
      </c>
      <c r="I350" s="339" t="s">
        <v>272</v>
      </c>
      <c r="J350" s="85">
        <f>IF(B350="",IF(CONCATENATE(C350,D350,E350,F350,G350,H350,I350)="","",ws3_EU_ID_blank),IF(ISERROR(MATCH(B350,'2. Emissions Units &amp; Activities'!$B$7:$B$193,0)),ws3_matching_error_msg,G350*IF(E350="Y",1,1-F350)*INDEX('2. Emissions Units &amp; Activities'!$G$7:$G$193,MATCH(B350,'2. Emissions Units &amp; Activities'!$B$7:$B$193,0))))</f>
        <v>1.7357502</v>
      </c>
      <c r="K350" s="85">
        <f t="shared" si="10"/>
        <v>2.4965850042680558E-5</v>
      </c>
      <c r="L350" s="85">
        <f>IF(B350="",IF(CONCATENATE(C350,D350,E350,F350,G350,H350,I350)="","",ws3_EU_ID_blank),IF(ISERROR(MATCH(B350,'2. Emissions Units &amp; Activities'!$B$7:$B$193,0)),ws3_matching_error_msg,G350*IF(E350="Y",1,1-F350)*INDEX('2. Emissions Units &amp; Activities'!$J$7:$J$193,MATCH(B350,'2. Emissions Units &amp; Activities'!$B$7:$B$193,0))))</f>
        <v>4.7554800000000003E-3</v>
      </c>
      <c r="M350" s="509">
        <f t="shared" si="11"/>
        <v>2.4965850042680558E-5</v>
      </c>
      <c r="N350" s="284"/>
    </row>
    <row r="351" spans="1:14" ht="15.75" x14ac:dyDescent="0.25">
      <c r="A351" s="86"/>
      <c r="B351" s="508" t="s">
        <v>59</v>
      </c>
      <c r="C351" s="339" t="s">
        <v>257</v>
      </c>
      <c r="D351" s="340" t="s">
        <v>258</v>
      </c>
      <c r="E351" s="339" t="s">
        <v>214</v>
      </c>
      <c r="F351" s="341">
        <v>0</v>
      </c>
      <c r="G351" s="339">
        <v>4.5999999999999999E-3</v>
      </c>
      <c r="H351" s="339" t="s">
        <v>223</v>
      </c>
      <c r="I351" s="339" t="s">
        <v>272</v>
      </c>
      <c r="J351" s="85">
        <f>IF(B351="",IF(CONCATENATE(C351,D351,E351,F351,G351,H351,I351)="","",ws3_EU_ID_blank),IF(ISERROR(MATCH(B351,'2. Emissions Units &amp; Activities'!$B$7:$B$193,0)),ws3_matching_error_msg,G351*IF(E351="Y",1,1-F351)*INDEX('2. Emissions Units &amp; Activities'!$G$7:$G$193,MATCH(B351,'2. Emissions Units &amp; Activities'!$B$7:$B$193,0))))</f>
        <v>1.1571668000000002</v>
      </c>
      <c r="K351" s="85">
        <f t="shared" si="10"/>
        <v>1.6643900028453709E-5</v>
      </c>
      <c r="L351" s="85">
        <f>IF(B351="",IF(CONCATENATE(C351,D351,E351,F351,G351,H351,I351)="","",ws3_EU_ID_blank),IF(ISERROR(MATCH(B351,'2. Emissions Units &amp; Activities'!$B$7:$B$193,0)),ws3_matching_error_msg,G351*IF(E351="Y",1,1-F351)*INDEX('2. Emissions Units &amp; Activities'!$J$7:$J$193,MATCH(B351,'2. Emissions Units &amp; Activities'!$B$7:$B$193,0))))</f>
        <v>3.1703199999999999E-3</v>
      </c>
      <c r="M351" s="509">
        <f t="shared" si="11"/>
        <v>1.6643900028453705E-5</v>
      </c>
      <c r="N351" s="284"/>
    </row>
    <row r="352" spans="1:14" ht="15.75" x14ac:dyDescent="0.25">
      <c r="A352" s="86"/>
      <c r="B352" s="508" t="s">
        <v>59</v>
      </c>
      <c r="C352" s="339" t="s">
        <v>241</v>
      </c>
      <c r="D352" s="340" t="s">
        <v>242</v>
      </c>
      <c r="E352" s="339" t="s">
        <v>214</v>
      </c>
      <c r="F352" s="341">
        <v>0</v>
      </c>
      <c r="G352" s="339">
        <v>5.0000000000000001E-4</v>
      </c>
      <c r="H352" s="339" t="s">
        <v>223</v>
      </c>
      <c r="I352" s="339" t="s">
        <v>272</v>
      </c>
      <c r="J352" s="85">
        <f>IF(B352="",IF(CONCATENATE(C352,D352,E352,F352,G352,H352,I352)="","",ws3_EU_ID_blank),IF(ISERROR(MATCH(B352,'2. Emissions Units &amp; Activities'!$B$7:$B$193,0)),ws3_matching_error_msg,G352*IF(E352="Y",1,1-F352)*INDEX('2. Emissions Units &amp; Activities'!$G$7:$G$193,MATCH(B352,'2. Emissions Units &amp; Activities'!$B$7:$B$193,0))))</f>
        <v>0.125779</v>
      </c>
      <c r="K352" s="85">
        <f t="shared" si="10"/>
        <v>1.8091195683101854E-6</v>
      </c>
      <c r="L352" s="85">
        <f>IF(B352="",IF(CONCATENATE(C352,D352,E352,F352,G352,H352,I352)="","",ws3_EU_ID_blank),IF(ISERROR(MATCH(B352,'2. Emissions Units &amp; Activities'!$B$7:$B$193,0)),ws3_matching_error_msg,G352*IF(E352="Y",1,1-F352)*INDEX('2. Emissions Units &amp; Activities'!$J$7:$J$193,MATCH(B352,'2. Emissions Units &amp; Activities'!$B$7:$B$193,0))))</f>
        <v>3.4460000000000003E-4</v>
      </c>
      <c r="M352" s="509">
        <f t="shared" si="11"/>
        <v>1.8091195683101856E-6</v>
      </c>
      <c r="N352" s="284"/>
    </row>
    <row r="353" spans="1:14" ht="15.75" x14ac:dyDescent="0.25">
      <c r="A353" s="86"/>
      <c r="B353" s="508" t="s">
        <v>59</v>
      </c>
      <c r="C353" s="339" t="s">
        <v>261</v>
      </c>
      <c r="D353" s="340" t="s">
        <v>262</v>
      </c>
      <c r="E353" s="339" t="s">
        <v>214</v>
      </c>
      <c r="F353" s="341">
        <v>0</v>
      </c>
      <c r="G353" s="339">
        <v>3.8000000000000002E-4</v>
      </c>
      <c r="H353" s="339" t="s">
        <v>223</v>
      </c>
      <c r="I353" s="339" t="s">
        <v>272</v>
      </c>
      <c r="J353" s="85">
        <f>IF(B353="",IF(CONCATENATE(C353,D353,E353,F353,G353,H353,I353)="","",ws3_EU_ID_blank),IF(ISERROR(MATCH(B353,'2. Emissions Units &amp; Activities'!$B$7:$B$193,0)),ws3_matching_error_msg,G353*IF(E353="Y",1,1-F353)*INDEX('2. Emissions Units &amp; Activities'!$G$7:$G$193,MATCH(B353,'2. Emissions Units &amp; Activities'!$B$7:$B$193,0))))</f>
        <v>9.5592040000000017E-2</v>
      </c>
      <c r="K353" s="85">
        <f t="shared" si="10"/>
        <v>1.3749308719157411E-6</v>
      </c>
      <c r="L353" s="85">
        <f>IF(B353="",IF(CONCATENATE(C353,D353,E353,F353,G353,H353,I353)="","",ws3_EU_ID_blank),IF(ISERROR(MATCH(B353,'2. Emissions Units &amp; Activities'!$B$7:$B$193,0)),ws3_matching_error_msg,G353*IF(E353="Y",1,1-F353)*INDEX('2. Emissions Units &amp; Activities'!$J$7:$J$193,MATCH(B353,'2. Emissions Units &amp; Activities'!$B$7:$B$193,0))))</f>
        <v>2.6189600000000001E-4</v>
      </c>
      <c r="M353" s="509">
        <f t="shared" si="11"/>
        <v>1.3749308719157409E-6</v>
      </c>
      <c r="N353" s="284"/>
    </row>
    <row r="354" spans="1:14" ht="15.75" x14ac:dyDescent="0.25">
      <c r="A354" s="86"/>
      <c r="B354" s="508" t="s">
        <v>59</v>
      </c>
      <c r="C354" s="339" t="s">
        <v>263</v>
      </c>
      <c r="D354" s="340" t="s">
        <v>264</v>
      </c>
      <c r="E354" s="339" t="s">
        <v>214</v>
      </c>
      <c r="F354" s="341">
        <v>0</v>
      </c>
      <c r="G354" s="339">
        <v>2.5999999999999998E-4</v>
      </c>
      <c r="H354" s="339" t="s">
        <v>223</v>
      </c>
      <c r="I354" s="339" t="s">
        <v>272</v>
      </c>
      <c r="J354" s="85">
        <f>IF(B354="",IF(CONCATENATE(C354,D354,E354,F354,G354,H354,I354)="","",ws3_EU_ID_blank),IF(ISERROR(MATCH(B354,'2. Emissions Units &amp; Activities'!$B$7:$B$193,0)),ws3_matching_error_msg,G354*IF(E354="Y",1,1-F354)*INDEX('2. Emissions Units &amp; Activities'!$G$7:$G$193,MATCH(B354,'2. Emissions Units &amp; Activities'!$B$7:$B$193,0))))</f>
        <v>6.5405080000000004E-2</v>
      </c>
      <c r="K354" s="85">
        <f t="shared" si="10"/>
        <v>9.4074217552129631E-7</v>
      </c>
      <c r="L354" s="85">
        <f>IF(B354="",IF(CONCATENATE(C354,D354,E354,F354,G354,H354,I354)="","",ws3_EU_ID_blank),IF(ISERROR(MATCH(B354,'2. Emissions Units &amp; Activities'!$B$7:$B$193,0)),ws3_matching_error_msg,G354*IF(E354="Y",1,1-F354)*INDEX('2. Emissions Units &amp; Activities'!$J$7:$J$193,MATCH(B354,'2. Emissions Units &amp; Activities'!$B$7:$B$193,0))))</f>
        <v>1.79192E-4</v>
      </c>
      <c r="M354" s="509">
        <f t="shared" si="11"/>
        <v>9.4074217552129631E-7</v>
      </c>
      <c r="N354" s="284"/>
    </row>
    <row r="355" spans="1:14" ht="15.75" x14ac:dyDescent="0.25">
      <c r="A355" s="86"/>
      <c r="B355" s="508" t="s">
        <v>59</v>
      </c>
      <c r="C355" s="339" t="s">
        <v>281</v>
      </c>
      <c r="D355" s="340" t="s">
        <v>282</v>
      </c>
      <c r="E355" s="339" t="s">
        <v>214</v>
      </c>
      <c r="F355" s="341">
        <v>0</v>
      </c>
      <c r="G355" s="339">
        <v>1.65E-3</v>
      </c>
      <c r="H355" s="339" t="s">
        <v>223</v>
      </c>
      <c r="I355" s="339" t="s">
        <v>272</v>
      </c>
      <c r="J355" s="85">
        <f>IF(B355="",IF(CONCATENATE(C355,D355,E355,F355,G355,H355,I355)="","",ws3_EU_ID_blank),IF(ISERROR(MATCH(B355,'2. Emissions Units &amp; Activities'!$B$7:$B$193,0)),ws3_matching_error_msg,G355*IF(E355="Y",1,1-F355)*INDEX('2. Emissions Units &amp; Activities'!$G$7:$G$193,MATCH(B355,'2. Emissions Units &amp; Activities'!$B$7:$B$193,0))))</f>
        <v>0.41507070000000001</v>
      </c>
      <c r="K355" s="85">
        <f t="shared" si="10"/>
        <v>5.9700945754236115E-6</v>
      </c>
      <c r="L355" s="85">
        <f>IF(B355="",IF(CONCATENATE(C355,D355,E355,F355,G355,H355,I355)="","",ws3_EU_ID_blank),IF(ISERROR(MATCH(B355,'2. Emissions Units &amp; Activities'!$B$7:$B$193,0)),ws3_matching_error_msg,G355*IF(E355="Y",1,1-F355)*INDEX('2. Emissions Units &amp; Activities'!$J$7:$J$193,MATCH(B355,'2. Emissions Units &amp; Activities'!$B$7:$B$193,0))))</f>
        <v>1.13718E-3</v>
      </c>
      <c r="M355" s="509">
        <f t="shared" si="11"/>
        <v>5.9700945754236115E-6</v>
      </c>
      <c r="N355" s="284"/>
    </row>
    <row r="356" spans="1:14" ht="15.75" x14ac:dyDescent="0.25">
      <c r="A356" s="86"/>
      <c r="B356" s="508" t="s">
        <v>59</v>
      </c>
      <c r="C356" s="339">
        <v>365</v>
      </c>
      <c r="D356" s="340" t="s">
        <v>243</v>
      </c>
      <c r="E356" s="339" t="s">
        <v>214</v>
      </c>
      <c r="F356" s="341">
        <v>0</v>
      </c>
      <c r="G356" s="339">
        <v>2.0999999999999999E-3</v>
      </c>
      <c r="H356" s="339" t="s">
        <v>223</v>
      </c>
      <c r="I356" s="339" t="s">
        <v>272</v>
      </c>
      <c r="J356" s="85">
        <f>IF(B356="",IF(CONCATENATE(C356,D356,E356,F356,G356,H356,I356)="","",ws3_EU_ID_blank),IF(ISERROR(MATCH(B356,'2. Emissions Units &amp; Activities'!$B$7:$B$193,0)),ws3_matching_error_msg,G356*IF(E356="Y",1,1-F356)*INDEX('2. Emissions Units &amp; Activities'!$G$7:$G$193,MATCH(B356,'2. Emissions Units &amp; Activities'!$B$7:$B$193,0))))</f>
        <v>0.52827179999999996</v>
      </c>
      <c r="K356" s="85">
        <f t="shared" si="10"/>
        <v>7.5983021869027769E-6</v>
      </c>
      <c r="L356" s="85">
        <f>IF(B356="",IF(CONCATENATE(C356,D356,E356,F356,G356,H356,I356)="","",ws3_EU_ID_blank),IF(ISERROR(MATCH(B356,'2. Emissions Units &amp; Activities'!$B$7:$B$193,0)),ws3_matching_error_msg,G356*IF(E356="Y",1,1-F356)*INDEX('2. Emissions Units &amp; Activities'!$J$7:$J$193,MATCH(B356,'2. Emissions Units &amp; Activities'!$B$7:$B$193,0))))</f>
        <v>1.44732E-3</v>
      </c>
      <c r="M356" s="509">
        <f t="shared" si="11"/>
        <v>7.5983021869027769E-6</v>
      </c>
      <c r="N356" s="284"/>
    </row>
    <row r="357" spans="1:14" ht="15.75" x14ac:dyDescent="0.25">
      <c r="A357" s="86"/>
      <c r="B357" s="508" t="s">
        <v>59</v>
      </c>
      <c r="C357" s="339" t="s">
        <v>265</v>
      </c>
      <c r="D357" s="340" t="s">
        <v>266</v>
      </c>
      <c r="E357" s="339" t="s">
        <v>214</v>
      </c>
      <c r="F357" s="341">
        <v>0</v>
      </c>
      <c r="G357" s="339">
        <v>2.4000000000000001E-5</v>
      </c>
      <c r="H357" s="339" t="s">
        <v>223</v>
      </c>
      <c r="I357" s="339" t="s">
        <v>272</v>
      </c>
      <c r="J357" s="85">
        <f>IF(B357="",IF(CONCATENATE(C357,D357,E357,F357,G357,H357,I357)="","",ws3_EU_ID_blank),IF(ISERROR(MATCH(B357,'2. Emissions Units &amp; Activities'!$B$7:$B$193,0)),ws3_matching_error_msg,G357*IF(E357="Y",1,1-F357)*INDEX('2. Emissions Units &amp; Activities'!$G$7:$G$193,MATCH(B357,'2. Emissions Units &amp; Activities'!$B$7:$B$193,0))))</f>
        <v>6.0373920000000008E-3</v>
      </c>
      <c r="K357" s="85">
        <f t="shared" si="10"/>
        <v>8.6837739278888899E-8</v>
      </c>
      <c r="L357" s="85">
        <f>IF(B357="",IF(CONCATENATE(C357,D357,E357,F357,G357,H357,I357)="","",ws3_EU_ID_blank),IF(ISERROR(MATCH(B357,'2. Emissions Units &amp; Activities'!$B$7:$B$193,0)),ws3_matching_error_msg,G357*IF(E357="Y",1,1-F357)*INDEX('2. Emissions Units &amp; Activities'!$J$7:$J$193,MATCH(B357,'2. Emissions Units &amp; Activities'!$B$7:$B$193,0))))</f>
        <v>1.6540800000000003E-5</v>
      </c>
      <c r="M357" s="509">
        <f t="shared" si="11"/>
        <v>8.6837739278888913E-8</v>
      </c>
      <c r="N357" s="284"/>
    </row>
    <row r="358" spans="1:14" ht="15.75" x14ac:dyDescent="0.25">
      <c r="A358" s="86"/>
      <c r="B358" s="508" t="s">
        <v>59</v>
      </c>
      <c r="C358" s="339" t="s">
        <v>267</v>
      </c>
      <c r="D358" s="340" t="s">
        <v>268</v>
      </c>
      <c r="E358" s="339" t="s">
        <v>214</v>
      </c>
      <c r="F358" s="341">
        <v>0</v>
      </c>
      <c r="G358" s="339">
        <v>2.6499999999999999E-2</v>
      </c>
      <c r="H358" s="339" t="s">
        <v>223</v>
      </c>
      <c r="I358" s="339" t="s">
        <v>272</v>
      </c>
      <c r="J358" s="85">
        <f>IF(B358="",IF(CONCATENATE(C358,D358,E358,F358,G358,H358,I358)="","",ws3_EU_ID_blank),IF(ISERROR(MATCH(B358,'2. Emissions Units &amp; Activities'!$B$7:$B$193,0)),ws3_matching_error_msg,G358*IF(E358="Y",1,1-F358)*INDEX('2. Emissions Units &amp; Activities'!$G$7:$G$193,MATCH(B358,'2. Emissions Units &amp; Activities'!$B$7:$B$193,0))))</f>
        <v>6.6662870000000005</v>
      </c>
      <c r="K358" s="85">
        <f t="shared" si="10"/>
        <v>9.5883337120439817E-5</v>
      </c>
      <c r="L358" s="85">
        <f>IF(B358="",IF(CONCATENATE(C358,D358,E358,F358,G358,H358,I358)="","",ws3_EU_ID_blank),IF(ISERROR(MATCH(B358,'2. Emissions Units &amp; Activities'!$B$7:$B$193,0)),ws3_matching_error_msg,G358*IF(E358="Y",1,1-F358)*INDEX('2. Emissions Units &amp; Activities'!$J$7:$J$193,MATCH(B358,'2. Emissions Units &amp; Activities'!$B$7:$B$193,0))))</f>
        <v>1.82638E-2</v>
      </c>
      <c r="M358" s="509">
        <f t="shared" si="11"/>
        <v>9.5883337120439817E-5</v>
      </c>
      <c r="N358" s="284"/>
    </row>
    <row r="359" spans="1:14" ht="15.75" x14ac:dyDescent="0.25">
      <c r="A359" s="86"/>
      <c r="B359" s="508" t="s">
        <v>59</v>
      </c>
      <c r="C359" s="339" t="s">
        <v>283</v>
      </c>
      <c r="D359" s="340" t="s">
        <v>284</v>
      </c>
      <c r="E359" s="339" t="s">
        <v>214</v>
      </c>
      <c r="F359" s="341">
        <v>0</v>
      </c>
      <c r="G359" s="339">
        <v>2.3E-3</v>
      </c>
      <c r="H359" s="339" t="s">
        <v>223</v>
      </c>
      <c r="I359" s="339" t="s">
        <v>272</v>
      </c>
      <c r="J359" s="85">
        <f>IF(B359="",IF(CONCATENATE(C359,D359,E359,F359,G359,H359,I359)="","",ws3_EU_ID_blank),IF(ISERROR(MATCH(B359,'2. Emissions Units &amp; Activities'!$B$7:$B$193,0)),ws3_matching_error_msg,G359*IF(E359="Y",1,1-F359)*INDEX('2. Emissions Units &amp; Activities'!$G$7:$G$193,MATCH(B359,'2. Emissions Units &amp; Activities'!$B$7:$B$193,0))))</f>
        <v>0.57858340000000008</v>
      </c>
      <c r="K359" s="85">
        <f t="shared" si="10"/>
        <v>8.3219500142268543E-6</v>
      </c>
      <c r="L359" s="85">
        <f>IF(B359="",IF(CONCATENATE(C359,D359,E359,F359,G359,H359,I359)="","",ws3_EU_ID_blank),IF(ISERROR(MATCH(B359,'2. Emissions Units &amp; Activities'!$B$7:$B$193,0)),ws3_matching_error_msg,G359*IF(E359="Y",1,1-F359)*INDEX('2. Emissions Units &amp; Activities'!$J$7:$J$193,MATCH(B359,'2. Emissions Units &amp; Activities'!$B$7:$B$193,0))))</f>
        <v>1.58516E-3</v>
      </c>
      <c r="M359" s="509">
        <f t="shared" si="11"/>
        <v>8.3219500142268526E-6</v>
      </c>
      <c r="N359" s="284"/>
    </row>
    <row r="360" spans="1:14" ht="15.75" x14ac:dyDescent="0.25">
      <c r="A360" s="86"/>
      <c r="B360" s="508" t="s">
        <v>59</v>
      </c>
      <c r="C360" s="339" t="s">
        <v>269</v>
      </c>
      <c r="D360" s="340" t="s">
        <v>270</v>
      </c>
      <c r="E360" s="339" t="s">
        <v>214</v>
      </c>
      <c r="F360" s="341">
        <v>0</v>
      </c>
      <c r="G360" s="339">
        <v>1.9699999999999999E-2</v>
      </c>
      <c r="H360" s="339" t="s">
        <v>223</v>
      </c>
      <c r="I360" s="339" t="s">
        <v>272</v>
      </c>
      <c r="J360" s="85">
        <f>IF(B360="",IF(CONCATENATE(C360,D360,E360,F360,G360,H360,I360)="","",ws3_EU_ID_blank),IF(ISERROR(MATCH(B360,'2. Emissions Units &amp; Activities'!$B$7:$B$193,0)),ws3_matching_error_msg,G360*IF(E360="Y",1,1-F360)*INDEX('2. Emissions Units &amp; Activities'!$G$7:$G$193,MATCH(B360,'2. Emissions Units &amp; Activities'!$B$7:$B$193,0))))</f>
        <v>4.9556925999999999</v>
      </c>
      <c r="K360" s="85">
        <f t="shared" si="10"/>
        <v>7.1279310991421302E-5</v>
      </c>
      <c r="L360" s="85">
        <f>IF(B360="",IF(CONCATENATE(C360,D360,E360,F360,G360,H360,I360)="","",ws3_EU_ID_blank),IF(ISERROR(MATCH(B360,'2. Emissions Units &amp; Activities'!$B$7:$B$193,0)),ws3_matching_error_msg,G360*IF(E360="Y",1,1-F360)*INDEX('2. Emissions Units &amp; Activities'!$J$7:$J$193,MATCH(B360,'2. Emissions Units &amp; Activities'!$B$7:$B$193,0))))</f>
        <v>1.3577239999999999E-2</v>
      </c>
      <c r="M360" s="509">
        <f t="shared" si="11"/>
        <v>7.1279310991421288E-5</v>
      </c>
      <c r="N360" s="284"/>
    </row>
    <row r="361" spans="1:14" ht="15.75" x14ac:dyDescent="0.25">
      <c r="A361" s="86"/>
      <c r="B361" s="508" t="s">
        <v>59</v>
      </c>
      <c r="C361" s="339" t="s">
        <v>285</v>
      </c>
      <c r="D361" s="340" t="s">
        <v>286</v>
      </c>
      <c r="E361" s="339" t="s">
        <v>214</v>
      </c>
      <c r="F361" s="341">
        <v>0</v>
      </c>
      <c r="G361" s="339">
        <v>2.9000000000000001E-2</v>
      </c>
      <c r="H361" s="339" t="s">
        <v>223</v>
      </c>
      <c r="I361" s="339" t="s">
        <v>272</v>
      </c>
      <c r="J361" s="85">
        <f>IF(B361="",IF(CONCATENATE(C361,D361,E361,F361,G361,H361,I361)="","",ws3_EU_ID_blank),IF(ISERROR(MATCH(B361,'2. Emissions Units &amp; Activities'!$B$7:$B$193,0)),ws3_matching_error_msg,G361*IF(E361="Y",1,1-F361)*INDEX('2. Emissions Units &amp; Activities'!$G$7:$G$193,MATCH(B361,'2. Emissions Units &amp; Activities'!$B$7:$B$193,0))))</f>
        <v>7.2951820000000014</v>
      </c>
      <c r="K361" s="85">
        <f t="shared" si="10"/>
        <v>1.0492893496199077E-4</v>
      </c>
      <c r="L361" s="85">
        <f>IF(B361="",IF(CONCATENATE(C361,D361,E361,F361,G361,H361,I361)="","",ws3_EU_ID_blank),IF(ISERROR(MATCH(B361,'2. Emissions Units &amp; Activities'!$B$7:$B$193,0)),ws3_matching_error_msg,G361*IF(E361="Y",1,1-F361)*INDEX('2. Emissions Units &amp; Activities'!$J$7:$J$193,MATCH(B361,'2. Emissions Units &amp; Activities'!$B$7:$B$193,0))))</f>
        <v>1.9986800000000002E-2</v>
      </c>
      <c r="M361" s="509">
        <f t="shared" si="11"/>
        <v>1.0492893496199077E-4</v>
      </c>
      <c r="N361" s="284"/>
    </row>
    <row r="362" spans="1:14" ht="15.75" x14ac:dyDescent="0.25">
      <c r="A362" s="86"/>
      <c r="B362" s="508" t="s">
        <v>60</v>
      </c>
      <c r="C362" s="339" t="s">
        <v>233</v>
      </c>
      <c r="D362" s="340" t="s">
        <v>234</v>
      </c>
      <c r="E362" s="339" t="s">
        <v>214</v>
      </c>
      <c r="F362" s="341">
        <v>0</v>
      </c>
      <c r="G362" s="339">
        <v>1.4800000000000001E-2</v>
      </c>
      <c r="H362" s="339" t="s">
        <v>231</v>
      </c>
      <c r="I362" s="339" t="s">
        <v>287</v>
      </c>
      <c r="J362" s="85">
        <f>IF(B362="",IF(CONCATENATE(C362,D362,E362,F362,G362,H362,I362)="","",ws3_EU_ID_blank),IF(ISERROR(MATCH(B362,'2. Emissions Units &amp; Activities'!$B$7:$B$193,0)),ws3_matching_error_msg,G362*IF(E362="Y",1,1-F362)*INDEX('2. Emissions Units &amp; Activities'!$G$7:$G$193,MATCH(B362,'2. Emissions Units &amp; Activities'!$B$7:$B$193,0))))</f>
        <v>3.2589600000000003E-2</v>
      </c>
      <c r="K362" s="85">
        <f t="shared" ref="K362:K384" si="12">CONVERT(J362,"lbm","g")/8760/3600</f>
        <v>4.6874663563394226E-7</v>
      </c>
      <c r="L362" s="85">
        <f>IF(B362="",IF(CONCATENATE(C362,D362,E362,F362,G362,H362,I362)="","",ws3_EU_ID_blank),IF(ISERROR(MATCH(B362,'2. Emissions Units &amp; Activities'!$B$7:$B$193,0)),ws3_matching_error_msg,G362*IF(E362="Y",1,1-F362)*INDEX('2. Emissions Units &amp; Activities'!$J$7:$J$193,MATCH(B362,'2. Emissions Units &amp; Activities'!$B$7:$B$193,0))))</f>
        <v>1.08632E-2</v>
      </c>
      <c r="M362" s="509">
        <f t="shared" ref="M362:M384" si="13">CONVERT(L362,"lbm","g")/24/3600</f>
        <v>5.7030840668796296E-5</v>
      </c>
      <c r="N362" s="284"/>
    </row>
    <row r="363" spans="1:14" ht="15.75" x14ac:dyDescent="0.25">
      <c r="A363" s="86"/>
      <c r="B363" s="508" t="s">
        <v>60</v>
      </c>
      <c r="C363" s="339" t="s">
        <v>247</v>
      </c>
      <c r="D363" s="340" t="s">
        <v>248</v>
      </c>
      <c r="E363" s="339" t="s">
        <v>214</v>
      </c>
      <c r="F363" s="341">
        <v>0</v>
      </c>
      <c r="G363" s="339">
        <v>0.35060000000000002</v>
      </c>
      <c r="H363" s="339" t="s">
        <v>231</v>
      </c>
      <c r="I363" s="339" t="s">
        <v>287</v>
      </c>
      <c r="J363" s="85">
        <f>IF(B363="",IF(CONCATENATE(C363,D363,E363,F363,G363,H363,I363)="","",ws3_EU_ID_blank),IF(ISERROR(MATCH(B363,'2. Emissions Units &amp; Activities'!$B$7:$B$193,0)),ws3_matching_error_msg,G363*IF(E363="Y",1,1-F363)*INDEX('2. Emissions Units &amp; Activities'!$G$7:$G$193,MATCH(B363,'2. Emissions Units &amp; Activities'!$B$7:$B$193,0))))</f>
        <v>0.77202120000000007</v>
      </c>
      <c r="K363" s="85">
        <f t="shared" si="12"/>
        <v>1.110422773332839E-5</v>
      </c>
      <c r="L363" s="85">
        <f>IF(B363="",IF(CONCATENATE(C363,D363,E363,F363,G363,H363,I363)="","",ws3_EU_ID_blank),IF(ISERROR(MATCH(B363,'2. Emissions Units &amp; Activities'!$B$7:$B$193,0)),ws3_matching_error_msg,G363*IF(E363="Y",1,1-F363)*INDEX('2. Emissions Units &amp; Activities'!$J$7:$J$193,MATCH(B363,'2. Emissions Units &amp; Activities'!$B$7:$B$193,0))))</f>
        <v>0.25734040000000002</v>
      </c>
      <c r="M363" s="509">
        <f t="shared" si="13"/>
        <v>1.3510143742216207E-3</v>
      </c>
      <c r="N363" s="284"/>
    </row>
    <row r="364" spans="1:14" ht="15.75" x14ac:dyDescent="0.25">
      <c r="A364" s="86"/>
      <c r="B364" s="508" t="s">
        <v>60</v>
      </c>
      <c r="C364" s="339" t="s">
        <v>249</v>
      </c>
      <c r="D364" s="340" t="s">
        <v>250</v>
      </c>
      <c r="E364" s="339" t="s">
        <v>214</v>
      </c>
      <c r="F364" s="341">
        <v>0</v>
      </c>
      <c r="G364" s="339">
        <v>0.35060000000000002</v>
      </c>
      <c r="H364" s="339" t="s">
        <v>231</v>
      </c>
      <c r="I364" s="339" t="s">
        <v>287</v>
      </c>
      <c r="J364" s="85">
        <f>IF(B364="",IF(CONCATENATE(C364,D364,E364,F364,G364,H364,I364)="","",ws3_EU_ID_blank),IF(ISERROR(MATCH(B364,'2. Emissions Units &amp; Activities'!$B$7:$B$193,0)),ws3_matching_error_msg,G364*IF(E364="Y",1,1-F364)*INDEX('2. Emissions Units &amp; Activities'!$G$7:$G$193,MATCH(B364,'2. Emissions Units &amp; Activities'!$B$7:$B$193,0))))</f>
        <v>0.77202120000000007</v>
      </c>
      <c r="K364" s="85">
        <f t="shared" si="12"/>
        <v>1.110422773332839E-5</v>
      </c>
      <c r="L364" s="85">
        <f>IF(B364="",IF(CONCATENATE(C364,D364,E364,F364,G364,H364,I364)="","",ws3_EU_ID_blank),IF(ISERROR(MATCH(B364,'2. Emissions Units &amp; Activities'!$B$7:$B$193,0)),ws3_matching_error_msg,G364*IF(E364="Y",1,1-F364)*INDEX('2. Emissions Units &amp; Activities'!$J$7:$J$193,MATCH(B364,'2. Emissions Units &amp; Activities'!$B$7:$B$193,0))))</f>
        <v>0.25734040000000002</v>
      </c>
      <c r="M364" s="509">
        <f t="shared" si="13"/>
        <v>1.3510143742216207E-3</v>
      </c>
      <c r="N364" s="284"/>
    </row>
    <row r="365" spans="1:14" ht="15.75" x14ac:dyDescent="0.25">
      <c r="A365" s="86"/>
      <c r="B365" s="508" t="s">
        <v>60</v>
      </c>
      <c r="C365" s="339" t="s">
        <v>251</v>
      </c>
      <c r="D365" s="340" t="s">
        <v>252</v>
      </c>
      <c r="E365" s="339" t="s">
        <v>214</v>
      </c>
      <c r="F365" s="341">
        <v>0</v>
      </c>
      <c r="G365" s="339">
        <v>0.8</v>
      </c>
      <c r="H365" s="339" t="s">
        <v>231</v>
      </c>
      <c r="I365" s="339" t="s">
        <v>287</v>
      </c>
      <c r="J365" s="85">
        <f>IF(B365="",IF(CONCATENATE(C365,D365,E365,F365,G365,H365,I365)="","",ws3_EU_ID_blank),IF(ISERROR(MATCH(B365,'2. Emissions Units &amp; Activities'!$B$7:$B$193,0)),ws3_matching_error_msg,G365*IF(E365="Y",1,1-F365)*INDEX('2. Emissions Units &amp; Activities'!$G$7:$G$193,MATCH(B365,'2. Emissions Units &amp; Activities'!$B$7:$B$193,0))))</f>
        <v>1.7616000000000001</v>
      </c>
      <c r="K365" s="85">
        <f t="shared" si="12"/>
        <v>2.5337655980213089E-5</v>
      </c>
      <c r="L365" s="85">
        <f>IF(B365="",IF(CONCATENATE(C365,D365,E365,F365,G365,H365,I365)="","",ws3_EU_ID_blank),IF(ISERROR(MATCH(B365,'2. Emissions Units &amp; Activities'!$B$7:$B$193,0)),ws3_matching_error_msg,G365*IF(E365="Y",1,1-F365)*INDEX('2. Emissions Units &amp; Activities'!$J$7:$J$193,MATCH(B365,'2. Emissions Units &amp; Activities'!$B$7:$B$193,0))))</f>
        <v>0.58720000000000006</v>
      </c>
      <c r="M365" s="509">
        <f t="shared" si="13"/>
        <v>3.0827481442592601E-3</v>
      </c>
      <c r="N365" s="284"/>
    </row>
    <row r="366" spans="1:14" ht="15.75" x14ac:dyDescent="0.25">
      <c r="A366" s="86"/>
      <c r="B366" s="508" t="s">
        <v>60</v>
      </c>
      <c r="C366" s="339" t="s">
        <v>218</v>
      </c>
      <c r="D366" s="340" t="s">
        <v>219</v>
      </c>
      <c r="E366" s="339" t="s">
        <v>214</v>
      </c>
      <c r="F366" s="341">
        <v>0</v>
      </c>
      <c r="G366" s="339">
        <v>1.6000000000000001E-3</v>
      </c>
      <c r="H366" s="339" t="s">
        <v>231</v>
      </c>
      <c r="I366" s="339" t="s">
        <v>287</v>
      </c>
      <c r="J366" s="85">
        <f>IF(B366="",IF(CONCATENATE(C366,D366,E366,F366,G366,H366,I366)="","",ws3_EU_ID_blank),IF(ISERROR(MATCH(B366,'2. Emissions Units &amp; Activities'!$B$7:$B$193,0)),ws3_matching_error_msg,G366*IF(E366="Y",1,1-F366)*INDEX('2. Emissions Units &amp; Activities'!$G$7:$G$193,MATCH(B366,'2. Emissions Units &amp; Activities'!$B$7:$B$193,0))))</f>
        <v>3.5232000000000002E-3</v>
      </c>
      <c r="K366" s="85">
        <f t="shared" si="12"/>
        <v>5.0675311960426193E-8</v>
      </c>
      <c r="L366" s="85">
        <f>IF(B366="",IF(CONCATENATE(C366,D366,E366,F366,G366,H366,I366)="","",ws3_EU_ID_blank),IF(ISERROR(MATCH(B366,'2. Emissions Units &amp; Activities'!$B$7:$B$193,0)),ws3_matching_error_msg,G366*IF(E366="Y",1,1-F366)*INDEX('2. Emissions Units &amp; Activities'!$J$7:$J$193,MATCH(B366,'2. Emissions Units &amp; Activities'!$B$7:$B$193,0))))</f>
        <v>1.1744000000000001E-3</v>
      </c>
      <c r="M366" s="509">
        <f t="shared" si="13"/>
        <v>6.1654962885185194E-6</v>
      </c>
      <c r="N366" s="284"/>
    </row>
    <row r="367" spans="1:14" ht="15.75" x14ac:dyDescent="0.25">
      <c r="A367" s="86"/>
      <c r="B367" s="508" t="s">
        <v>60</v>
      </c>
      <c r="C367" s="339" t="s">
        <v>221</v>
      </c>
      <c r="D367" s="340" t="s">
        <v>222</v>
      </c>
      <c r="E367" s="339" t="s">
        <v>214</v>
      </c>
      <c r="F367" s="341">
        <v>0</v>
      </c>
      <c r="G367" s="339">
        <v>4.4000000000000003E-3</v>
      </c>
      <c r="H367" s="339" t="s">
        <v>231</v>
      </c>
      <c r="I367" s="339" t="s">
        <v>287</v>
      </c>
      <c r="J367" s="85">
        <f>IF(B367="",IF(CONCATENATE(C367,D367,E367,F367,G367,H367,I367)="","",ws3_EU_ID_blank),IF(ISERROR(MATCH(B367,'2. Emissions Units &amp; Activities'!$B$7:$B$193,0)),ws3_matching_error_msg,G367*IF(E367="Y",1,1-F367)*INDEX('2. Emissions Units &amp; Activities'!$G$7:$G$193,MATCH(B367,'2. Emissions Units &amp; Activities'!$B$7:$B$193,0))))</f>
        <v>9.6888000000000009E-3</v>
      </c>
      <c r="K367" s="85">
        <f t="shared" si="12"/>
        <v>1.3935710789117201E-7</v>
      </c>
      <c r="L367" s="85">
        <f>IF(B367="",IF(CONCATENATE(C367,D367,E367,F367,G367,H367,I367)="","",ws3_EU_ID_blank),IF(ISERROR(MATCH(B367,'2. Emissions Units &amp; Activities'!$B$7:$B$193,0)),ws3_matching_error_msg,G367*IF(E367="Y",1,1-F367)*INDEX('2. Emissions Units &amp; Activities'!$J$7:$J$193,MATCH(B367,'2. Emissions Units &amp; Activities'!$B$7:$B$193,0))))</f>
        <v>3.2296E-3</v>
      </c>
      <c r="M367" s="509">
        <f t="shared" si="13"/>
        <v>1.6955114793425927E-5</v>
      </c>
      <c r="N367" s="284"/>
    </row>
    <row r="368" spans="1:14" ht="15.75" x14ac:dyDescent="0.25">
      <c r="A368" s="86"/>
      <c r="B368" s="508" t="s">
        <v>60</v>
      </c>
      <c r="C368" s="339" t="s">
        <v>273</v>
      </c>
      <c r="D368" s="340" t="s">
        <v>274</v>
      </c>
      <c r="E368" s="339" t="s">
        <v>214</v>
      </c>
      <c r="F368" s="341">
        <v>0</v>
      </c>
      <c r="G368" s="339">
        <v>3.5200000000000002E-5</v>
      </c>
      <c r="H368" s="339" t="s">
        <v>231</v>
      </c>
      <c r="I368" s="339" t="s">
        <v>287</v>
      </c>
      <c r="J368" s="85">
        <f>IF(B368="",IF(CONCATENATE(C368,D368,E368,F368,G368,H368,I368)="","",ws3_EU_ID_blank),IF(ISERROR(MATCH(B368,'2. Emissions Units &amp; Activities'!$B$7:$B$193,0)),ws3_matching_error_msg,G368*IF(E368="Y",1,1-F368)*INDEX('2. Emissions Units &amp; Activities'!$G$7:$G$193,MATCH(B368,'2. Emissions Units &amp; Activities'!$B$7:$B$193,0))))</f>
        <v>7.7510399999999996E-5</v>
      </c>
      <c r="K368" s="85">
        <f t="shared" si="12"/>
        <v>1.1148568631293757E-9</v>
      </c>
      <c r="L368" s="85">
        <f>IF(B368="",IF(CONCATENATE(C368,D368,E368,F368,G368,H368,I368)="","",ws3_EU_ID_blank),IF(ISERROR(MATCH(B368,'2. Emissions Units &amp; Activities'!$B$7:$B$193,0)),ws3_matching_error_msg,G368*IF(E368="Y",1,1-F368)*INDEX('2. Emissions Units &amp; Activities'!$J$7:$J$193,MATCH(B368,'2. Emissions Units &amp; Activities'!$B$7:$B$193,0))))</f>
        <v>2.58368E-5</v>
      </c>
      <c r="M368" s="509">
        <f t="shared" si="13"/>
        <v>1.3564091834740742E-7</v>
      </c>
      <c r="N368" s="284"/>
    </row>
    <row r="369" spans="1:14" ht="15.75" x14ac:dyDescent="0.25">
      <c r="A369" s="86"/>
      <c r="B369" s="508" t="s">
        <v>60</v>
      </c>
      <c r="C369" s="339" t="s">
        <v>235</v>
      </c>
      <c r="D369" s="340" t="s">
        <v>236</v>
      </c>
      <c r="E369" s="339" t="s">
        <v>214</v>
      </c>
      <c r="F369" s="341">
        <v>0</v>
      </c>
      <c r="G369" s="339">
        <v>1.5E-3</v>
      </c>
      <c r="H369" s="339" t="s">
        <v>231</v>
      </c>
      <c r="I369" s="339" t="s">
        <v>287</v>
      </c>
      <c r="J369" s="85">
        <f>IF(B369="",IF(CONCATENATE(C369,D369,E369,F369,G369,H369,I369)="","",ws3_EU_ID_blank),IF(ISERROR(MATCH(B369,'2. Emissions Units &amp; Activities'!$B$7:$B$193,0)),ws3_matching_error_msg,G369*IF(E369="Y",1,1-F369)*INDEX('2. Emissions Units &amp; Activities'!$G$7:$G$193,MATCH(B369,'2. Emissions Units &amp; Activities'!$B$7:$B$193,0))))</f>
        <v>3.3029999999999999E-3</v>
      </c>
      <c r="K369" s="85">
        <f t="shared" si="12"/>
        <v>4.7508104962899541E-8</v>
      </c>
      <c r="L369" s="85">
        <f>IF(B369="",IF(CONCATENATE(C369,D369,E369,F369,G369,H369,I369)="","",ws3_EU_ID_blank),IF(ISERROR(MATCH(B369,'2. Emissions Units &amp; Activities'!$B$7:$B$193,0)),ws3_matching_error_msg,G369*IF(E369="Y",1,1-F369)*INDEX('2. Emissions Units &amp; Activities'!$J$7:$J$193,MATCH(B369,'2. Emissions Units &amp; Activities'!$B$7:$B$193,0))))</f>
        <v>1.101E-3</v>
      </c>
      <c r="M369" s="509">
        <f t="shared" si="13"/>
        <v>5.7801527704861111E-6</v>
      </c>
      <c r="N369" s="284"/>
    </row>
    <row r="370" spans="1:14" ht="15.75" x14ac:dyDescent="0.25">
      <c r="A370" s="86"/>
      <c r="B370" s="508" t="s">
        <v>60</v>
      </c>
      <c r="C370" s="339" t="s">
        <v>239</v>
      </c>
      <c r="D370" s="340" t="s">
        <v>240</v>
      </c>
      <c r="E370" s="339" t="s">
        <v>214</v>
      </c>
      <c r="F370" s="341">
        <v>0</v>
      </c>
      <c r="G370" s="339">
        <v>1E-4</v>
      </c>
      <c r="H370" s="339" t="s">
        <v>231</v>
      </c>
      <c r="I370" s="339" t="s">
        <v>287</v>
      </c>
      <c r="J370" s="85">
        <f>IF(B370="",IF(CONCATENATE(C370,D370,E370,F370,G370,H370,I370)="","",ws3_EU_ID_blank),IF(ISERROR(MATCH(B370,'2. Emissions Units &amp; Activities'!$B$7:$B$193,0)),ws3_matching_error_msg,G370*IF(E370="Y",1,1-F370)*INDEX('2. Emissions Units &amp; Activities'!$G$7:$G$193,MATCH(B370,'2. Emissions Units &amp; Activities'!$B$7:$B$193,0))))</f>
        <v>2.2020000000000001E-4</v>
      </c>
      <c r="K370" s="85">
        <f t="shared" si="12"/>
        <v>3.1672069975266371E-9</v>
      </c>
      <c r="L370" s="85">
        <f>IF(B370="",IF(CONCATENATE(C370,D370,E370,F370,G370,H370,I370)="","",ws3_EU_ID_blank),IF(ISERROR(MATCH(B370,'2. Emissions Units &amp; Activities'!$B$7:$B$193,0)),ws3_matching_error_msg,G370*IF(E370="Y",1,1-F370)*INDEX('2. Emissions Units &amp; Activities'!$J$7:$J$193,MATCH(B370,'2. Emissions Units &amp; Activities'!$B$7:$B$193,0))))</f>
        <v>7.3400000000000009E-5</v>
      </c>
      <c r="M370" s="509">
        <f t="shared" si="13"/>
        <v>3.8534351803240747E-7</v>
      </c>
      <c r="N370" s="284"/>
    </row>
    <row r="371" spans="1:14" ht="15.75" x14ac:dyDescent="0.25">
      <c r="A371" s="86"/>
      <c r="B371" s="508" t="s">
        <v>60</v>
      </c>
      <c r="C371" s="339" t="s">
        <v>253</v>
      </c>
      <c r="D371" s="340" t="s">
        <v>254</v>
      </c>
      <c r="E371" s="339" t="s">
        <v>214</v>
      </c>
      <c r="F371" s="341">
        <v>0</v>
      </c>
      <c r="G371" s="339">
        <v>4.1000000000000003E-3</v>
      </c>
      <c r="H371" s="339" t="s">
        <v>231</v>
      </c>
      <c r="I371" s="339" t="s">
        <v>287</v>
      </c>
      <c r="J371" s="85">
        <f>IF(B371="",IF(CONCATENATE(C371,D371,E371,F371,G371,H371,I371)="","",ws3_EU_ID_blank),IF(ISERROR(MATCH(B371,'2. Emissions Units &amp; Activities'!$B$7:$B$193,0)),ws3_matching_error_msg,G371*IF(E371="Y",1,1-F371)*INDEX('2. Emissions Units &amp; Activities'!$G$7:$G$193,MATCH(B371,'2. Emissions Units &amp; Activities'!$B$7:$B$193,0))))</f>
        <v>9.0282000000000001E-3</v>
      </c>
      <c r="K371" s="85">
        <f t="shared" si="12"/>
        <v>1.2985548689859212E-7</v>
      </c>
      <c r="L371" s="85">
        <f>IF(B371="",IF(CONCATENATE(C371,D371,E371,F371,G371,H371,I371)="","",ws3_EU_ID_blank),IF(ISERROR(MATCH(B371,'2. Emissions Units &amp; Activities'!$B$7:$B$193,0)),ws3_matching_error_msg,G371*IF(E371="Y",1,1-F371)*INDEX('2. Emissions Units &amp; Activities'!$J$7:$J$193,MATCH(B371,'2. Emissions Units &amp; Activities'!$B$7:$B$193,0))))</f>
        <v>3.0094000000000002E-3</v>
      </c>
      <c r="M371" s="509">
        <f t="shared" si="13"/>
        <v>1.5799084239328704E-5</v>
      </c>
      <c r="N371" s="284"/>
    </row>
    <row r="372" spans="1:14" ht="15.75" x14ac:dyDescent="0.25">
      <c r="A372" s="86"/>
      <c r="B372" s="508" t="s">
        <v>60</v>
      </c>
      <c r="C372" s="339" t="s">
        <v>255</v>
      </c>
      <c r="D372" s="340" t="s">
        <v>256</v>
      </c>
      <c r="E372" s="339" t="s">
        <v>214</v>
      </c>
      <c r="F372" s="341">
        <v>0</v>
      </c>
      <c r="G372" s="339">
        <v>2.0000000000000001E-4</v>
      </c>
      <c r="H372" s="339" t="s">
        <v>231</v>
      </c>
      <c r="I372" s="339" t="s">
        <v>287</v>
      </c>
      <c r="J372" s="85">
        <f>IF(B372="",IF(CONCATENATE(C372,D372,E372,F372,G372,H372,I372)="","",ws3_EU_ID_blank),IF(ISERROR(MATCH(B372,'2. Emissions Units &amp; Activities'!$B$7:$B$193,0)),ws3_matching_error_msg,G372*IF(E372="Y",1,1-F372)*INDEX('2. Emissions Units &amp; Activities'!$G$7:$G$193,MATCH(B372,'2. Emissions Units &amp; Activities'!$B$7:$B$193,0))))</f>
        <v>4.4040000000000003E-4</v>
      </c>
      <c r="K372" s="85">
        <f t="shared" si="12"/>
        <v>6.3344139950532741E-9</v>
      </c>
      <c r="L372" s="85">
        <f>IF(B372="",IF(CONCATENATE(C372,D372,E372,F372,G372,H372,I372)="","",ws3_EU_ID_blank),IF(ISERROR(MATCH(B372,'2. Emissions Units &amp; Activities'!$B$7:$B$193,0)),ws3_matching_error_msg,G372*IF(E372="Y",1,1-F372)*INDEX('2. Emissions Units &amp; Activities'!$J$7:$J$193,MATCH(B372,'2. Emissions Units &amp; Activities'!$B$7:$B$193,0))))</f>
        <v>1.4680000000000002E-4</v>
      </c>
      <c r="M372" s="509">
        <f t="shared" si="13"/>
        <v>7.7068703606481493E-7</v>
      </c>
      <c r="N372" s="284"/>
    </row>
    <row r="373" spans="1:14" ht="15.75" x14ac:dyDescent="0.25">
      <c r="A373" s="86"/>
      <c r="B373" s="508" t="s">
        <v>60</v>
      </c>
      <c r="C373" s="339" t="s">
        <v>237</v>
      </c>
      <c r="D373" s="340" t="s">
        <v>238</v>
      </c>
      <c r="E373" s="339" t="s">
        <v>214</v>
      </c>
      <c r="F373" s="341">
        <v>0</v>
      </c>
      <c r="G373" s="339">
        <v>0.35060000000000002</v>
      </c>
      <c r="H373" s="339" t="s">
        <v>231</v>
      </c>
      <c r="I373" s="339" t="s">
        <v>287</v>
      </c>
      <c r="J373" s="85">
        <f>IF(B373="",IF(CONCATENATE(C373,D373,E373,F373,G373,H373,I373)="","",ws3_EU_ID_blank),IF(ISERROR(MATCH(B373,'2. Emissions Units &amp; Activities'!$B$7:$B$193,0)),ws3_matching_error_msg,G373*IF(E373="Y",1,1-F373)*INDEX('2. Emissions Units &amp; Activities'!$G$7:$G$193,MATCH(B373,'2. Emissions Units &amp; Activities'!$B$7:$B$193,0))))</f>
        <v>0.77202120000000007</v>
      </c>
      <c r="K373" s="85">
        <f t="shared" si="12"/>
        <v>1.110422773332839E-5</v>
      </c>
      <c r="L373" s="85">
        <f>IF(B373="",IF(CONCATENATE(C373,D373,E373,F373,G373,H373,I373)="","",ws3_EU_ID_blank),IF(ISERROR(MATCH(B373,'2. Emissions Units &amp; Activities'!$B$7:$B$193,0)),ws3_matching_error_msg,G373*IF(E373="Y",1,1-F373)*INDEX('2. Emissions Units &amp; Activities'!$J$7:$J$193,MATCH(B373,'2. Emissions Units &amp; Activities'!$B$7:$B$193,0))))</f>
        <v>0.25734040000000002</v>
      </c>
      <c r="M373" s="509">
        <f t="shared" si="13"/>
        <v>1.3510143742216207E-3</v>
      </c>
      <c r="N373" s="284"/>
    </row>
    <row r="374" spans="1:14" ht="15.75" x14ac:dyDescent="0.25">
      <c r="A374" s="86"/>
      <c r="B374" s="508" t="s">
        <v>60</v>
      </c>
      <c r="C374" s="339" t="s">
        <v>257</v>
      </c>
      <c r="D374" s="340" t="s">
        <v>258</v>
      </c>
      <c r="E374" s="339" t="s">
        <v>214</v>
      </c>
      <c r="F374" s="341">
        <v>0</v>
      </c>
      <c r="G374" s="339">
        <v>3.5000000000000001E-3</v>
      </c>
      <c r="H374" s="339" t="s">
        <v>231</v>
      </c>
      <c r="I374" s="339" t="s">
        <v>287</v>
      </c>
      <c r="J374" s="85">
        <f>IF(B374="",IF(CONCATENATE(C374,D374,E374,F374,G374,H374,I374)="","",ws3_EU_ID_blank),IF(ISERROR(MATCH(B374,'2. Emissions Units &amp; Activities'!$B$7:$B$193,0)),ws3_matching_error_msg,G374*IF(E374="Y",1,1-F374)*INDEX('2. Emissions Units &amp; Activities'!$G$7:$G$193,MATCH(B374,'2. Emissions Units &amp; Activities'!$B$7:$B$193,0))))</f>
        <v>7.7070000000000003E-3</v>
      </c>
      <c r="K374" s="85">
        <f t="shared" si="12"/>
        <v>1.1085224491343227E-7</v>
      </c>
      <c r="L374" s="85">
        <f>IF(B374="",IF(CONCATENATE(C374,D374,E374,F374,G374,H374,I374)="","",ws3_EU_ID_blank),IF(ISERROR(MATCH(B374,'2. Emissions Units &amp; Activities'!$B$7:$B$193,0)),ws3_matching_error_msg,G374*IF(E374="Y",1,1-F374)*INDEX('2. Emissions Units &amp; Activities'!$J$7:$J$193,MATCH(B374,'2. Emissions Units &amp; Activities'!$B$7:$B$193,0))))</f>
        <v>2.5690000000000001E-3</v>
      </c>
      <c r="M374" s="509">
        <f t="shared" si="13"/>
        <v>1.3487023131134261E-5</v>
      </c>
      <c r="N374" s="284"/>
    </row>
    <row r="375" spans="1:14" ht="15.75" x14ac:dyDescent="0.25">
      <c r="A375" s="86"/>
      <c r="B375" s="508" t="s">
        <v>60</v>
      </c>
      <c r="C375" s="339" t="s">
        <v>259</v>
      </c>
      <c r="D375" s="340" t="s">
        <v>260</v>
      </c>
      <c r="E375" s="339" t="s">
        <v>214</v>
      </c>
      <c r="F375" s="341">
        <v>0</v>
      </c>
      <c r="G375" s="339">
        <v>0.18629999999999999</v>
      </c>
      <c r="H375" s="339" t="s">
        <v>231</v>
      </c>
      <c r="I375" s="339" t="s">
        <v>287</v>
      </c>
      <c r="J375" s="85">
        <f>IF(B375="",IF(CONCATENATE(C375,D375,E375,F375,G375,H375,I375)="","",ws3_EU_ID_blank),IF(ISERROR(MATCH(B375,'2. Emissions Units &amp; Activities'!$B$7:$B$193,0)),ws3_matching_error_msg,G375*IF(E375="Y",1,1-F375)*INDEX('2. Emissions Units &amp; Activities'!$G$7:$G$193,MATCH(B375,'2. Emissions Units &amp; Activities'!$B$7:$B$193,0))))</f>
        <v>0.4102326</v>
      </c>
      <c r="K375" s="85">
        <f t="shared" si="12"/>
        <v>5.9005066363921242E-6</v>
      </c>
      <c r="L375" s="85">
        <f>IF(B375="",IF(CONCATENATE(C375,D375,E375,F375,G375,H375,I375)="","",ws3_EU_ID_blank),IF(ISERROR(MATCH(B375,'2. Emissions Units &amp; Activities'!$B$7:$B$193,0)),ws3_matching_error_msg,G375*IF(E375="Y",1,1-F375)*INDEX('2. Emissions Units &amp; Activities'!$J$7:$J$193,MATCH(B375,'2. Emissions Units &amp; Activities'!$B$7:$B$193,0))))</f>
        <v>0.13674419999999998</v>
      </c>
      <c r="M375" s="509">
        <f t="shared" si="13"/>
        <v>7.1789497409437499E-4</v>
      </c>
      <c r="N375" s="284"/>
    </row>
    <row r="376" spans="1:14" ht="15.75" x14ac:dyDescent="0.25">
      <c r="A376" s="86"/>
      <c r="B376" s="508" t="s">
        <v>60</v>
      </c>
      <c r="C376" s="339" t="s">
        <v>241</v>
      </c>
      <c r="D376" s="340" t="s">
        <v>242</v>
      </c>
      <c r="E376" s="339" t="s">
        <v>214</v>
      </c>
      <c r="F376" s="341">
        <v>0</v>
      </c>
      <c r="G376" s="339">
        <v>8.3000000000000001E-3</v>
      </c>
      <c r="H376" s="339" t="s">
        <v>231</v>
      </c>
      <c r="I376" s="339" t="s">
        <v>287</v>
      </c>
      <c r="J376" s="85">
        <f>IF(B376="",IF(CONCATENATE(C376,D376,E376,F376,G376,H376,I376)="","",ws3_EU_ID_blank),IF(ISERROR(MATCH(B376,'2. Emissions Units &amp; Activities'!$B$7:$B$193,0)),ws3_matching_error_msg,G376*IF(E376="Y",1,1-F376)*INDEX('2. Emissions Units &amp; Activities'!$G$7:$G$193,MATCH(B376,'2. Emissions Units &amp; Activities'!$B$7:$B$193,0))))</f>
        <v>1.82766E-2</v>
      </c>
      <c r="K376" s="85">
        <f t="shared" si="12"/>
        <v>2.6287818079471082E-7</v>
      </c>
      <c r="L376" s="85">
        <f>IF(B376="",IF(CONCATENATE(C376,D376,E376,F376,G376,H376,I376)="","",ws3_EU_ID_blank),IF(ISERROR(MATCH(B376,'2. Emissions Units &amp; Activities'!$B$7:$B$193,0)),ws3_matching_error_msg,G376*IF(E376="Y",1,1-F376)*INDEX('2. Emissions Units &amp; Activities'!$J$7:$J$193,MATCH(B376,'2. Emissions Units &amp; Activities'!$B$7:$B$193,0))))</f>
        <v>6.0921999999999999E-3</v>
      </c>
      <c r="M376" s="509">
        <f t="shared" si="13"/>
        <v>3.1983511996689811E-5</v>
      </c>
      <c r="N376" s="284"/>
    </row>
    <row r="377" spans="1:14" ht="15.75" x14ac:dyDescent="0.25">
      <c r="A377" s="86"/>
      <c r="B377" s="508" t="s">
        <v>60</v>
      </c>
      <c r="C377" s="339" t="s">
        <v>261</v>
      </c>
      <c r="D377" s="340" t="s">
        <v>262</v>
      </c>
      <c r="E377" s="339" t="s">
        <v>214</v>
      </c>
      <c r="F377" s="341">
        <v>0</v>
      </c>
      <c r="G377" s="339">
        <v>3.0999999999999999E-3</v>
      </c>
      <c r="H377" s="339" t="s">
        <v>231</v>
      </c>
      <c r="I377" s="339" t="s">
        <v>287</v>
      </c>
      <c r="J377" s="85">
        <f>IF(B377="",IF(CONCATENATE(C377,D377,E377,F377,G377,H377,I377)="","",ws3_EU_ID_blank),IF(ISERROR(MATCH(B377,'2. Emissions Units &amp; Activities'!$B$7:$B$193,0)),ws3_matching_error_msg,G377*IF(E377="Y",1,1-F377)*INDEX('2. Emissions Units &amp; Activities'!$G$7:$G$193,MATCH(B377,'2. Emissions Units &amp; Activities'!$B$7:$B$193,0))))</f>
        <v>6.8261999999999993E-3</v>
      </c>
      <c r="K377" s="85">
        <f t="shared" si="12"/>
        <v>9.8183416923325721E-8</v>
      </c>
      <c r="L377" s="85">
        <f>IF(B377="",IF(CONCATENATE(C377,D377,E377,F377,G377,H377,I377)="","",ws3_EU_ID_blank),IF(ISERROR(MATCH(B377,'2. Emissions Units &amp; Activities'!$B$7:$B$193,0)),ws3_matching_error_msg,G377*IF(E377="Y",1,1-F377)*INDEX('2. Emissions Units &amp; Activities'!$J$7:$J$193,MATCH(B377,'2. Emissions Units &amp; Activities'!$B$7:$B$193,0))))</f>
        <v>2.2753999999999999E-3</v>
      </c>
      <c r="M377" s="509">
        <f t="shared" si="13"/>
        <v>1.1945649059004631E-5</v>
      </c>
      <c r="N377" s="284"/>
    </row>
    <row r="378" spans="1:14" ht="15.75" x14ac:dyDescent="0.25">
      <c r="A378" s="86"/>
      <c r="B378" s="508" t="s">
        <v>60</v>
      </c>
      <c r="C378" s="339" t="s">
        <v>263</v>
      </c>
      <c r="D378" s="340" t="s">
        <v>264</v>
      </c>
      <c r="E378" s="339" t="s">
        <v>214</v>
      </c>
      <c r="F378" s="341">
        <v>0</v>
      </c>
      <c r="G378" s="339">
        <v>2E-3</v>
      </c>
      <c r="H378" s="339" t="s">
        <v>231</v>
      </c>
      <c r="I378" s="339" t="s">
        <v>287</v>
      </c>
      <c r="J378" s="85">
        <f>IF(B378="",IF(CONCATENATE(C378,D378,E378,F378,G378,H378,I378)="","",ws3_EU_ID_blank),IF(ISERROR(MATCH(B378,'2. Emissions Units &amp; Activities'!$B$7:$B$193,0)),ws3_matching_error_msg,G378*IF(E378="Y",1,1-F378)*INDEX('2. Emissions Units &amp; Activities'!$G$7:$G$193,MATCH(B378,'2. Emissions Units &amp; Activities'!$B$7:$B$193,0))))</f>
        <v>4.4039999999999999E-3</v>
      </c>
      <c r="K378" s="85">
        <f t="shared" si="12"/>
        <v>6.3344139950532726E-8</v>
      </c>
      <c r="L378" s="85">
        <f>IF(B378="",IF(CONCATENATE(C378,D378,E378,F378,G378,H378,I378)="","",ws3_EU_ID_blank),IF(ISERROR(MATCH(B378,'2. Emissions Units &amp; Activities'!$B$7:$B$193,0)),ws3_matching_error_msg,G378*IF(E378="Y",1,1-F378)*INDEX('2. Emissions Units &amp; Activities'!$J$7:$J$193,MATCH(B378,'2. Emissions Units &amp; Activities'!$B$7:$B$193,0))))</f>
        <v>1.4679999999999999E-3</v>
      </c>
      <c r="M378" s="509">
        <f t="shared" si="13"/>
        <v>7.7068703606481487E-6</v>
      </c>
      <c r="N378" s="284"/>
    </row>
    <row r="379" spans="1:14" ht="15.75" x14ac:dyDescent="0.25">
      <c r="A379" s="86"/>
      <c r="B379" s="508" t="s">
        <v>60</v>
      </c>
      <c r="C379" s="339" t="s">
        <v>244</v>
      </c>
      <c r="D379" s="340" t="s">
        <v>245</v>
      </c>
      <c r="E379" s="339" t="s">
        <v>214</v>
      </c>
      <c r="F379" s="341">
        <v>0</v>
      </c>
      <c r="G379" s="339">
        <v>5.3E-3</v>
      </c>
      <c r="H379" s="339" t="s">
        <v>231</v>
      </c>
      <c r="I379" s="339" t="s">
        <v>287</v>
      </c>
      <c r="J379" s="85">
        <f>IF(B379="",IF(CONCATENATE(C379,D379,E379,F379,G379,H379,I379)="","",ws3_EU_ID_blank),IF(ISERROR(MATCH(B379,'2. Emissions Units &amp; Activities'!$B$7:$B$193,0)),ws3_matching_error_msg,G379*IF(E379="Y",1,1-F379)*INDEX('2. Emissions Units &amp; Activities'!$G$7:$G$193,MATCH(B379,'2. Emissions Units &amp; Activities'!$B$7:$B$193,0))))</f>
        <v>1.16706E-2</v>
      </c>
      <c r="K379" s="85">
        <f t="shared" si="12"/>
        <v>1.6786197086891172E-7</v>
      </c>
      <c r="L379" s="85">
        <f>IF(B379="",IF(CONCATENATE(C379,D379,E379,F379,G379,H379,I379)="","",ws3_EU_ID_blank),IF(ISERROR(MATCH(B379,'2. Emissions Units &amp; Activities'!$B$7:$B$193,0)),ws3_matching_error_msg,G379*IF(E379="Y",1,1-F379)*INDEX('2. Emissions Units &amp; Activities'!$J$7:$J$193,MATCH(B379,'2. Emissions Units &amp; Activities'!$B$7:$B$193,0))))</f>
        <v>3.8901999999999999E-3</v>
      </c>
      <c r="M379" s="509">
        <f t="shared" si="13"/>
        <v>2.0423206455717594E-5</v>
      </c>
      <c r="N379" s="284"/>
    </row>
    <row r="380" spans="1:14" ht="15.75" x14ac:dyDescent="0.25">
      <c r="A380" s="86"/>
      <c r="B380" s="508" t="s">
        <v>60</v>
      </c>
      <c r="C380" s="339">
        <v>365</v>
      </c>
      <c r="D380" s="340" t="s">
        <v>243</v>
      </c>
      <c r="E380" s="339" t="s">
        <v>214</v>
      </c>
      <c r="F380" s="341">
        <v>0</v>
      </c>
      <c r="G380" s="339">
        <v>3.8999999999999998E-3</v>
      </c>
      <c r="H380" s="339" t="s">
        <v>231</v>
      </c>
      <c r="I380" s="339" t="s">
        <v>287</v>
      </c>
      <c r="J380" s="85">
        <f>IF(B380="",IF(CONCATENATE(C380,D380,E380,F380,G380,H380,I380)="","",ws3_EU_ID_blank),IF(ISERROR(MATCH(B380,'2. Emissions Units &amp; Activities'!$B$7:$B$193,0)),ws3_matching_error_msg,G380*IF(E380="Y",1,1-F380)*INDEX('2. Emissions Units &amp; Activities'!$G$7:$G$193,MATCH(B380,'2. Emissions Units &amp; Activities'!$B$7:$B$193,0))))</f>
        <v>8.5877999999999996E-3</v>
      </c>
      <c r="K380" s="85">
        <f t="shared" si="12"/>
        <v>1.2352107290353881E-7</v>
      </c>
      <c r="L380" s="85">
        <f>IF(B380="",IF(CONCATENATE(C380,D380,E380,F380,G380,H380,I380)="","",ws3_EU_ID_blank),IF(ISERROR(MATCH(B380,'2. Emissions Units &amp; Activities'!$B$7:$B$193,0)),ws3_matching_error_msg,G380*IF(E380="Y",1,1-F380)*INDEX('2. Emissions Units &amp; Activities'!$J$7:$J$193,MATCH(B380,'2. Emissions Units &amp; Activities'!$B$7:$B$193,0))))</f>
        <v>2.8625999999999999E-3</v>
      </c>
      <c r="M380" s="509">
        <f t="shared" si="13"/>
        <v>1.5028397203263891E-5</v>
      </c>
      <c r="N380" s="284"/>
    </row>
    <row r="381" spans="1:14" ht="15.75" x14ac:dyDescent="0.25">
      <c r="A381" s="86"/>
      <c r="B381" s="508" t="s">
        <v>60</v>
      </c>
      <c r="C381" s="339">
        <v>401</v>
      </c>
      <c r="D381" s="340" t="s">
        <v>246</v>
      </c>
      <c r="E381" s="339" t="s">
        <v>214</v>
      </c>
      <c r="F381" s="341">
        <v>0</v>
      </c>
      <c r="G381" s="339">
        <v>4.4499999999999998E-2</v>
      </c>
      <c r="H381" s="339" t="s">
        <v>231</v>
      </c>
      <c r="I381" s="339" t="s">
        <v>287</v>
      </c>
      <c r="J381" s="85">
        <f>IF(B381="",IF(CONCATENATE(C381,D381,E381,F381,G381,H381,I381)="","",ws3_EU_ID_blank),IF(ISERROR(MATCH(B381,'2. Emissions Units &amp; Activities'!$B$7:$B$193,0)),ws3_matching_error_msg,G381*IF(E381="Y",1,1-F381)*INDEX('2. Emissions Units &amp; Activities'!$G$7:$G$193,MATCH(B381,'2. Emissions Units &amp; Activities'!$B$7:$B$193,0))))</f>
        <v>9.7988999999999993E-2</v>
      </c>
      <c r="K381" s="85">
        <f t="shared" si="12"/>
        <v>1.409407113899353E-6</v>
      </c>
      <c r="L381" s="85">
        <f>IF(B381="",IF(CONCATENATE(C381,D381,E381,F381,G381,H381,I381)="","",ws3_EU_ID_blank),IF(ISERROR(MATCH(B381,'2. Emissions Units &amp; Activities'!$B$7:$B$193,0)),ws3_matching_error_msg,G381*IF(E381="Y",1,1-F381)*INDEX('2. Emissions Units &amp; Activities'!$J$7:$J$193,MATCH(B381,'2. Emissions Units &amp; Activities'!$B$7:$B$193,0))))</f>
        <v>3.2662999999999998E-2</v>
      </c>
      <c r="M381" s="509">
        <f t="shared" si="13"/>
        <v>1.714778655244213E-4</v>
      </c>
      <c r="N381" s="284"/>
    </row>
    <row r="382" spans="1:14" ht="15.75" x14ac:dyDescent="0.25">
      <c r="A382" s="86"/>
      <c r="B382" s="508" t="s">
        <v>60</v>
      </c>
      <c r="C382" s="339" t="s">
        <v>265</v>
      </c>
      <c r="D382" s="340" t="s">
        <v>266</v>
      </c>
      <c r="E382" s="339" t="s">
        <v>214</v>
      </c>
      <c r="F382" s="341">
        <v>0</v>
      </c>
      <c r="G382" s="339">
        <v>2.2000000000000001E-3</v>
      </c>
      <c r="H382" s="339" t="s">
        <v>231</v>
      </c>
      <c r="I382" s="339" t="s">
        <v>287</v>
      </c>
      <c r="J382" s="85">
        <f>IF(B382="",IF(CONCATENATE(C382,D382,E382,F382,G382,H382,I382)="","",ws3_EU_ID_blank),IF(ISERROR(MATCH(B382,'2. Emissions Units &amp; Activities'!$B$7:$B$193,0)),ws3_matching_error_msg,G382*IF(E382="Y",1,1-F382)*INDEX('2. Emissions Units &amp; Activities'!$G$7:$G$193,MATCH(B382,'2. Emissions Units &amp; Activities'!$B$7:$B$193,0))))</f>
        <v>4.8444000000000004E-3</v>
      </c>
      <c r="K382" s="85">
        <f t="shared" si="12"/>
        <v>6.9678553945586003E-8</v>
      </c>
      <c r="L382" s="85">
        <f>IF(B382="",IF(CONCATENATE(C382,D382,E382,F382,G382,H382,I382)="","",ws3_EU_ID_blank),IF(ISERROR(MATCH(B382,'2. Emissions Units &amp; Activities'!$B$7:$B$193,0)),ws3_matching_error_msg,G382*IF(E382="Y",1,1-F382)*INDEX('2. Emissions Units &amp; Activities'!$J$7:$J$193,MATCH(B382,'2. Emissions Units &amp; Activities'!$B$7:$B$193,0))))</f>
        <v>1.6148E-3</v>
      </c>
      <c r="M382" s="509">
        <f t="shared" si="13"/>
        <v>8.4775573967129637E-6</v>
      </c>
      <c r="N382" s="284"/>
    </row>
    <row r="383" spans="1:14" ht="15.75" x14ac:dyDescent="0.25">
      <c r="A383" s="86"/>
      <c r="B383" s="508" t="s">
        <v>60</v>
      </c>
      <c r="C383" s="339" t="s">
        <v>267</v>
      </c>
      <c r="D383" s="340" t="s">
        <v>268</v>
      </c>
      <c r="E383" s="339" t="s">
        <v>214</v>
      </c>
      <c r="F383" s="341">
        <v>0</v>
      </c>
      <c r="G383" s="339">
        <v>4.4000000000000003E-3</v>
      </c>
      <c r="H383" s="339" t="s">
        <v>231</v>
      </c>
      <c r="I383" s="339" t="s">
        <v>287</v>
      </c>
      <c r="J383" s="85">
        <f>IF(B383="",IF(CONCATENATE(C383,D383,E383,F383,G383,H383,I383)="","",ws3_EU_ID_blank),IF(ISERROR(MATCH(B383,'2. Emissions Units &amp; Activities'!$B$7:$B$193,0)),ws3_matching_error_msg,G383*IF(E383="Y",1,1-F383)*INDEX('2. Emissions Units &amp; Activities'!$G$7:$G$193,MATCH(B383,'2. Emissions Units &amp; Activities'!$B$7:$B$193,0))))</f>
        <v>9.6888000000000009E-3</v>
      </c>
      <c r="K383" s="85">
        <f t="shared" si="12"/>
        <v>1.3935710789117201E-7</v>
      </c>
      <c r="L383" s="85">
        <f>IF(B383="",IF(CONCATENATE(C383,D383,E383,F383,G383,H383,I383)="","",ws3_EU_ID_blank),IF(ISERROR(MATCH(B383,'2. Emissions Units &amp; Activities'!$B$7:$B$193,0)),ws3_matching_error_msg,G383*IF(E383="Y",1,1-F383)*INDEX('2. Emissions Units &amp; Activities'!$J$7:$J$193,MATCH(B383,'2. Emissions Units &amp; Activities'!$B$7:$B$193,0))))</f>
        <v>3.2296E-3</v>
      </c>
      <c r="M383" s="509">
        <f t="shared" si="13"/>
        <v>1.6955114793425927E-5</v>
      </c>
      <c r="N383" s="284"/>
    </row>
    <row r="384" spans="1:14" ht="15.75" x14ac:dyDescent="0.25">
      <c r="A384" s="86"/>
      <c r="B384" s="508" t="s">
        <v>60</v>
      </c>
      <c r="C384" s="339" t="s">
        <v>269</v>
      </c>
      <c r="D384" s="340" t="s">
        <v>270</v>
      </c>
      <c r="E384" s="339" t="s">
        <v>214</v>
      </c>
      <c r="F384" s="341">
        <v>0</v>
      </c>
      <c r="G384" s="339">
        <v>1.6000000000000001E-3</v>
      </c>
      <c r="H384" s="339" t="s">
        <v>231</v>
      </c>
      <c r="I384" s="339" t="s">
        <v>287</v>
      </c>
      <c r="J384" s="85">
        <f>IF(B384="",IF(CONCATENATE(C384,D384,E384,F384,G384,H384,I384)="","",ws3_EU_ID_blank),IF(ISERROR(MATCH(B384,'2. Emissions Units &amp; Activities'!$B$7:$B$193,0)),ws3_matching_error_msg,G384*IF(E384="Y",1,1-F384)*INDEX('2. Emissions Units &amp; Activities'!$G$7:$G$193,MATCH(B384,'2. Emissions Units &amp; Activities'!$B$7:$B$193,0))))</f>
        <v>3.5232000000000002E-3</v>
      </c>
      <c r="K384" s="85">
        <f t="shared" si="12"/>
        <v>5.0675311960426193E-8</v>
      </c>
      <c r="L384" s="85">
        <f>IF(B384="",IF(CONCATENATE(C384,D384,E384,F384,G384,H384,I384)="","",ws3_EU_ID_blank),IF(ISERROR(MATCH(B384,'2. Emissions Units &amp; Activities'!$B$7:$B$193,0)),ws3_matching_error_msg,G384*IF(E384="Y",1,1-F384)*INDEX('2. Emissions Units &amp; Activities'!$J$7:$J$193,MATCH(B384,'2. Emissions Units &amp; Activities'!$B$7:$B$193,0))))</f>
        <v>1.1744000000000001E-3</v>
      </c>
      <c r="M384" s="509">
        <f t="shared" si="13"/>
        <v>6.1654962885185194E-6</v>
      </c>
      <c r="N384" s="284"/>
    </row>
    <row r="385" spans="1:14" ht="15.75" x14ac:dyDescent="0.25">
      <c r="A385" s="86"/>
      <c r="B385" s="508" t="s">
        <v>63</v>
      </c>
      <c r="C385" s="339" t="s">
        <v>233</v>
      </c>
      <c r="D385" s="340" t="s">
        <v>234</v>
      </c>
      <c r="E385" s="339" t="s">
        <v>214</v>
      </c>
      <c r="F385" s="341">
        <v>0</v>
      </c>
      <c r="G385" s="339">
        <v>1.4800000000000001E-2</v>
      </c>
      <c r="H385" s="339" t="s">
        <v>231</v>
      </c>
      <c r="I385" s="339" t="s">
        <v>287</v>
      </c>
      <c r="J385" s="85">
        <f>IF(B385="",IF(CONCATENATE(C385,D385,E385,F385,G385,H385,I385)="","",ws3_EU_ID_blank),IF(ISERROR(MATCH(B385,'2. Emissions Units &amp; Activities'!$B$7:$B$193,0)),ws3_matching_error_msg,G385*IF(E385="Y",1,1-F385)*INDEX('2. Emissions Units &amp; Activities'!$G$7:$G$193,MATCH(B385,'2. Emissions Units &amp; Activities'!$B$7:$B$193,0))))</f>
        <v>3.2589600000000003E-2</v>
      </c>
      <c r="K385" s="85">
        <f t="shared" ref="K385:K448" si="14">CONVERT(J385,"lbm","g")/8760/3600</f>
        <v>4.6874663563394226E-7</v>
      </c>
      <c r="L385" s="85">
        <f>IF(B385="",IF(CONCATENATE(C385,D385,E385,F385,G385,H385,I385)="","",ws3_EU_ID_blank),IF(ISERROR(MATCH(B385,'2. Emissions Units &amp; Activities'!$B$7:$B$193,0)),ws3_matching_error_msg,G385*IF(E385="Y",1,1-F385)*INDEX('2. Emissions Units &amp; Activities'!$J$7:$J$193,MATCH(B385,'2. Emissions Units &amp; Activities'!$B$7:$B$193,0))))</f>
        <v>1.08632E-2</v>
      </c>
      <c r="M385" s="509">
        <f t="shared" ref="M385:M448" si="15">CONVERT(L385,"lbm","g")/24/3600</f>
        <v>5.7030840668796296E-5</v>
      </c>
      <c r="N385" s="284"/>
    </row>
    <row r="386" spans="1:14" ht="15.75" x14ac:dyDescent="0.25">
      <c r="A386" s="86"/>
      <c r="B386" s="508" t="s">
        <v>63</v>
      </c>
      <c r="C386" s="339" t="s">
        <v>247</v>
      </c>
      <c r="D386" s="340" t="s">
        <v>248</v>
      </c>
      <c r="E386" s="339" t="s">
        <v>214</v>
      </c>
      <c r="F386" s="341">
        <v>0</v>
      </c>
      <c r="G386" s="339">
        <v>0.35060000000000002</v>
      </c>
      <c r="H386" s="339" t="s">
        <v>231</v>
      </c>
      <c r="I386" s="339" t="s">
        <v>287</v>
      </c>
      <c r="J386" s="85">
        <f>IF(B386="",IF(CONCATENATE(C386,D386,E386,F386,G386,H386,I386)="","",ws3_EU_ID_blank),IF(ISERROR(MATCH(B386,'2. Emissions Units &amp; Activities'!$B$7:$B$193,0)),ws3_matching_error_msg,G386*IF(E386="Y",1,1-F386)*INDEX('2. Emissions Units &amp; Activities'!$G$7:$G$193,MATCH(B386,'2. Emissions Units &amp; Activities'!$B$7:$B$193,0))))</f>
        <v>0.77202120000000007</v>
      </c>
      <c r="K386" s="85">
        <f t="shared" si="14"/>
        <v>1.110422773332839E-5</v>
      </c>
      <c r="L386" s="85">
        <f>IF(B386="",IF(CONCATENATE(C386,D386,E386,F386,G386,H386,I386)="","",ws3_EU_ID_blank),IF(ISERROR(MATCH(B386,'2. Emissions Units &amp; Activities'!$B$7:$B$193,0)),ws3_matching_error_msg,G386*IF(E386="Y",1,1-F386)*INDEX('2. Emissions Units &amp; Activities'!$J$7:$J$193,MATCH(B386,'2. Emissions Units &amp; Activities'!$B$7:$B$193,0))))</f>
        <v>0.25734040000000002</v>
      </c>
      <c r="M386" s="509">
        <f t="shared" si="15"/>
        <v>1.3510143742216207E-3</v>
      </c>
      <c r="N386" s="284"/>
    </row>
    <row r="387" spans="1:14" ht="15.75" x14ac:dyDescent="0.25">
      <c r="A387" s="86"/>
      <c r="B387" s="508" t="s">
        <v>63</v>
      </c>
      <c r="C387" s="339" t="s">
        <v>249</v>
      </c>
      <c r="D387" s="340" t="s">
        <v>250</v>
      </c>
      <c r="E387" s="339" t="s">
        <v>214</v>
      </c>
      <c r="F387" s="341">
        <v>0</v>
      </c>
      <c r="G387" s="339">
        <v>0.35060000000000002</v>
      </c>
      <c r="H387" s="339" t="s">
        <v>231</v>
      </c>
      <c r="I387" s="339" t="s">
        <v>287</v>
      </c>
      <c r="J387" s="85">
        <f>IF(B387="",IF(CONCATENATE(C387,D387,E387,F387,G387,H387,I387)="","",ws3_EU_ID_blank),IF(ISERROR(MATCH(B387,'2. Emissions Units &amp; Activities'!$B$7:$B$193,0)),ws3_matching_error_msg,G387*IF(E387="Y",1,1-F387)*INDEX('2. Emissions Units &amp; Activities'!$G$7:$G$193,MATCH(B387,'2. Emissions Units &amp; Activities'!$B$7:$B$193,0))))</f>
        <v>0.77202120000000007</v>
      </c>
      <c r="K387" s="85">
        <f t="shared" si="14"/>
        <v>1.110422773332839E-5</v>
      </c>
      <c r="L387" s="85">
        <f>IF(B387="",IF(CONCATENATE(C387,D387,E387,F387,G387,H387,I387)="","",ws3_EU_ID_blank),IF(ISERROR(MATCH(B387,'2. Emissions Units &amp; Activities'!$B$7:$B$193,0)),ws3_matching_error_msg,G387*IF(E387="Y",1,1-F387)*INDEX('2. Emissions Units &amp; Activities'!$J$7:$J$193,MATCH(B387,'2. Emissions Units &amp; Activities'!$B$7:$B$193,0))))</f>
        <v>0.25734040000000002</v>
      </c>
      <c r="M387" s="509">
        <f t="shared" si="15"/>
        <v>1.3510143742216207E-3</v>
      </c>
      <c r="N387" s="284"/>
    </row>
    <row r="388" spans="1:14" ht="15.75" x14ac:dyDescent="0.25">
      <c r="A388" s="86"/>
      <c r="B388" s="508" t="s">
        <v>63</v>
      </c>
      <c r="C388" s="339" t="s">
        <v>251</v>
      </c>
      <c r="D388" s="340" t="s">
        <v>252</v>
      </c>
      <c r="E388" s="339" t="s">
        <v>214</v>
      </c>
      <c r="F388" s="341">
        <v>0</v>
      </c>
      <c r="G388" s="339">
        <v>0.8</v>
      </c>
      <c r="H388" s="339" t="s">
        <v>231</v>
      </c>
      <c r="I388" s="339" t="s">
        <v>287</v>
      </c>
      <c r="J388" s="85">
        <f>IF(B388="",IF(CONCATENATE(C388,D388,E388,F388,G388,H388,I388)="","",ws3_EU_ID_blank),IF(ISERROR(MATCH(B388,'2. Emissions Units &amp; Activities'!$B$7:$B$193,0)),ws3_matching_error_msg,G388*IF(E388="Y",1,1-F388)*INDEX('2. Emissions Units &amp; Activities'!$G$7:$G$193,MATCH(B388,'2. Emissions Units &amp; Activities'!$B$7:$B$193,0))))</f>
        <v>1.7616000000000001</v>
      </c>
      <c r="K388" s="85">
        <f t="shared" si="14"/>
        <v>2.5337655980213089E-5</v>
      </c>
      <c r="L388" s="85">
        <f>IF(B388="",IF(CONCATENATE(C388,D388,E388,F388,G388,H388,I388)="","",ws3_EU_ID_blank),IF(ISERROR(MATCH(B388,'2. Emissions Units &amp; Activities'!$B$7:$B$193,0)),ws3_matching_error_msg,G388*IF(E388="Y",1,1-F388)*INDEX('2. Emissions Units &amp; Activities'!$J$7:$J$193,MATCH(B388,'2. Emissions Units &amp; Activities'!$B$7:$B$193,0))))</f>
        <v>0.58720000000000006</v>
      </c>
      <c r="M388" s="509">
        <f t="shared" si="15"/>
        <v>3.0827481442592601E-3</v>
      </c>
      <c r="N388" s="284"/>
    </row>
    <row r="389" spans="1:14" ht="15.75" x14ac:dyDescent="0.25">
      <c r="A389" s="86"/>
      <c r="B389" s="508" t="s">
        <v>63</v>
      </c>
      <c r="C389" s="339" t="s">
        <v>218</v>
      </c>
      <c r="D389" s="340" t="s">
        <v>219</v>
      </c>
      <c r="E389" s="339" t="s">
        <v>214</v>
      </c>
      <c r="F389" s="341">
        <v>0</v>
      </c>
      <c r="G389" s="339">
        <v>1.6000000000000001E-3</v>
      </c>
      <c r="H389" s="339" t="s">
        <v>231</v>
      </c>
      <c r="I389" s="339" t="s">
        <v>287</v>
      </c>
      <c r="J389" s="85">
        <f>IF(B389="",IF(CONCATENATE(C389,D389,E389,F389,G389,H389,I389)="","",ws3_EU_ID_blank),IF(ISERROR(MATCH(B389,'2. Emissions Units &amp; Activities'!$B$7:$B$193,0)),ws3_matching_error_msg,G389*IF(E389="Y",1,1-F389)*INDEX('2. Emissions Units &amp; Activities'!$G$7:$G$193,MATCH(B389,'2. Emissions Units &amp; Activities'!$B$7:$B$193,0))))</f>
        <v>3.5232000000000002E-3</v>
      </c>
      <c r="K389" s="85">
        <f t="shared" si="14"/>
        <v>5.0675311960426193E-8</v>
      </c>
      <c r="L389" s="85">
        <f>IF(B389="",IF(CONCATENATE(C389,D389,E389,F389,G389,H389,I389)="","",ws3_EU_ID_blank),IF(ISERROR(MATCH(B389,'2. Emissions Units &amp; Activities'!$B$7:$B$193,0)),ws3_matching_error_msg,G389*IF(E389="Y",1,1-F389)*INDEX('2. Emissions Units &amp; Activities'!$J$7:$J$193,MATCH(B389,'2. Emissions Units &amp; Activities'!$B$7:$B$193,0))))</f>
        <v>1.1744000000000001E-3</v>
      </c>
      <c r="M389" s="509">
        <f t="shared" si="15"/>
        <v>6.1654962885185194E-6</v>
      </c>
      <c r="N389" s="284"/>
    </row>
    <row r="390" spans="1:14" ht="15.75" x14ac:dyDescent="0.25">
      <c r="A390" s="86"/>
      <c r="B390" s="508" t="s">
        <v>63</v>
      </c>
      <c r="C390" s="339" t="s">
        <v>221</v>
      </c>
      <c r="D390" s="340" t="s">
        <v>222</v>
      </c>
      <c r="E390" s="339" t="s">
        <v>214</v>
      </c>
      <c r="F390" s="341">
        <v>0</v>
      </c>
      <c r="G390" s="339">
        <v>4.4000000000000003E-3</v>
      </c>
      <c r="H390" s="339" t="s">
        <v>231</v>
      </c>
      <c r="I390" s="339" t="s">
        <v>287</v>
      </c>
      <c r="J390" s="85">
        <f>IF(B390="",IF(CONCATENATE(C390,D390,E390,F390,G390,H390,I390)="","",ws3_EU_ID_blank),IF(ISERROR(MATCH(B390,'2. Emissions Units &amp; Activities'!$B$7:$B$193,0)),ws3_matching_error_msg,G390*IF(E390="Y",1,1-F390)*INDEX('2. Emissions Units &amp; Activities'!$G$7:$G$193,MATCH(B390,'2. Emissions Units &amp; Activities'!$B$7:$B$193,0))))</f>
        <v>9.6888000000000009E-3</v>
      </c>
      <c r="K390" s="85">
        <f t="shared" si="14"/>
        <v>1.3935710789117201E-7</v>
      </c>
      <c r="L390" s="85">
        <f>IF(B390="",IF(CONCATENATE(C390,D390,E390,F390,G390,H390,I390)="","",ws3_EU_ID_blank),IF(ISERROR(MATCH(B390,'2. Emissions Units &amp; Activities'!$B$7:$B$193,0)),ws3_matching_error_msg,G390*IF(E390="Y",1,1-F390)*INDEX('2. Emissions Units &amp; Activities'!$J$7:$J$193,MATCH(B390,'2. Emissions Units &amp; Activities'!$B$7:$B$193,0))))</f>
        <v>3.2296E-3</v>
      </c>
      <c r="M390" s="509">
        <f t="shared" si="15"/>
        <v>1.6955114793425927E-5</v>
      </c>
      <c r="N390" s="284"/>
    </row>
    <row r="391" spans="1:14" ht="15.75" x14ac:dyDescent="0.25">
      <c r="A391" s="86"/>
      <c r="B391" s="508" t="s">
        <v>63</v>
      </c>
      <c r="C391" s="339" t="s">
        <v>273</v>
      </c>
      <c r="D391" s="340" t="s">
        <v>274</v>
      </c>
      <c r="E391" s="339" t="s">
        <v>214</v>
      </c>
      <c r="F391" s="341">
        <v>0</v>
      </c>
      <c r="G391" s="339">
        <v>3.5200000000000002E-5</v>
      </c>
      <c r="H391" s="339" t="s">
        <v>231</v>
      </c>
      <c r="I391" s="339" t="s">
        <v>287</v>
      </c>
      <c r="J391" s="85">
        <f>IF(B391="",IF(CONCATENATE(C391,D391,E391,F391,G391,H391,I391)="","",ws3_EU_ID_blank),IF(ISERROR(MATCH(B391,'2. Emissions Units &amp; Activities'!$B$7:$B$193,0)),ws3_matching_error_msg,G391*IF(E391="Y",1,1-F391)*INDEX('2. Emissions Units &amp; Activities'!$G$7:$G$193,MATCH(B391,'2. Emissions Units &amp; Activities'!$B$7:$B$193,0))))</f>
        <v>7.7510399999999996E-5</v>
      </c>
      <c r="K391" s="85">
        <f t="shared" si="14"/>
        <v>1.1148568631293757E-9</v>
      </c>
      <c r="L391" s="85">
        <f>IF(B391="",IF(CONCATENATE(C391,D391,E391,F391,G391,H391,I391)="","",ws3_EU_ID_blank),IF(ISERROR(MATCH(B391,'2. Emissions Units &amp; Activities'!$B$7:$B$193,0)),ws3_matching_error_msg,G391*IF(E391="Y",1,1-F391)*INDEX('2. Emissions Units &amp; Activities'!$J$7:$J$193,MATCH(B391,'2. Emissions Units &amp; Activities'!$B$7:$B$193,0))))</f>
        <v>2.58368E-5</v>
      </c>
      <c r="M391" s="509">
        <f t="shared" si="15"/>
        <v>1.3564091834740742E-7</v>
      </c>
      <c r="N391" s="284"/>
    </row>
    <row r="392" spans="1:14" ht="15.75" x14ac:dyDescent="0.25">
      <c r="A392" s="86"/>
      <c r="B392" s="508" t="s">
        <v>63</v>
      </c>
      <c r="C392" s="339" t="s">
        <v>235</v>
      </c>
      <c r="D392" s="340" t="s">
        <v>236</v>
      </c>
      <c r="E392" s="339" t="s">
        <v>214</v>
      </c>
      <c r="F392" s="341">
        <v>0</v>
      </c>
      <c r="G392" s="339">
        <v>1.5E-3</v>
      </c>
      <c r="H392" s="339" t="s">
        <v>231</v>
      </c>
      <c r="I392" s="339" t="s">
        <v>287</v>
      </c>
      <c r="J392" s="85">
        <f>IF(B392="",IF(CONCATENATE(C392,D392,E392,F392,G392,H392,I392)="","",ws3_EU_ID_blank),IF(ISERROR(MATCH(B392,'2. Emissions Units &amp; Activities'!$B$7:$B$193,0)),ws3_matching_error_msg,G392*IF(E392="Y",1,1-F392)*INDEX('2. Emissions Units &amp; Activities'!$G$7:$G$193,MATCH(B392,'2. Emissions Units &amp; Activities'!$B$7:$B$193,0))))</f>
        <v>3.3029999999999999E-3</v>
      </c>
      <c r="K392" s="85">
        <f t="shared" si="14"/>
        <v>4.7508104962899541E-8</v>
      </c>
      <c r="L392" s="85">
        <f>IF(B392="",IF(CONCATENATE(C392,D392,E392,F392,G392,H392,I392)="","",ws3_EU_ID_blank),IF(ISERROR(MATCH(B392,'2. Emissions Units &amp; Activities'!$B$7:$B$193,0)),ws3_matching_error_msg,G392*IF(E392="Y",1,1-F392)*INDEX('2. Emissions Units &amp; Activities'!$J$7:$J$193,MATCH(B392,'2. Emissions Units &amp; Activities'!$B$7:$B$193,0))))</f>
        <v>1.101E-3</v>
      </c>
      <c r="M392" s="509">
        <f t="shared" si="15"/>
        <v>5.7801527704861111E-6</v>
      </c>
      <c r="N392" s="284"/>
    </row>
    <row r="393" spans="1:14" ht="15.75" x14ac:dyDescent="0.25">
      <c r="A393" s="86"/>
      <c r="B393" s="508" t="s">
        <v>63</v>
      </c>
      <c r="C393" s="339" t="s">
        <v>239</v>
      </c>
      <c r="D393" s="340" t="s">
        <v>240</v>
      </c>
      <c r="E393" s="339" t="s">
        <v>214</v>
      </c>
      <c r="F393" s="341">
        <v>0</v>
      </c>
      <c r="G393" s="339">
        <v>1E-4</v>
      </c>
      <c r="H393" s="339" t="s">
        <v>231</v>
      </c>
      <c r="I393" s="339" t="s">
        <v>287</v>
      </c>
      <c r="J393" s="85">
        <f>IF(B393="",IF(CONCATENATE(C393,D393,E393,F393,G393,H393,I393)="","",ws3_EU_ID_blank),IF(ISERROR(MATCH(B393,'2. Emissions Units &amp; Activities'!$B$7:$B$193,0)),ws3_matching_error_msg,G393*IF(E393="Y",1,1-F393)*INDEX('2. Emissions Units &amp; Activities'!$G$7:$G$193,MATCH(B393,'2. Emissions Units &amp; Activities'!$B$7:$B$193,0))))</f>
        <v>2.2020000000000001E-4</v>
      </c>
      <c r="K393" s="85">
        <f t="shared" si="14"/>
        <v>3.1672069975266371E-9</v>
      </c>
      <c r="L393" s="85">
        <f>IF(B393="",IF(CONCATENATE(C393,D393,E393,F393,G393,H393,I393)="","",ws3_EU_ID_blank),IF(ISERROR(MATCH(B393,'2. Emissions Units &amp; Activities'!$B$7:$B$193,0)),ws3_matching_error_msg,G393*IF(E393="Y",1,1-F393)*INDEX('2. Emissions Units &amp; Activities'!$J$7:$J$193,MATCH(B393,'2. Emissions Units &amp; Activities'!$B$7:$B$193,0))))</f>
        <v>7.3400000000000009E-5</v>
      </c>
      <c r="M393" s="509">
        <f t="shared" si="15"/>
        <v>3.8534351803240747E-7</v>
      </c>
      <c r="N393" s="284"/>
    </row>
    <row r="394" spans="1:14" ht="15.75" x14ac:dyDescent="0.25">
      <c r="A394" s="86"/>
      <c r="B394" s="508" t="s">
        <v>63</v>
      </c>
      <c r="C394" s="339" t="s">
        <v>253</v>
      </c>
      <c r="D394" s="340" t="s">
        <v>254</v>
      </c>
      <c r="E394" s="339" t="s">
        <v>214</v>
      </c>
      <c r="F394" s="341">
        <v>0</v>
      </c>
      <c r="G394" s="339">
        <v>4.1000000000000003E-3</v>
      </c>
      <c r="H394" s="339" t="s">
        <v>231</v>
      </c>
      <c r="I394" s="339" t="s">
        <v>287</v>
      </c>
      <c r="J394" s="85">
        <f>IF(B394="",IF(CONCATENATE(C394,D394,E394,F394,G394,H394,I394)="","",ws3_EU_ID_blank),IF(ISERROR(MATCH(B394,'2. Emissions Units &amp; Activities'!$B$7:$B$193,0)),ws3_matching_error_msg,G394*IF(E394="Y",1,1-F394)*INDEX('2. Emissions Units &amp; Activities'!$G$7:$G$193,MATCH(B394,'2. Emissions Units &amp; Activities'!$B$7:$B$193,0))))</f>
        <v>9.0282000000000001E-3</v>
      </c>
      <c r="K394" s="85">
        <f t="shared" si="14"/>
        <v>1.2985548689859212E-7</v>
      </c>
      <c r="L394" s="85">
        <f>IF(B394="",IF(CONCATENATE(C394,D394,E394,F394,G394,H394,I394)="","",ws3_EU_ID_blank),IF(ISERROR(MATCH(B394,'2. Emissions Units &amp; Activities'!$B$7:$B$193,0)),ws3_matching_error_msg,G394*IF(E394="Y",1,1-F394)*INDEX('2. Emissions Units &amp; Activities'!$J$7:$J$193,MATCH(B394,'2. Emissions Units &amp; Activities'!$B$7:$B$193,0))))</f>
        <v>3.0094000000000002E-3</v>
      </c>
      <c r="M394" s="509">
        <f t="shared" si="15"/>
        <v>1.5799084239328704E-5</v>
      </c>
      <c r="N394" s="284"/>
    </row>
    <row r="395" spans="1:14" ht="15.75" x14ac:dyDescent="0.25">
      <c r="A395" s="86"/>
      <c r="B395" s="508" t="s">
        <v>63</v>
      </c>
      <c r="C395" s="339" t="s">
        <v>255</v>
      </c>
      <c r="D395" s="340" t="s">
        <v>256</v>
      </c>
      <c r="E395" s="339" t="s">
        <v>214</v>
      </c>
      <c r="F395" s="341">
        <v>0</v>
      </c>
      <c r="G395" s="339">
        <v>2.0000000000000001E-4</v>
      </c>
      <c r="H395" s="339" t="s">
        <v>231</v>
      </c>
      <c r="I395" s="339" t="s">
        <v>287</v>
      </c>
      <c r="J395" s="85">
        <f>IF(B395="",IF(CONCATENATE(C395,D395,E395,F395,G395,H395,I395)="","",ws3_EU_ID_blank),IF(ISERROR(MATCH(B395,'2. Emissions Units &amp; Activities'!$B$7:$B$193,0)),ws3_matching_error_msg,G395*IF(E395="Y",1,1-F395)*INDEX('2. Emissions Units &amp; Activities'!$G$7:$G$193,MATCH(B395,'2. Emissions Units &amp; Activities'!$B$7:$B$193,0))))</f>
        <v>4.4040000000000003E-4</v>
      </c>
      <c r="K395" s="85">
        <f t="shared" si="14"/>
        <v>6.3344139950532741E-9</v>
      </c>
      <c r="L395" s="85">
        <f>IF(B395="",IF(CONCATENATE(C395,D395,E395,F395,G395,H395,I395)="","",ws3_EU_ID_blank),IF(ISERROR(MATCH(B395,'2. Emissions Units &amp; Activities'!$B$7:$B$193,0)),ws3_matching_error_msg,G395*IF(E395="Y",1,1-F395)*INDEX('2. Emissions Units &amp; Activities'!$J$7:$J$193,MATCH(B395,'2. Emissions Units &amp; Activities'!$B$7:$B$193,0))))</f>
        <v>1.4680000000000002E-4</v>
      </c>
      <c r="M395" s="509">
        <f t="shared" si="15"/>
        <v>7.7068703606481493E-7</v>
      </c>
      <c r="N395" s="284"/>
    </row>
    <row r="396" spans="1:14" ht="15.75" x14ac:dyDescent="0.25">
      <c r="A396" s="86"/>
      <c r="B396" s="508" t="s">
        <v>63</v>
      </c>
      <c r="C396" s="339" t="s">
        <v>237</v>
      </c>
      <c r="D396" s="340" t="s">
        <v>238</v>
      </c>
      <c r="E396" s="339" t="s">
        <v>214</v>
      </c>
      <c r="F396" s="341">
        <v>0</v>
      </c>
      <c r="G396" s="339">
        <v>0.35060000000000002</v>
      </c>
      <c r="H396" s="339" t="s">
        <v>231</v>
      </c>
      <c r="I396" s="339" t="s">
        <v>287</v>
      </c>
      <c r="J396" s="85">
        <f>IF(B396="",IF(CONCATENATE(C396,D396,E396,F396,G396,H396,I396)="","",ws3_EU_ID_blank),IF(ISERROR(MATCH(B396,'2. Emissions Units &amp; Activities'!$B$7:$B$193,0)),ws3_matching_error_msg,G396*IF(E396="Y",1,1-F396)*INDEX('2. Emissions Units &amp; Activities'!$G$7:$G$193,MATCH(B396,'2. Emissions Units &amp; Activities'!$B$7:$B$193,0))))</f>
        <v>0.77202120000000007</v>
      </c>
      <c r="K396" s="85">
        <f t="shared" si="14"/>
        <v>1.110422773332839E-5</v>
      </c>
      <c r="L396" s="85">
        <f>IF(B396="",IF(CONCATENATE(C396,D396,E396,F396,G396,H396,I396)="","",ws3_EU_ID_blank),IF(ISERROR(MATCH(B396,'2. Emissions Units &amp; Activities'!$B$7:$B$193,0)),ws3_matching_error_msg,G396*IF(E396="Y",1,1-F396)*INDEX('2. Emissions Units &amp; Activities'!$J$7:$J$193,MATCH(B396,'2. Emissions Units &amp; Activities'!$B$7:$B$193,0))))</f>
        <v>0.25734040000000002</v>
      </c>
      <c r="M396" s="509">
        <f t="shared" si="15"/>
        <v>1.3510143742216207E-3</v>
      </c>
      <c r="N396" s="284"/>
    </row>
    <row r="397" spans="1:14" ht="15.75" x14ac:dyDescent="0.25">
      <c r="A397" s="86"/>
      <c r="B397" s="508" t="s">
        <v>63</v>
      </c>
      <c r="C397" s="339" t="s">
        <v>257</v>
      </c>
      <c r="D397" s="340" t="s">
        <v>258</v>
      </c>
      <c r="E397" s="339" t="s">
        <v>214</v>
      </c>
      <c r="F397" s="341">
        <v>0</v>
      </c>
      <c r="G397" s="339">
        <v>3.5000000000000001E-3</v>
      </c>
      <c r="H397" s="339" t="s">
        <v>231</v>
      </c>
      <c r="I397" s="339" t="s">
        <v>287</v>
      </c>
      <c r="J397" s="85">
        <f>IF(B397="",IF(CONCATENATE(C397,D397,E397,F397,G397,H397,I397)="","",ws3_EU_ID_blank),IF(ISERROR(MATCH(B397,'2. Emissions Units &amp; Activities'!$B$7:$B$193,0)),ws3_matching_error_msg,G397*IF(E397="Y",1,1-F397)*INDEX('2. Emissions Units &amp; Activities'!$G$7:$G$193,MATCH(B397,'2. Emissions Units &amp; Activities'!$B$7:$B$193,0))))</f>
        <v>7.7070000000000003E-3</v>
      </c>
      <c r="K397" s="85">
        <f t="shared" si="14"/>
        <v>1.1085224491343227E-7</v>
      </c>
      <c r="L397" s="85">
        <f>IF(B397="",IF(CONCATENATE(C397,D397,E397,F397,G397,H397,I397)="","",ws3_EU_ID_blank),IF(ISERROR(MATCH(B397,'2. Emissions Units &amp; Activities'!$B$7:$B$193,0)),ws3_matching_error_msg,G397*IF(E397="Y",1,1-F397)*INDEX('2. Emissions Units &amp; Activities'!$J$7:$J$193,MATCH(B397,'2. Emissions Units &amp; Activities'!$B$7:$B$193,0))))</f>
        <v>2.5690000000000001E-3</v>
      </c>
      <c r="M397" s="509">
        <f t="shared" si="15"/>
        <v>1.3487023131134261E-5</v>
      </c>
      <c r="N397" s="284"/>
    </row>
    <row r="398" spans="1:14" ht="15.75" x14ac:dyDescent="0.25">
      <c r="A398" s="86"/>
      <c r="B398" s="508" t="s">
        <v>63</v>
      </c>
      <c r="C398" s="339" t="s">
        <v>259</v>
      </c>
      <c r="D398" s="340" t="s">
        <v>260</v>
      </c>
      <c r="E398" s="339" t="s">
        <v>214</v>
      </c>
      <c r="F398" s="341">
        <v>0</v>
      </c>
      <c r="G398" s="339">
        <v>0.18629999999999999</v>
      </c>
      <c r="H398" s="339" t="s">
        <v>231</v>
      </c>
      <c r="I398" s="339" t="s">
        <v>287</v>
      </c>
      <c r="J398" s="85">
        <f>IF(B398="",IF(CONCATENATE(C398,D398,E398,F398,G398,H398,I398)="","",ws3_EU_ID_blank),IF(ISERROR(MATCH(B398,'2. Emissions Units &amp; Activities'!$B$7:$B$193,0)),ws3_matching_error_msg,G398*IF(E398="Y",1,1-F398)*INDEX('2. Emissions Units &amp; Activities'!$G$7:$G$193,MATCH(B398,'2. Emissions Units &amp; Activities'!$B$7:$B$193,0))))</f>
        <v>0.4102326</v>
      </c>
      <c r="K398" s="85">
        <f t="shared" si="14"/>
        <v>5.9005066363921242E-6</v>
      </c>
      <c r="L398" s="85">
        <f>IF(B398="",IF(CONCATENATE(C398,D398,E398,F398,G398,H398,I398)="","",ws3_EU_ID_blank),IF(ISERROR(MATCH(B398,'2. Emissions Units &amp; Activities'!$B$7:$B$193,0)),ws3_matching_error_msg,G398*IF(E398="Y",1,1-F398)*INDEX('2. Emissions Units &amp; Activities'!$J$7:$J$193,MATCH(B398,'2. Emissions Units &amp; Activities'!$B$7:$B$193,0))))</f>
        <v>0.13674419999999998</v>
      </c>
      <c r="M398" s="509">
        <f t="shared" si="15"/>
        <v>7.1789497409437499E-4</v>
      </c>
      <c r="N398" s="284"/>
    </row>
    <row r="399" spans="1:14" ht="15.75" x14ac:dyDescent="0.25">
      <c r="A399" s="86"/>
      <c r="B399" s="508" t="s">
        <v>63</v>
      </c>
      <c r="C399" s="339" t="s">
        <v>241</v>
      </c>
      <c r="D399" s="340" t="s">
        <v>242</v>
      </c>
      <c r="E399" s="339" t="s">
        <v>214</v>
      </c>
      <c r="F399" s="341">
        <v>0</v>
      </c>
      <c r="G399" s="339">
        <v>8.3000000000000001E-3</v>
      </c>
      <c r="H399" s="339" t="s">
        <v>231</v>
      </c>
      <c r="I399" s="339" t="s">
        <v>287</v>
      </c>
      <c r="J399" s="85">
        <f>IF(B399="",IF(CONCATENATE(C399,D399,E399,F399,G399,H399,I399)="","",ws3_EU_ID_blank),IF(ISERROR(MATCH(B399,'2. Emissions Units &amp; Activities'!$B$7:$B$193,0)),ws3_matching_error_msg,G399*IF(E399="Y",1,1-F399)*INDEX('2. Emissions Units &amp; Activities'!$G$7:$G$193,MATCH(B399,'2. Emissions Units &amp; Activities'!$B$7:$B$193,0))))</f>
        <v>1.82766E-2</v>
      </c>
      <c r="K399" s="85">
        <f t="shared" si="14"/>
        <v>2.6287818079471082E-7</v>
      </c>
      <c r="L399" s="85">
        <f>IF(B399="",IF(CONCATENATE(C399,D399,E399,F399,G399,H399,I399)="","",ws3_EU_ID_blank),IF(ISERROR(MATCH(B399,'2. Emissions Units &amp; Activities'!$B$7:$B$193,0)),ws3_matching_error_msg,G399*IF(E399="Y",1,1-F399)*INDEX('2. Emissions Units &amp; Activities'!$J$7:$J$193,MATCH(B399,'2. Emissions Units &amp; Activities'!$B$7:$B$193,0))))</f>
        <v>6.0921999999999999E-3</v>
      </c>
      <c r="M399" s="509">
        <f t="shared" si="15"/>
        <v>3.1983511996689811E-5</v>
      </c>
      <c r="N399" s="284"/>
    </row>
    <row r="400" spans="1:14" ht="15.75" x14ac:dyDescent="0.25">
      <c r="A400" s="86"/>
      <c r="B400" s="508" t="s">
        <v>63</v>
      </c>
      <c r="C400" s="339" t="s">
        <v>261</v>
      </c>
      <c r="D400" s="340" t="s">
        <v>262</v>
      </c>
      <c r="E400" s="339" t="s">
        <v>214</v>
      </c>
      <c r="F400" s="341">
        <v>0</v>
      </c>
      <c r="G400" s="339">
        <v>3.0999999999999999E-3</v>
      </c>
      <c r="H400" s="339" t="s">
        <v>231</v>
      </c>
      <c r="I400" s="339" t="s">
        <v>287</v>
      </c>
      <c r="J400" s="85">
        <f>IF(B400="",IF(CONCATENATE(C400,D400,E400,F400,G400,H400,I400)="","",ws3_EU_ID_blank),IF(ISERROR(MATCH(B400,'2. Emissions Units &amp; Activities'!$B$7:$B$193,0)),ws3_matching_error_msg,G400*IF(E400="Y",1,1-F400)*INDEX('2. Emissions Units &amp; Activities'!$G$7:$G$193,MATCH(B400,'2. Emissions Units &amp; Activities'!$B$7:$B$193,0))))</f>
        <v>6.8261999999999993E-3</v>
      </c>
      <c r="K400" s="85">
        <f t="shared" si="14"/>
        <v>9.8183416923325721E-8</v>
      </c>
      <c r="L400" s="85">
        <f>IF(B400="",IF(CONCATENATE(C400,D400,E400,F400,G400,H400,I400)="","",ws3_EU_ID_blank),IF(ISERROR(MATCH(B400,'2. Emissions Units &amp; Activities'!$B$7:$B$193,0)),ws3_matching_error_msg,G400*IF(E400="Y",1,1-F400)*INDEX('2. Emissions Units &amp; Activities'!$J$7:$J$193,MATCH(B400,'2. Emissions Units &amp; Activities'!$B$7:$B$193,0))))</f>
        <v>2.2753999999999999E-3</v>
      </c>
      <c r="M400" s="509">
        <f t="shared" si="15"/>
        <v>1.1945649059004631E-5</v>
      </c>
      <c r="N400" s="284"/>
    </row>
    <row r="401" spans="1:14" ht="15.75" x14ac:dyDescent="0.25">
      <c r="A401" s="86"/>
      <c r="B401" s="508" t="s">
        <v>63</v>
      </c>
      <c r="C401" s="339" t="s">
        <v>263</v>
      </c>
      <c r="D401" s="340" t="s">
        <v>264</v>
      </c>
      <c r="E401" s="339" t="s">
        <v>214</v>
      </c>
      <c r="F401" s="341">
        <v>0</v>
      </c>
      <c r="G401" s="339">
        <v>2E-3</v>
      </c>
      <c r="H401" s="339" t="s">
        <v>231</v>
      </c>
      <c r="I401" s="339" t="s">
        <v>287</v>
      </c>
      <c r="J401" s="85">
        <f>IF(B401="",IF(CONCATENATE(C401,D401,E401,F401,G401,H401,I401)="","",ws3_EU_ID_blank),IF(ISERROR(MATCH(B401,'2. Emissions Units &amp; Activities'!$B$7:$B$193,0)),ws3_matching_error_msg,G401*IF(E401="Y",1,1-F401)*INDEX('2. Emissions Units &amp; Activities'!$G$7:$G$193,MATCH(B401,'2. Emissions Units &amp; Activities'!$B$7:$B$193,0))))</f>
        <v>4.4039999999999999E-3</v>
      </c>
      <c r="K401" s="85">
        <f t="shared" si="14"/>
        <v>6.3344139950532726E-8</v>
      </c>
      <c r="L401" s="85">
        <f>IF(B401="",IF(CONCATENATE(C401,D401,E401,F401,G401,H401,I401)="","",ws3_EU_ID_blank),IF(ISERROR(MATCH(B401,'2. Emissions Units &amp; Activities'!$B$7:$B$193,0)),ws3_matching_error_msg,G401*IF(E401="Y",1,1-F401)*INDEX('2. Emissions Units &amp; Activities'!$J$7:$J$193,MATCH(B401,'2. Emissions Units &amp; Activities'!$B$7:$B$193,0))))</f>
        <v>1.4679999999999999E-3</v>
      </c>
      <c r="M401" s="509">
        <f t="shared" si="15"/>
        <v>7.7068703606481487E-6</v>
      </c>
      <c r="N401" s="284"/>
    </row>
    <row r="402" spans="1:14" ht="15.75" x14ac:dyDescent="0.25">
      <c r="A402" s="86"/>
      <c r="B402" s="508" t="s">
        <v>63</v>
      </c>
      <c r="C402" s="339" t="s">
        <v>244</v>
      </c>
      <c r="D402" s="340" t="s">
        <v>245</v>
      </c>
      <c r="E402" s="339" t="s">
        <v>214</v>
      </c>
      <c r="F402" s="341">
        <v>0</v>
      </c>
      <c r="G402" s="339">
        <v>5.3E-3</v>
      </c>
      <c r="H402" s="339" t="s">
        <v>231</v>
      </c>
      <c r="I402" s="339" t="s">
        <v>287</v>
      </c>
      <c r="J402" s="85">
        <f>IF(B402="",IF(CONCATENATE(C402,D402,E402,F402,G402,H402,I402)="","",ws3_EU_ID_blank),IF(ISERROR(MATCH(B402,'2. Emissions Units &amp; Activities'!$B$7:$B$193,0)),ws3_matching_error_msg,G402*IF(E402="Y",1,1-F402)*INDEX('2. Emissions Units &amp; Activities'!$G$7:$G$193,MATCH(B402,'2. Emissions Units &amp; Activities'!$B$7:$B$193,0))))</f>
        <v>1.16706E-2</v>
      </c>
      <c r="K402" s="85">
        <f t="shared" si="14"/>
        <v>1.6786197086891172E-7</v>
      </c>
      <c r="L402" s="85">
        <f>IF(B402="",IF(CONCATENATE(C402,D402,E402,F402,G402,H402,I402)="","",ws3_EU_ID_blank),IF(ISERROR(MATCH(B402,'2. Emissions Units &amp; Activities'!$B$7:$B$193,0)),ws3_matching_error_msg,G402*IF(E402="Y",1,1-F402)*INDEX('2. Emissions Units &amp; Activities'!$J$7:$J$193,MATCH(B402,'2. Emissions Units &amp; Activities'!$B$7:$B$193,0))))</f>
        <v>3.8901999999999999E-3</v>
      </c>
      <c r="M402" s="509">
        <f t="shared" si="15"/>
        <v>2.0423206455717594E-5</v>
      </c>
      <c r="N402" s="284"/>
    </row>
    <row r="403" spans="1:14" ht="15.75" x14ac:dyDescent="0.25">
      <c r="A403" s="86"/>
      <c r="B403" s="508" t="s">
        <v>63</v>
      </c>
      <c r="C403" s="339">
        <v>365</v>
      </c>
      <c r="D403" s="340" t="s">
        <v>243</v>
      </c>
      <c r="E403" s="339" t="s">
        <v>214</v>
      </c>
      <c r="F403" s="341">
        <v>0</v>
      </c>
      <c r="G403" s="339">
        <v>3.8999999999999998E-3</v>
      </c>
      <c r="H403" s="339" t="s">
        <v>231</v>
      </c>
      <c r="I403" s="339" t="s">
        <v>287</v>
      </c>
      <c r="J403" s="85">
        <f>IF(B403="",IF(CONCATENATE(C403,D403,E403,F403,G403,H403,I403)="","",ws3_EU_ID_blank),IF(ISERROR(MATCH(B403,'2. Emissions Units &amp; Activities'!$B$7:$B$193,0)),ws3_matching_error_msg,G403*IF(E403="Y",1,1-F403)*INDEX('2. Emissions Units &amp; Activities'!$G$7:$G$193,MATCH(B403,'2. Emissions Units &amp; Activities'!$B$7:$B$193,0))))</f>
        <v>8.5877999999999996E-3</v>
      </c>
      <c r="K403" s="85">
        <f t="shared" si="14"/>
        <v>1.2352107290353881E-7</v>
      </c>
      <c r="L403" s="85">
        <f>IF(B403="",IF(CONCATENATE(C403,D403,E403,F403,G403,H403,I403)="","",ws3_EU_ID_blank),IF(ISERROR(MATCH(B403,'2. Emissions Units &amp; Activities'!$B$7:$B$193,0)),ws3_matching_error_msg,G403*IF(E403="Y",1,1-F403)*INDEX('2. Emissions Units &amp; Activities'!$J$7:$J$193,MATCH(B403,'2. Emissions Units &amp; Activities'!$B$7:$B$193,0))))</f>
        <v>2.8625999999999999E-3</v>
      </c>
      <c r="M403" s="509">
        <f t="shared" si="15"/>
        <v>1.5028397203263891E-5</v>
      </c>
      <c r="N403" s="284"/>
    </row>
    <row r="404" spans="1:14" ht="15.75" x14ac:dyDescent="0.25">
      <c r="A404" s="86"/>
      <c r="B404" s="508" t="s">
        <v>63</v>
      </c>
      <c r="C404" s="339">
        <v>401</v>
      </c>
      <c r="D404" s="340" t="s">
        <v>246</v>
      </c>
      <c r="E404" s="339" t="s">
        <v>214</v>
      </c>
      <c r="F404" s="341">
        <v>0</v>
      </c>
      <c r="G404" s="339">
        <v>4.4499999999999998E-2</v>
      </c>
      <c r="H404" s="339" t="s">
        <v>231</v>
      </c>
      <c r="I404" s="339" t="s">
        <v>287</v>
      </c>
      <c r="J404" s="85">
        <f>IF(B404="",IF(CONCATENATE(C404,D404,E404,F404,G404,H404,I404)="","",ws3_EU_ID_blank),IF(ISERROR(MATCH(B404,'2. Emissions Units &amp; Activities'!$B$7:$B$193,0)),ws3_matching_error_msg,G404*IF(E404="Y",1,1-F404)*INDEX('2. Emissions Units &amp; Activities'!$G$7:$G$193,MATCH(B404,'2. Emissions Units &amp; Activities'!$B$7:$B$193,0))))</f>
        <v>9.7988999999999993E-2</v>
      </c>
      <c r="K404" s="85">
        <f t="shared" si="14"/>
        <v>1.409407113899353E-6</v>
      </c>
      <c r="L404" s="85">
        <f>IF(B404="",IF(CONCATENATE(C404,D404,E404,F404,G404,H404,I404)="","",ws3_EU_ID_blank),IF(ISERROR(MATCH(B404,'2. Emissions Units &amp; Activities'!$B$7:$B$193,0)),ws3_matching_error_msg,G404*IF(E404="Y",1,1-F404)*INDEX('2. Emissions Units &amp; Activities'!$J$7:$J$193,MATCH(B404,'2. Emissions Units &amp; Activities'!$B$7:$B$193,0))))</f>
        <v>3.2662999999999998E-2</v>
      </c>
      <c r="M404" s="509">
        <f t="shared" si="15"/>
        <v>1.714778655244213E-4</v>
      </c>
      <c r="N404" s="284"/>
    </row>
    <row r="405" spans="1:14" ht="15.75" x14ac:dyDescent="0.25">
      <c r="A405" s="86"/>
      <c r="B405" s="508" t="s">
        <v>63</v>
      </c>
      <c r="C405" s="339" t="s">
        <v>265</v>
      </c>
      <c r="D405" s="340" t="s">
        <v>266</v>
      </c>
      <c r="E405" s="339" t="s">
        <v>214</v>
      </c>
      <c r="F405" s="341">
        <v>0</v>
      </c>
      <c r="G405" s="339">
        <v>2.2000000000000001E-3</v>
      </c>
      <c r="H405" s="339" t="s">
        <v>231</v>
      </c>
      <c r="I405" s="339" t="s">
        <v>287</v>
      </c>
      <c r="J405" s="85">
        <f>IF(B405="",IF(CONCATENATE(C405,D405,E405,F405,G405,H405,I405)="","",ws3_EU_ID_blank),IF(ISERROR(MATCH(B405,'2. Emissions Units &amp; Activities'!$B$7:$B$193,0)),ws3_matching_error_msg,G405*IF(E405="Y",1,1-F405)*INDEX('2. Emissions Units &amp; Activities'!$G$7:$G$193,MATCH(B405,'2. Emissions Units &amp; Activities'!$B$7:$B$193,0))))</f>
        <v>4.8444000000000004E-3</v>
      </c>
      <c r="K405" s="85">
        <f t="shared" si="14"/>
        <v>6.9678553945586003E-8</v>
      </c>
      <c r="L405" s="85">
        <f>IF(B405="",IF(CONCATENATE(C405,D405,E405,F405,G405,H405,I405)="","",ws3_EU_ID_blank),IF(ISERROR(MATCH(B405,'2. Emissions Units &amp; Activities'!$B$7:$B$193,0)),ws3_matching_error_msg,G405*IF(E405="Y",1,1-F405)*INDEX('2. Emissions Units &amp; Activities'!$J$7:$J$193,MATCH(B405,'2. Emissions Units &amp; Activities'!$B$7:$B$193,0))))</f>
        <v>1.6148E-3</v>
      </c>
      <c r="M405" s="509">
        <f t="shared" si="15"/>
        <v>8.4775573967129637E-6</v>
      </c>
      <c r="N405" s="284"/>
    </row>
    <row r="406" spans="1:14" ht="15.75" x14ac:dyDescent="0.25">
      <c r="A406" s="86"/>
      <c r="B406" s="508" t="s">
        <v>63</v>
      </c>
      <c r="C406" s="339" t="s">
        <v>267</v>
      </c>
      <c r="D406" s="340" t="s">
        <v>268</v>
      </c>
      <c r="E406" s="339" t="s">
        <v>214</v>
      </c>
      <c r="F406" s="341">
        <v>0</v>
      </c>
      <c r="G406" s="339">
        <v>4.4000000000000003E-3</v>
      </c>
      <c r="H406" s="339" t="s">
        <v>231</v>
      </c>
      <c r="I406" s="339" t="s">
        <v>287</v>
      </c>
      <c r="J406" s="85">
        <f>IF(B406="",IF(CONCATENATE(C406,D406,E406,F406,G406,H406,I406)="","",ws3_EU_ID_blank),IF(ISERROR(MATCH(B406,'2. Emissions Units &amp; Activities'!$B$7:$B$193,0)),ws3_matching_error_msg,G406*IF(E406="Y",1,1-F406)*INDEX('2. Emissions Units &amp; Activities'!$G$7:$G$193,MATCH(B406,'2. Emissions Units &amp; Activities'!$B$7:$B$193,0))))</f>
        <v>9.6888000000000009E-3</v>
      </c>
      <c r="K406" s="85">
        <f t="shared" si="14"/>
        <v>1.3935710789117201E-7</v>
      </c>
      <c r="L406" s="85">
        <f>IF(B406="",IF(CONCATENATE(C406,D406,E406,F406,G406,H406,I406)="","",ws3_EU_ID_blank),IF(ISERROR(MATCH(B406,'2. Emissions Units &amp; Activities'!$B$7:$B$193,0)),ws3_matching_error_msg,G406*IF(E406="Y",1,1-F406)*INDEX('2. Emissions Units &amp; Activities'!$J$7:$J$193,MATCH(B406,'2. Emissions Units &amp; Activities'!$B$7:$B$193,0))))</f>
        <v>3.2296E-3</v>
      </c>
      <c r="M406" s="509">
        <f t="shared" si="15"/>
        <v>1.6955114793425927E-5</v>
      </c>
      <c r="N406" s="284"/>
    </row>
    <row r="407" spans="1:14" ht="15.75" x14ac:dyDescent="0.25">
      <c r="A407" s="86"/>
      <c r="B407" s="508" t="s">
        <v>63</v>
      </c>
      <c r="C407" s="339" t="s">
        <v>269</v>
      </c>
      <c r="D407" s="340" t="s">
        <v>270</v>
      </c>
      <c r="E407" s="339" t="s">
        <v>214</v>
      </c>
      <c r="F407" s="341">
        <v>0</v>
      </c>
      <c r="G407" s="339">
        <v>1.6000000000000001E-3</v>
      </c>
      <c r="H407" s="339" t="s">
        <v>231</v>
      </c>
      <c r="I407" s="339" t="s">
        <v>287</v>
      </c>
      <c r="J407" s="85">
        <f>IF(B407="",IF(CONCATENATE(C407,D407,E407,F407,G407,H407,I407)="","",ws3_EU_ID_blank),IF(ISERROR(MATCH(B407,'2. Emissions Units &amp; Activities'!$B$7:$B$193,0)),ws3_matching_error_msg,G407*IF(E407="Y",1,1-F407)*INDEX('2. Emissions Units &amp; Activities'!$G$7:$G$193,MATCH(B407,'2. Emissions Units &amp; Activities'!$B$7:$B$193,0))))</f>
        <v>3.5232000000000002E-3</v>
      </c>
      <c r="K407" s="85">
        <f t="shared" si="14"/>
        <v>5.0675311960426193E-8</v>
      </c>
      <c r="L407" s="85">
        <f>IF(B407="",IF(CONCATENATE(C407,D407,E407,F407,G407,H407,I407)="","",ws3_EU_ID_blank),IF(ISERROR(MATCH(B407,'2. Emissions Units &amp; Activities'!$B$7:$B$193,0)),ws3_matching_error_msg,G407*IF(E407="Y",1,1-F407)*INDEX('2. Emissions Units &amp; Activities'!$J$7:$J$193,MATCH(B407,'2. Emissions Units &amp; Activities'!$B$7:$B$193,0))))</f>
        <v>1.1744000000000001E-3</v>
      </c>
      <c r="M407" s="509">
        <f t="shared" si="15"/>
        <v>6.1654962885185194E-6</v>
      </c>
      <c r="N407" s="284"/>
    </row>
    <row r="408" spans="1:14" ht="15.75" x14ac:dyDescent="0.25">
      <c r="A408" s="86"/>
      <c r="B408" s="508" t="s">
        <v>64</v>
      </c>
      <c r="C408" s="339" t="s">
        <v>233</v>
      </c>
      <c r="D408" s="340" t="s">
        <v>234</v>
      </c>
      <c r="E408" s="339" t="s">
        <v>214</v>
      </c>
      <c r="F408" s="341">
        <v>0</v>
      </c>
      <c r="G408" s="339">
        <v>1.4800000000000001E-2</v>
      </c>
      <c r="H408" s="339" t="s">
        <v>231</v>
      </c>
      <c r="I408" s="339" t="s">
        <v>287</v>
      </c>
      <c r="J408" s="85">
        <f>IF(B408="",IF(CONCATENATE(C408,D408,E408,F408,G408,H408,I408)="","",ws3_EU_ID_blank),IF(ISERROR(MATCH(B408,'2. Emissions Units &amp; Activities'!$B$7:$B$193,0)),ws3_matching_error_msg,G408*IF(E408="Y",1,1-F408)*INDEX('2. Emissions Units &amp; Activities'!$G$7:$G$193,MATCH(B408,'2. Emissions Units &amp; Activities'!$B$7:$B$193,0))))</f>
        <v>3.2589600000000003E-2</v>
      </c>
      <c r="K408" s="85">
        <f t="shared" si="14"/>
        <v>4.6874663563394226E-7</v>
      </c>
      <c r="L408" s="85">
        <f>IF(B408="",IF(CONCATENATE(C408,D408,E408,F408,G408,H408,I408)="","",ws3_EU_ID_blank),IF(ISERROR(MATCH(B408,'2. Emissions Units &amp; Activities'!$B$7:$B$193,0)),ws3_matching_error_msg,G408*IF(E408="Y",1,1-F408)*INDEX('2. Emissions Units &amp; Activities'!$J$7:$J$193,MATCH(B408,'2. Emissions Units &amp; Activities'!$B$7:$B$193,0))))</f>
        <v>1.08632E-2</v>
      </c>
      <c r="M408" s="509">
        <f t="shared" si="15"/>
        <v>5.7030840668796296E-5</v>
      </c>
      <c r="N408" s="284"/>
    </row>
    <row r="409" spans="1:14" ht="15.75" x14ac:dyDescent="0.25">
      <c r="A409" s="86"/>
      <c r="B409" s="508" t="s">
        <v>64</v>
      </c>
      <c r="C409" s="339" t="s">
        <v>247</v>
      </c>
      <c r="D409" s="340" t="s">
        <v>248</v>
      </c>
      <c r="E409" s="339" t="s">
        <v>214</v>
      </c>
      <c r="F409" s="341">
        <v>0</v>
      </c>
      <c r="G409" s="339">
        <v>0.35060000000000002</v>
      </c>
      <c r="H409" s="339" t="s">
        <v>231</v>
      </c>
      <c r="I409" s="339" t="s">
        <v>287</v>
      </c>
      <c r="J409" s="85">
        <f>IF(B409="",IF(CONCATENATE(C409,D409,E409,F409,G409,H409,I409)="","",ws3_EU_ID_blank),IF(ISERROR(MATCH(B409,'2. Emissions Units &amp; Activities'!$B$7:$B$193,0)),ws3_matching_error_msg,G409*IF(E409="Y",1,1-F409)*INDEX('2. Emissions Units &amp; Activities'!$G$7:$G$193,MATCH(B409,'2. Emissions Units &amp; Activities'!$B$7:$B$193,0))))</f>
        <v>0.77202120000000007</v>
      </c>
      <c r="K409" s="85">
        <f t="shared" si="14"/>
        <v>1.110422773332839E-5</v>
      </c>
      <c r="L409" s="85">
        <f>IF(B409="",IF(CONCATENATE(C409,D409,E409,F409,G409,H409,I409)="","",ws3_EU_ID_blank),IF(ISERROR(MATCH(B409,'2. Emissions Units &amp; Activities'!$B$7:$B$193,0)),ws3_matching_error_msg,G409*IF(E409="Y",1,1-F409)*INDEX('2. Emissions Units &amp; Activities'!$J$7:$J$193,MATCH(B409,'2. Emissions Units &amp; Activities'!$B$7:$B$193,0))))</f>
        <v>0.25734040000000002</v>
      </c>
      <c r="M409" s="509">
        <f t="shared" si="15"/>
        <v>1.3510143742216207E-3</v>
      </c>
      <c r="N409" s="284"/>
    </row>
    <row r="410" spans="1:14" ht="15.75" x14ac:dyDescent="0.25">
      <c r="A410" s="86"/>
      <c r="B410" s="508" t="s">
        <v>64</v>
      </c>
      <c r="C410" s="339" t="s">
        <v>249</v>
      </c>
      <c r="D410" s="340" t="s">
        <v>250</v>
      </c>
      <c r="E410" s="339" t="s">
        <v>214</v>
      </c>
      <c r="F410" s="341">
        <v>0</v>
      </c>
      <c r="G410" s="339">
        <v>0.35060000000000002</v>
      </c>
      <c r="H410" s="339" t="s">
        <v>231</v>
      </c>
      <c r="I410" s="339" t="s">
        <v>287</v>
      </c>
      <c r="J410" s="85">
        <f>IF(B410="",IF(CONCATENATE(C410,D410,E410,F410,G410,H410,I410)="","",ws3_EU_ID_blank),IF(ISERROR(MATCH(B410,'2. Emissions Units &amp; Activities'!$B$7:$B$193,0)),ws3_matching_error_msg,G410*IF(E410="Y",1,1-F410)*INDEX('2. Emissions Units &amp; Activities'!$G$7:$G$193,MATCH(B410,'2. Emissions Units &amp; Activities'!$B$7:$B$193,0))))</f>
        <v>0.77202120000000007</v>
      </c>
      <c r="K410" s="85">
        <f t="shared" si="14"/>
        <v>1.110422773332839E-5</v>
      </c>
      <c r="L410" s="85">
        <f>IF(B410="",IF(CONCATENATE(C410,D410,E410,F410,G410,H410,I410)="","",ws3_EU_ID_blank),IF(ISERROR(MATCH(B410,'2. Emissions Units &amp; Activities'!$B$7:$B$193,0)),ws3_matching_error_msg,G410*IF(E410="Y",1,1-F410)*INDEX('2. Emissions Units &amp; Activities'!$J$7:$J$193,MATCH(B410,'2. Emissions Units &amp; Activities'!$B$7:$B$193,0))))</f>
        <v>0.25734040000000002</v>
      </c>
      <c r="M410" s="509">
        <f t="shared" si="15"/>
        <v>1.3510143742216207E-3</v>
      </c>
      <c r="N410" s="284"/>
    </row>
    <row r="411" spans="1:14" ht="15.75" x14ac:dyDescent="0.25">
      <c r="A411" s="86"/>
      <c r="B411" s="508" t="s">
        <v>64</v>
      </c>
      <c r="C411" s="339" t="s">
        <v>251</v>
      </c>
      <c r="D411" s="340" t="s">
        <v>252</v>
      </c>
      <c r="E411" s="339" t="s">
        <v>214</v>
      </c>
      <c r="F411" s="341">
        <v>0</v>
      </c>
      <c r="G411" s="339">
        <v>0.8</v>
      </c>
      <c r="H411" s="339" t="s">
        <v>231</v>
      </c>
      <c r="I411" s="339" t="s">
        <v>287</v>
      </c>
      <c r="J411" s="85">
        <f>IF(B411="",IF(CONCATENATE(C411,D411,E411,F411,G411,H411,I411)="","",ws3_EU_ID_blank),IF(ISERROR(MATCH(B411,'2. Emissions Units &amp; Activities'!$B$7:$B$193,0)),ws3_matching_error_msg,G411*IF(E411="Y",1,1-F411)*INDEX('2. Emissions Units &amp; Activities'!$G$7:$G$193,MATCH(B411,'2. Emissions Units &amp; Activities'!$B$7:$B$193,0))))</f>
        <v>1.7616000000000001</v>
      </c>
      <c r="K411" s="85">
        <f t="shared" si="14"/>
        <v>2.5337655980213089E-5</v>
      </c>
      <c r="L411" s="85">
        <f>IF(B411="",IF(CONCATENATE(C411,D411,E411,F411,G411,H411,I411)="","",ws3_EU_ID_blank),IF(ISERROR(MATCH(B411,'2. Emissions Units &amp; Activities'!$B$7:$B$193,0)),ws3_matching_error_msg,G411*IF(E411="Y",1,1-F411)*INDEX('2. Emissions Units &amp; Activities'!$J$7:$J$193,MATCH(B411,'2. Emissions Units &amp; Activities'!$B$7:$B$193,0))))</f>
        <v>0.58720000000000006</v>
      </c>
      <c r="M411" s="509">
        <f t="shared" si="15"/>
        <v>3.0827481442592601E-3</v>
      </c>
      <c r="N411" s="284"/>
    </row>
    <row r="412" spans="1:14" ht="15.75" x14ac:dyDescent="0.25">
      <c r="A412" s="86"/>
      <c r="B412" s="508" t="s">
        <v>64</v>
      </c>
      <c r="C412" s="339" t="s">
        <v>218</v>
      </c>
      <c r="D412" s="340" t="s">
        <v>219</v>
      </c>
      <c r="E412" s="339" t="s">
        <v>214</v>
      </c>
      <c r="F412" s="341">
        <v>0</v>
      </c>
      <c r="G412" s="339">
        <v>1.6000000000000001E-3</v>
      </c>
      <c r="H412" s="339" t="s">
        <v>231</v>
      </c>
      <c r="I412" s="339" t="s">
        <v>287</v>
      </c>
      <c r="J412" s="85">
        <f>IF(B412="",IF(CONCATENATE(C412,D412,E412,F412,G412,H412,I412)="","",ws3_EU_ID_blank),IF(ISERROR(MATCH(B412,'2. Emissions Units &amp; Activities'!$B$7:$B$193,0)),ws3_matching_error_msg,G412*IF(E412="Y",1,1-F412)*INDEX('2. Emissions Units &amp; Activities'!$G$7:$G$193,MATCH(B412,'2. Emissions Units &amp; Activities'!$B$7:$B$193,0))))</f>
        <v>3.5232000000000002E-3</v>
      </c>
      <c r="K412" s="85">
        <f t="shared" si="14"/>
        <v>5.0675311960426193E-8</v>
      </c>
      <c r="L412" s="85">
        <f>IF(B412="",IF(CONCATENATE(C412,D412,E412,F412,G412,H412,I412)="","",ws3_EU_ID_blank),IF(ISERROR(MATCH(B412,'2. Emissions Units &amp; Activities'!$B$7:$B$193,0)),ws3_matching_error_msg,G412*IF(E412="Y",1,1-F412)*INDEX('2. Emissions Units &amp; Activities'!$J$7:$J$193,MATCH(B412,'2. Emissions Units &amp; Activities'!$B$7:$B$193,0))))</f>
        <v>1.1744000000000001E-3</v>
      </c>
      <c r="M412" s="509">
        <f t="shared" si="15"/>
        <v>6.1654962885185194E-6</v>
      </c>
      <c r="N412" s="284"/>
    </row>
    <row r="413" spans="1:14" ht="15.75" x14ac:dyDescent="0.25">
      <c r="A413" s="86"/>
      <c r="B413" s="508" t="s">
        <v>64</v>
      </c>
      <c r="C413" s="339" t="s">
        <v>221</v>
      </c>
      <c r="D413" s="340" t="s">
        <v>222</v>
      </c>
      <c r="E413" s="339" t="s">
        <v>214</v>
      </c>
      <c r="F413" s="341">
        <v>0</v>
      </c>
      <c r="G413" s="339">
        <v>4.4000000000000003E-3</v>
      </c>
      <c r="H413" s="339" t="s">
        <v>231</v>
      </c>
      <c r="I413" s="339" t="s">
        <v>287</v>
      </c>
      <c r="J413" s="85">
        <f>IF(B413="",IF(CONCATENATE(C413,D413,E413,F413,G413,H413,I413)="","",ws3_EU_ID_blank),IF(ISERROR(MATCH(B413,'2. Emissions Units &amp; Activities'!$B$7:$B$193,0)),ws3_matching_error_msg,G413*IF(E413="Y",1,1-F413)*INDEX('2. Emissions Units &amp; Activities'!$G$7:$G$193,MATCH(B413,'2. Emissions Units &amp; Activities'!$B$7:$B$193,0))))</f>
        <v>9.6888000000000009E-3</v>
      </c>
      <c r="K413" s="85">
        <f t="shared" si="14"/>
        <v>1.3935710789117201E-7</v>
      </c>
      <c r="L413" s="85">
        <f>IF(B413="",IF(CONCATENATE(C413,D413,E413,F413,G413,H413,I413)="","",ws3_EU_ID_blank),IF(ISERROR(MATCH(B413,'2. Emissions Units &amp; Activities'!$B$7:$B$193,0)),ws3_matching_error_msg,G413*IF(E413="Y",1,1-F413)*INDEX('2. Emissions Units &amp; Activities'!$J$7:$J$193,MATCH(B413,'2. Emissions Units &amp; Activities'!$B$7:$B$193,0))))</f>
        <v>3.2296E-3</v>
      </c>
      <c r="M413" s="509">
        <f t="shared" si="15"/>
        <v>1.6955114793425927E-5</v>
      </c>
      <c r="N413" s="284"/>
    </row>
    <row r="414" spans="1:14" ht="15.75" x14ac:dyDescent="0.25">
      <c r="A414" s="86"/>
      <c r="B414" s="508" t="s">
        <v>64</v>
      </c>
      <c r="C414" s="339" t="s">
        <v>273</v>
      </c>
      <c r="D414" s="340" t="s">
        <v>274</v>
      </c>
      <c r="E414" s="339" t="s">
        <v>214</v>
      </c>
      <c r="F414" s="341">
        <v>0</v>
      </c>
      <c r="G414" s="339">
        <v>3.5200000000000002E-5</v>
      </c>
      <c r="H414" s="339" t="s">
        <v>231</v>
      </c>
      <c r="I414" s="339" t="s">
        <v>287</v>
      </c>
      <c r="J414" s="85">
        <f>IF(B414="",IF(CONCATENATE(C414,D414,E414,F414,G414,H414,I414)="","",ws3_EU_ID_blank),IF(ISERROR(MATCH(B414,'2. Emissions Units &amp; Activities'!$B$7:$B$193,0)),ws3_matching_error_msg,G414*IF(E414="Y",1,1-F414)*INDEX('2. Emissions Units &amp; Activities'!$G$7:$G$193,MATCH(B414,'2. Emissions Units &amp; Activities'!$B$7:$B$193,0))))</f>
        <v>7.7510399999999996E-5</v>
      </c>
      <c r="K414" s="85">
        <f t="shared" si="14"/>
        <v>1.1148568631293757E-9</v>
      </c>
      <c r="L414" s="85">
        <f>IF(B414="",IF(CONCATENATE(C414,D414,E414,F414,G414,H414,I414)="","",ws3_EU_ID_blank),IF(ISERROR(MATCH(B414,'2. Emissions Units &amp; Activities'!$B$7:$B$193,0)),ws3_matching_error_msg,G414*IF(E414="Y",1,1-F414)*INDEX('2. Emissions Units &amp; Activities'!$J$7:$J$193,MATCH(B414,'2. Emissions Units &amp; Activities'!$B$7:$B$193,0))))</f>
        <v>2.58368E-5</v>
      </c>
      <c r="M414" s="509">
        <f t="shared" si="15"/>
        <v>1.3564091834740742E-7</v>
      </c>
      <c r="N414" s="284"/>
    </row>
    <row r="415" spans="1:14" ht="15.75" x14ac:dyDescent="0.25">
      <c r="A415" s="86"/>
      <c r="B415" s="508" t="s">
        <v>64</v>
      </c>
      <c r="C415" s="339" t="s">
        <v>235</v>
      </c>
      <c r="D415" s="340" t="s">
        <v>236</v>
      </c>
      <c r="E415" s="339" t="s">
        <v>214</v>
      </c>
      <c r="F415" s="341">
        <v>0</v>
      </c>
      <c r="G415" s="339">
        <v>1.5E-3</v>
      </c>
      <c r="H415" s="339" t="s">
        <v>231</v>
      </c>
      <c r="I415" s="339" t="s">
        <v>287</v>
      </c>
      <c r="J415" s="85">
        <f>IF(B415="",IF(CONCATENATE(C415,D415,E415,F415,G415,H415,I415)="","",ws3_EU_ID_blank),IF(ISERROR(MATCH(B415,'2. Emissions Units &amp; Activities'!$B$7:$B$193,0)),ws3_matching_error_msg,G415*IF(E415="Y",1,1-F415)*INDEX('2. Emissions Units &amp; Activities'!$G$7:$G$193,MATCH(B415,'2. Emissions Units &amp; Activities'!$B$7:$B$193,0))))</f>
        <v>3.3029999999999999E-3</v>
      </c>
      <c r="K415" s="85">
        <f t="shared" si="14"/>
        <v>4.7508104962899541E-8</v>
      </c>
      <c r="L415" s="85">
        <f>IF(B415="",IF(CONCATENATE(C415,D415,E415,F415,G415,H415,I415)="","",ws3_EU_ID_blank),IF(ISERROR(MATCH(B415,'2. Emissions Units &amp; Activities'!$B$7:$B$193,0)),ws3_matching_error_msg,G415*IF(E415="Y",1,1-F415)*INDEX('2. Emissions Units &amp; Activities'!$J$7:$J$193,MATCH(B415,'2. Emissions Units &amp; Activities'!$B$7:$B$193,0))))</f>
        <v>1.101E-3</v>
      </c>
      <c r="M415" s="509">
        <f t="shared" si="15"/>
        <v>5.7801527704861111E-6</v>
      </c>
      <c r="N415" s="284"/>
    </row>
    <row r="416" spans="1:14" ht="15.75" x14ac:dyDescent="0.25">
      <c r="A416" s="86"/>
      <c r="B416" s="508" t="s">
        <v>64</v>
      </c>
      <c r="C416" s="339" t="s">
        <v>239</v>
      </c>
      <c r="D416" s="340" t="s">
        <v>240</v>
      </c>
      <c r="E416" s="339" t="s">
        <v>214</v>
      </c>
      <c r="F416" s="341">
        <v>0</v>
      </c>
      <c r="G416" s="339">
        <v>1E-4</v>
      </c>
      <c r="H416" s="339" t="s">
        <v>231</v>
      </c>
      <c r="I416" s="339" t="s">
        <v>287</v>
      </c>
      <c r="J416" s="85">
        <f>IF(B416="",IF(CONCATENATE(C416,D416,E416,F416,G416,H416,I416)="","",ws3_EU_ID_blank),IF(ISERROR(MATCH(B416,'2. Emissions Units &amp; Activities'!$B$7:$B$193,0)),ws3_matching_error_msg,G416*IF(E416="Y",1,1-F416)*INDEX('2. Emissions Units &amp; Activities'!$G$7:$G$193,MATCH(B416,'2. Emissions Units &amp; Activities'!$B$7:$B$193,0))))</f>
        <v>2.2020000000000001E-4</v>
      </c>
      <c r="K416" s="85">
        <f t="shared" si="14"/>
        <v>3.1672069975266371E-9</v>
      </c>
      <c r="L416" s="85">
        <f>IF(B416="",IF(CONCATENATE(C416,D416,E416,F416,G416,H416,I416)="","",ws3_EU_ID_blank),IF(ISERROR(MATCH(B416,'2. Emissions Units &amp; Activities'!$B$7:$B$193,0)),ws3_matching_error_msg,G416*IF(E416="Y",1,1-F416)*INDEX('2. Emissions Units &amp; Activities'!$J$7:$J$193,MATCH(B416,'2. Emissions Units &amp; Activities'!$B$7:$B$193,0))))</f>
        <v>7.3400000000000009E-5</v>
      </c>
      <c r="M416" s="509">
        <f t="shared" si="15"/>
        <v>3.8534351803240747E-7</v>
      </c>
      <c r="N416" s="284"/>
    </row>
    <row r="417" spans="1:14" ht="15.75" x14ac:dyDescent="0.25">
      <c r="A417" s="86"/>
      <c r="B417" s="508" t="s">
        <v>64</v>
      </c>
      <c r="C417" s="339" t="s">
        <v>253</v>
      </c>
      <c r="D417" s="340" t="s">
        <v>254</v>
      </c>
      <c r="E417" s="339" t="s">
        <v>214</v>
      </c>
      <c r="F417" s="341">
        <v>0</v>
      </c>
      <c r="G417" s="339">
        <v>4.1000000000000003E-3</v>
      </c>
      <c r="H417" s="339" t="s">
        <v>231</v>
      </c>
      <c r="I417" s="339" t="s">
        <v>287</v>
      </c>
      <c r="J417" s="85">
        <f>IF(B417="",IF(CONCATENATE(C417,D417,E417,F417,G417,H417,I417)="","",ws3_EU_ID_blank),IF(ISERROR(MATCH(B417,'2. Emissions Units &amp; Activities'!$B$7:$B$193,0)),ws3_matching_error_msg,G417*IF(E417="Y",1,1-F417)*INDEX('2. Emissions Units &amp; Activities'!$G$7:$G$193,MATCH(B417,'2. Emissions Units &amp; Activities'!$B$7:$B$193,0))))</f>
        <v>9.0282000000000001E-3</v>
      </c>
      <c r="K417" s="85">
        <f t="shared" si="14"/>
        <v>1.2985548689859212E-7</v>
      </c>
      <c r="L417" s="85">
        <f>IF(B417="",IF(CONCATENATE(C417,D417,E417,F417,G417,H417,I417)="","",ws3_EU_ID_blank),IF(ISERROR(MATCH(B417,'2. Emissions Units &amp; Activities'!$B$7:$B$193,0)),ws3_matching_error_msg,G417*IF(E417="Y",1,1-F417)*INDEX('2. Emissions Units &amp; Activities'!$J$7:$J$193,MATCH(B417,'2. Emissions Units &amp; Activities'!$B$7:$B$193,0))))</f>
        <v>3.0094000000000002E-3</v>
      </c>
      <c r="M417" s="509">
        <f t="shared" si="15"/>
        <v>1.5799084239328704E-5</v>
      </c>
      <c r="N417" s="284"/>
    </row>
    <row r="418" spans="1:14" ht="15.75" x14ac:dyDescent="0.25">
      <c r="A418" s="86"/>
      <c r="B418" s="508" t="s">
        <v>64</v>
      </c>
      <c r="C418" s="339" t="s">
        <v>255</v>
      </c>
      <c r="D418" s="340" t="s">
        <v>256</v>
      </c>
      <c r="E418" s="339" t="s">
        <v>214</v>
      </c>
      <c r="F418" s="341">
        <v>0</v>
      </c>
      <c r="G418" s="339">
        <v>2.0000000000000001E-4</v>
      </c>
      <c r="H418" s="339" t="s">
        <v>231</v>
      </c>
      <c r="I418" s="339" t="s">
        <v>287</v>
      </c>
      <c r="J418" s="85">
        <f>IF(B418="",IF(CONCATENATE(C418,D418,E418,F418,G418,H418,I418)="","",ws3_EU_ID_blank),IF(ISERROR(MATCH(B418,'2. Emissions Units &amp; Activities'!$B$7:$B$193,0)),ws3_matching_error_msg,G418*IF(E418="Y",1,1-F418)*INDEX('2. Emissions Units &amp; Activities'!$G$7:$G$193,MATCH(B418,'2. Emissions Units &amp; Activities'!$B$7:$B$193,0))))</f>
        <v>4.4040000000000003E-4</v>
      </c>
      <c r="K418" s="85">
        <f t="shared" si="14"/>
        <v>6.3344139950532741E-9</v>
      </c>
      <c r="L418" s="85">
        <f>IF(B418="",IF(CONCATENATE(C418,D418,E418,F418,G418,H418,I418)="","",ws3_EU_ID_blank),IF(ISERROR(MATCH(B418,'2. Emissions Units &amp; Activities'!$B$7:$B$193,0)),ws3_matching_error_msg,G418*IF(E418="Y",1,1-F418)*INDEX('2. Emissions Units &amp; Activities'!$J$7:$J$193,MATCH(B418,'2. Emissions Units &amp; Activities'!$B$7:$B$193,0))))</f>
        <v>1.4680000000000002E-4</v>
      </c>
      <c r="M418" s="509">
        <f t="shared" si="15"/>
        <v>7.7068703606481493E-7</v>
      </c>
      <c r="N418" s="284"/>
    </row>
    <row r="419" spans="1:14" ht="15.75" x14ac:dyDescent="0.25">
      <c r="A419" s="86"/>
      <c r="B419" s="508" t="s">
        <v>64</v>
      </c>
      <c r="C419" s="339" t="s">
        <v>237</v>
      </c>
      <c r="D419" s="340" t="s">
        <v>238</v>
      </c>
      <c r="E419" s="339" t="s">
        <v>214</v>
      </c>
      <c r="F419" s="341">
        <v>0</v>
      </c>
      <c r="G419" s="339">
        <v>0.35060000000000002</v>
      </c>
      <c r="H419" s="339" t="s">
        <v>231</v>
      </c>
      <c r="I419" s="339" t="s">
        <v>287</v>
      </c>
      <c r="J419" s="85">
        <f>IF(B419="",IF(CONCATENATE(C419,D419,E419,F419,G419,H419,I419)="","",ws3_EU_ID_blank),IF(ISERROR(MATCH(B419,'2. Emissions Units &amp; Activities'!$B$7:$B$193,0)),ws3_matching_error_msg,G419*IF(E419="Y",1,1-F419)*INDEX('2. Emissions Units &amp; Activities'!$G$7:$G$193,MATCH(B419,'2. Emissions Units &amp; Activities'!$B$7:$B$193,0))))</f>
        <v>0.77202120000000007</v>
      </c>
      <c r="K419" s="85">
        <f t="shared" si="14"/>
        <v>1.110422773332839E-5</v>
      </c>
      <c r="L419" s="85">
        <f>IF(B419="",IF(CONCATENATE(C419,D419,E419,F419,G419,H419,I419)="","",ws3_EU_ID_blank),IF(ISERROR(MATCH(B419,'2. Emissions Units &amp; Activities'!$B$7:$B$193,0)),ws3_matching_error_msg,G419*IF(E419="Y",1,1-F419)*INDEX('2. Emissions Units &amp; Activities'!$J$7:$J$193,MATCH(B419,'2. Emissions Units &amp; Activities'!$B$7:$B$193,0))))</f>
        <v>0.25734040000000002</v>
      </c>
      <c r="M419" s="509">
        <f t="shared" si="15"/>
        <v>1.3510143742216207E-3</v>
      </c>
      <c r="N419" s="284"/>
    </row>
    <row r="420" spans="1:14" ht="15.75" x14ac:dyDescent="0.25">
      <c r="A420" s="86"/>
      <c r="B420" s="508" t="s">
        <v>64</v>
      </c>
      <c r="C420" s="339" t="s">
        <v>257</v>
      </c>
      <c r="D420" s="340" t="s">
        <v>258</v>
      </c>
      <c r="E420" s="339" t="s">
        <v>214</v>
      </c>
      <c r="F420" s="341">
        <v>0</v>
      </c>
      <c r="G420" s="339">
        <v>3.5000000000000001E-3</v>
      </c>
      <c r="H420" s="339" t="s">
        <v>231</v>
      </c>
      <c r="I420" s="339" t="s">
        <v>287</v>
      </c>
      <c r="J420" s="85">
        <f>IF(B420="",IF(CONCATENATE(C420,D420,E420,F420,G420,H420,I420)="","",ws3_EU_ID_blank),IF(ISERROR(MATCH(B420,'2. Emissions Units &amp; Activities'!$B$7:$B$193,0)),ws3_matching_error_msg,G420*IF(E420="Y",1,1-F420)*INDEX('2. Emissions Units &amp; Activities'!$G$7:$G$193,MATCH(B420,'2. Emissions Units &amp; Activities'!$B$7:$B$193,0))))</f>
        <v>7.7070000000000003E-3</v>
      </c>
      <c r="K420" s="85">
        <f t="shared" si="14"/>
        <v>1.1085224491343227E-7</v>
      </c>
      <c r="L420" s="85">
        <f>IF(B420="",IF(CONCATENATE(C420,D420,E420,F420,G420,H420,I420)="","",ws3_EU_ID_blank),IF(ISERROR(MATCH(B420,'2. Emissions Units &amp; Activities'!$B$7:$B$193,0)),ws3_matching_error_msg,G420*IF(E420="Y",1,1-F420)*INDEX('2. Emissions Units &amp; Activities'!$J$7:$J$193,MATCH(B420,'2. Emissions Units &amp; Activities'!$B$7:$B$193,0))))</f>
        <v>2.5690000000000001E-3</v>
      </c>
      <c r="M420" s="509">
        <f t="shared" si="15"/>
        <v>1.3487023131134261E-5</v>
      </c>
      <c r="N420" s="284"/>
    </row>
    <row r="421" spans="1:14" ht="15.75" x14ac:dyDescent="0.25">
      <c r="A421" s="86"/>
      <c r="B421" s="508" t="s">
        <v>64</v>
      </c>
      <c r="C421" s="339" t="s">
        <v>259</v>
      </c>
      <c r="D421" s="340" t="s">
        <v>260</v>
      </c>
      <c r="E421" s="339" t="s">
        <v>214</v>
      </c>
      <c r="F421" s="341">
        <v>0</v>
      </c>
      <c r="G421" s="339">
        <v>0.18629999999999999</v>
      </c>
      <c r="H421" s="339" t="s">
        <v>231</v>
      </c>
      <c r="I421" s="339" t="s">
        <v>287</v>
      </c>
      <c r="J421" s="85">
        <f>IF(B421="",IF(CONCATENATE(C421,D421,E421,F421,G421,H421,I421)="","",ws3_EU_ID_blank),IF(ISERROR(MATCH(B421,'2. Emissions Units &amp; Activities'!$B$7:$B$193,0)),ws3_matching_error_msg,G421*IF(E421="Y",1,1-F421)*INDEX('2. Emissions Units &amp; Activities'!$G$7:$G$193,MATCH(B421,'2. Emissions Units &amp; Activities'!$B$7:$B$193,0))))</f>
        <v>0.4102326</v>
      </c>
      <c r="K421" s="85">
        <f t="shared" si="14"/>
        <v>5.9005066363921242E-6</v>
      </c>
      <c r="L421" s="85">
        <f>IF(B421="",IF(CONCATENATE(C421,D421,E421,F421,G421,H421,I421)="","",ws3_EU_ID_blank),IF(ISERROR(MATCH(B421,'2. Emissions Units &amp; Activities'!$B$7:$B$193,0)),ws3_matching_error_msg,G421*IF(E421="Y",1,1-F421)*INDEX('2. Emissions Units &amp; Activities'!$J$7:$J$193,MATCH(B421,'2. Emissions Units &amp; Activities'!$B$7:$B$193,0))))</f>
        <v>0.13674419999999998</v>
      </c>
      <c r="M421" s="509">
        <f t="shared" si="15"/>
        <v>7.1789497409437499E-4</v>
      </c>
      <c r="N421" s="284"/>
    </row>
    <row r="422" spans="1:14" ht="15.75" x14ac:dyDescent="0.25">
      <c r="A422" s="86"/>
      <c r="B422" s="508" t="s">
        <v>64</v>
      </c>
      <c r="C422" s="339" t="s">
        <v>241</v>
      </c>
      <c r="D422" s="340" t="s">
        <v>242</v>
      </c>
      <c r="E422" s="339" t="s">
        <v>214</v>
      </c>
      <c r="F422" s="341">
        <v>0</v>
      </c>
      <c r="G422" s="339">
        <v>8.3000000000000001E-3</v>
      </c>
      <c r="H422" s="339" t="s">
        <v>231</v>
      </c>
      <c r="I422" s="339" t="s">
        <v>287</v>
      </c>
      <c r="J422" s="85">
        <f>IF(B422="",IF(CONCATENATE(C422,D422,E422,F422,G422,H422,I422)="","",ws3_EU_ID_blank),IF(ISERROR(MATCH(B422,'2. Emissions Units &amp; Activities'!$B$7:$B$193,0)),ws3_matching_error_msg,G422*IF(E422="Y",1,1-F422)*INDEX('2. Emissions Units &amp; Activities'!$G$7:$G$193,MATCH(B422,'2. Emissions Units &amp; Activities'!$B$7:$B$193,0))))</f>
        <v>1.82766E-2</v>
      </c>
      <c r="K422" s="85">
        <f t="shared" si="14"/>
        <v>2.6287818079471082E-7</v>
      </c>
      <c r="L422" s="85">
        <f>IF(B422="",IF(CONCATENATE(C422,D422,E422,F422,G422,H422,I422)="","",ws3_EU_ID_blank),IF(ISERROR(MATCH(B422,'2. Emissions Units &amp; Activities'!$B$7:$B$193,0)),ws3_matching_error_msg,G422*IF(E422="Y",1,1-F422)*INDEX('2. Emissions Units &amp; Activities'!$J$7:$J$193,MATCH(B422,'2. Emissions Units &amp; Activities'!$B$7:$B$193,0))))</f>
        <v>6.0921999999999999E-3</v>
      </c>
      <c r="M422" s="509">
        <f t="shared" si="15"/>
        <v>3.1983511996689811E-5</v>
      </c>
      <c r="N422" s="284"/>
    </row>
    <row r="423" spans="1:14" ht="15.75" x14ac:dyDescent="0.25">
      <c r="A423" s="86"/>
      <c r="B423" s="508" t="s">
        <v>64</v>
      </c>
      <c r="C423" s="339" t="s">
        <v>261</v>
      </c>
      <c r="D423" s="340" t="s">
        <v>262</v>
      </c>
      <c r="E423" s="339" t="s">
        <v>214</v>
      </c>
      <c r="F423" s="341">
        <v>0</v>
      </c>
      <c r="G423" s="339">
        <v>3.0999999999999999E-3</v>
      </c>
      <c r="H423" s="339" t="s">
        <v>231</v>
      </c>
      <c r="I423" s="339" t="s">
        <v>287</v>
      </c>
      <c r="J423" s="85">
        <f>IF(B423="",IF(CONCATENATE(C423,D423,E423,F423,G423,H423,I423)="","",ws3_EU_ID_blank),IF(ISERROR(MATCH(B423,'2. Emissions Units &amp; Activities'!$B$7:$B$193,0)),ws3_matching_error_msg,G423*IF(E423="Y",1,1-F423)*INDEX('2. Emissions Units &amp; Activities'!$G$7:$G$193,MATCH(B423,'2. Emissions Units &amp; Activities'!$B$7:$B$193,0))))</f>
        <v>6.8261999999999993E-3</v>
      </c>
      <c r="K423" s="85">
        <f t="shared" si="14"/>
        <v>9.8183416923325721E-8</v>
      </c>
      <c r="L423" s="85">
        <f>IF(B423="",IF(CONCATENATE(C423,D423,E423,F423,G423,H423,I423)="","",ws3_EU_ID_blank),IF(ISERROR(MATCH(B423,'2. Emissions Units &amp; Activities'!$B$7:$B$193,0)),ws3_matching_error_msg,G423*IF(E423="Y",1,1-F423)*INDEX('2. Emissions Units &amp; Activities'!$J$7:$J$193,MATCH(B423,'2. Emissions Units &amp; Activities'!$B$7:$B$193,0))))</f>
        <v>2.2753999999999999E-3</v>
      </c>
      <c r="M423" s="509">
        <f t="shared" si="15"/>
        <v>1.1945649059004631E-5</v>
      </c>
      <c r="N423" s="284"/>
    </row>
    <row r="424" spans="1:14" ht="15.75" x14ac:dyDescent="0.25">
      <c r="A424" s="86"/>
      <c r="B424" s="508" t="s">
        <v>64</v>
      </c>
      <c r="C424" s="339" t="s">
        <v>263</v>
      </c>
      <c r="D424" s="340" t="s">
        <v>264</v>
      </c>
      <c r="E424" s="339" t="s">
        <v>214</v>
      </c>
      <c r="F424" s="341">
        <v>0</v>
      </c>
      <c r="G424" s="339">
        <v>2E-3</v>
      </c>
      <c r="H424" s="339" t="s">
        <v>231</v>
      </c>
      <c r="I424" s="339" t="s">
        <v>287</v>
      </c>
      <c r="J424" s="85">
        <f>IF(B424="",IF(CONCATENATE(C424,D424,E424,F424,G424,H424,I424)="","",ws3_EU_ID_blank),IF(ISERROR(MATCH(B424,'2. Emissions Units &amp; Activities'!$B$7:$B$193,0)),ws3_matching_error_msg,G424*IF(E424="Y",1,1-F424)*INDEX('2. Emissions Units &amp; Activities'!$G$7:$G$193,MATCH(B424,'2. Emissions Units &amp; Activities'!$B$7:$B$193,0))))</f>
        <v>4.4039999999999999E-3</v>
      </c>
      <c r="K424" s="85">
        <f t="shared" si="14"/>
        <v>6.3344139950532726E-8</v>
      </c>
      <c r="L424" s="85">
        <f>IF(B424="",IF(CONCATENATE(C424,D424,E424,F424,G424,H424,I424)="","",ws3_EU_ID_blank),IF(ISERROR(MATCH(B424,'2. Emissions Units &amp; Activities'!$B$7:$B$193,0)),ws3_matching_error_msg,G424*IF(E424="Y",1,1-F424)*INDEX('2. Emissions Units &amp; Activities'!$J$7:$J$193,MATCH(B424,'2. Emissions Units &amp; Activities'!$B$7:$B$193,0))))</f>
        <v>1.4679999999999999E-3</v>
      </c>
      <c r="M424" s="509">
        <f t="shared" si="15"/>
        <v>7.7068703606481487E-6</v>
      </c>
      <c r="N424" s="284"/>
    </row>
    <row r="425" spans="1:14" ht="15.75" x14ac:dyDescent="0.25">
      <c r="A425" s="86"/>
      <c r="B425" s="508" t="s">
        <v>64</v>
      </c>
      <c r="C425" s="339" t="s">
        <v>244</v>
      </c>
      <c r="D425" s="340" t="s">
        <v>245</v>
      </c>
      <c r="E425" s="339" t="s">
        <v>214</v>
      </c>
      <c r="F425" s="341">
        <v>0</v>
      </c>
      <c r="G425" s="339">
        <v>5.3E-3</v>
      </c>
      <c r="H425" s="339" t="s">
        <v>231</v>
      </c>
      <c r="I425" s="339" t="s">
        <v>287</v>
      </c>
      <c r="J425" s="85">
        <f>IF(B425="",IF(CONCATENATE(C425,D425,E425,F425,G425,H425,I425)="","",ws3_EU_ID_blank),IF(ISERROR(MATCH(B425,'2. Emissions Units &amp; Activities'!$B$7:$B$193,0)),ws3_matching_error_msg,G425*IF(E425="Y",1,1-F425)*INDEX('2. Emissions Units &amp; Activities'!$G$7:$G$193,MATCH(B425,'2. Emissions Units &amp; Activities'!$B$7:$B$193,0))))</f>
        <v>1.16706E-2</v>
      </c>
      <c r="K425" s="85">
        <f t="shared" si="14"/>
        <v>1.6786197086891172E-7</v>
      </c>
      <c r="L425" s="85">
        <f>IF(B425="",IF(CONCATENATE(C425,D425,E425,F425,G425,H425,I425)="","",ws3_EU_ID_blank),IF(ISERROR(MATCH(B425,'2. Emissions Units &amp; Activities'!$B$7:$B$193,0)),ws3_matching_error_msg,G425*IF(E425="Y",1,1-F425)*INDEX('2. Emissions Units &amp; Activities'!$J$7:$J$193,MATCH(B425,'2. Emissions Units &amp; Activities'!$B$7:$B$193,0))))</f>
        <v>3.8901999999999999E-3</v>
      </c>
      <c r="M425" s="509">
        <f t="shared" si="15"/>
        <v>2.0423206455717594E-5</v>
      </c>
      <c r="N425" s="284"/>
    </row>
    <row r="426" spans="1:14" ht="15.75" x14ac:dyDescent="0.25">
      <c r="A426" s="86"/>
      <c r="B426" s="508" t="s">
        <v>64</v>
      </c>
      <c r="C426" s="339">
        <v>365</v>
      </c>
      <c r="D426" s="340" t="s">
        <v>243</v>
      </c>
      <c r="E426" s="339" t="s">
        <v>214</v>
      </c>
      <c r="F426" s="341">
        <v>0</v>
      </c>
      <c r="G426" s="339">
        <v>3.8999999999999998E-3</v>
      </c>
      <c r="H426" s="339" t="s">
        <v>231</v>
      </c>
      <c r="I426" s="339" t="s">
        <v>287</v>
      </c>
      <c r="J426" s="85">
        <f>IF(B426="",IF(CONCATENATE(C426,D426,E426,F426,G426,H426,I426)="","",ws3_EU_ID_blank),IF(ISERROR(MATCH(B426,'2. Emissions Units &amp; Activities'!$B$7:$B$193,0)),ws3_matching_error_msg,G426*IF(E426="Y",1,1-F426)*INDEX('2. Emissions Units &amp; Activities'!$G$7:$G$193,MATCH(B426,'2. Emissions Units &amp; Activities'!$B$7:$B$193,0))))</f>
        <v>8.5877999999999996E-3</v>
      </c>
      <c r="K426" s="85">
        <f t="shared" si="14"/>
        <v>1.2352107290353881E-7</v>
      </c>
      <c r="L426" s="85">
        <f>IF(B426="",IF(CONCATENATE(C426,D426,E426,F426,G426,H426,I426)="","",ws3_EU_ID_blank),IF(ISERROR(MATCH(B426,'2. Emissions Units &amp; Activities'!$B$7:$B$193,0)),ws3_matching_error_msg,G426*IF(E426="Y",1,1-F426)*INDEX('2. Emissions Units &amp; Activities'!$J$7:$J$193,MATCH(B426,'2. Emissions Units &amp; Activities'!$B$7:$B$193,0))))</f>
        <v>2.8625999999999999E-3</v>
      </c>
      <c r="M426" s="509">
        <f t="shared" si="15"/>
        <v>1.5028397203263891E-5</v>
      </c>
      <c r="N426" s="284"/>
    </row>
    <row r="427" spans="1:14" ht="15.75" x14ac:dyDescent="0.25">
      <c r="A427" s="86"/>
      <c r="B427" s="508" t="s">
        <v>64</v>
      </c>
      <c r="C427" s="339">
        <v>401</v>
      </c>
      <c r="D427" s="340" t="s">
        <v>246</v>
      </c>
      <c r="E427" s="339" t="s">
        <v>214</v>
      </c>
      <c r="F427" s="341">
        <v>0</v>
      </c>
      <c r="G427" s="339">
        <v>4.4499999999999998E-2</v>
      </c>
      <c r="H427" s="339" t="s">
        <v>231</v>
      </c>
      <c r="I427" s="339" t="s">
        <v>287</v>
      </c>
      <c r="J427" s="85">
        <f>IF(B427="",IF(CONCATENATE(C427,D427,E427,F427,G427,H427,I427)="","",ws3_EU_ID_blank),IF(ISERROR(MATCH(B427,'2. Emissions Units &amp; Activities'!$B$7:$B$193,0)),ws3_matching_error_msg,G427*IF(E427="Y",1,1-F427)*INDEX('2. Emissions Units &amp; Activities'!$G$7:$G$193,MATCH(B427,'2. Emissions Units &amp; Activities'!$B$7:$B$193,0))))</f>
        <v>9.7988999999999993E-2</v>
      </c>
      <c r="K427" s="85">
        <f t="shared" si="14"/>
        <v>1.409407113899353E-6</v>
      </c>
      <c r="L427" s="85">
        <f>IF(B427="",IF(CONCATENATE(C427,D427,E427,F427,G427,H427,I427)="","",ws3_EU_ID_blank),IF(ISERROR(MATCH(B427,'2. Emissions Units &amp; Activities'!$B$7:$B$193,0)),ws3_matching_error_msg,G427*IF(E427="Y",1,1-F427)*INDEX('2. Emissions Units &amp; Activities'!$J$7:$J$193,MATCH(B427,'2. Emissions Units &amp; Activities'!$B$7:$B$193,0))))</f>
        <v>3.2662999999999998E-2</v>
      </c>
      <c r="M427" s="509">
        <f t="shared" si="15"/>
        <v>1.714778655244213E-4</v>
      </c>
      <c r="N427" s="284"/>
    </row>
    <row r="428" spans="1:14" ht="15.75" x14ac:dyDescent="0.25">
      <c r="A428" s="86"/>
      <c r="B428" s="508" t="s">
        <v>64</v>
      </c>
      <c r="C428" s="339" t="s">
        <v>265</v>
      </c>
      <c r="D428" s="340" t="s">
        <v>266</v>
      </c>
      <c r="E428" s="339" t="s">
        <v>214</v>
      </c>
      <c r="F428" s="341">
        <v>0</v>
      </c>
      <c r="G428" s="339">
        <v>2.2000000000000001E-3</v>
      </c>
      <c r="H428" s="339" t="s">
        <v>231</v>
      </c>
      <c r="I428" s="339" t="s">
        <v>287</v>
      </c>
      <c r="J428" s="85">
        <f>IF(B428="",IF(CONCATENATE(C428,D428,E428,F428,G428,H428,I428)="","",ws3_EU_ID_blank),IF(ISERROR(MATCH(B428,'2. Emissions Units &amp; Activities'!$B$7:$B$193,0)),ws3_matching_error_msg,G428*IF(E428="Y",1,1-F428)*INDEX('2. Emissions Units &amp; Activities'!$G$7:$G$193,MATCH(B428,'2. Emissions Units &amp; Activities'!$B$7:$B$193,0))))</f>
        <v>4.8444000000000004E-3</v>
      </c>
      <c r="K428" s="85">
        <f t="shared" si="14"/>
        <v>6.9678553945586003E-8</v>
      </c>
      <c r="L428" s="85">
        <f>IF(B428="",IF(CONCATENATE(C428,D428,E428,F428,G428,H428,I428)="","",ws3_EU_ID_blank),IF(ISERROR(MATCH(B428,'2. Emissions Units &amp; Activities'!$B$7:$B$193,0)),ws3_matching_error_msg,G428*IF(E428="Y",1,1-F428)*INDEX('2. Emissions Units &amp; Activities'!$J$7:$J$193,MATCH(B428,'2. Emissions Units &amp; Activities'!$B$7:$B$193,0))))</f>
        <v>1.6148E-3</v>
      </c>
      <c r="M428" s="509">
        <f t="shared" si="15"/>
        <v>8.4775573967129637E-6</v>
      </c>
      <c r="N428" s="284"/>
    </row>
    <row r="429" spans="1:14" ht="15.75" x14ac:dyDescent="0.25">
      <c r="A429" s="86"/>
      <c r="B429" s="508" t="s">
        <v>64</v>
      </c>
      <c r="C429" s="339" t="s">
        <v>267</v>
      </c>
      <c r="D429" s="340" t="s">
        <v>268</v>
      </c>
      <c r="E429" s="339" t="s">
        <v>214</v>
      </c>
      <c r="F429" s="341">
        <v>0</v>
      </c>
      <c r="G429" s="339">
        <v>4.4000000000000003E-3</v>
      </c>
      <c r="H429" s="339" t="s">
        <v>231</v>
      </c>
      <c r="I429" s="339" t="s">
        <v>287</v>
      </c>
      <c r="J429" s="85">
        <f>IF(B429="",IF(CONCATENATE(C429,D429,E429,F429,G429,H429,I429)="","",ws3_EU_ID_blank),IF(ISERROR(MATCH(B429,'2. Emissions Units &amp; Activities'!$B$7:$B$193,0)),ws3_matching_error_msg,G429*IF(E429="Y",1,1-F429)*INDEX('2. Emissions Units &amp; Activities'!$G$7:$G$193,MATCH(B429,'2. Emissions Units &amp; Activities'!$B$7:$B$193,0))))</f>
        <v>9.6888000000000009E-3</v>
      </c>
      <c r="K429" s="85">
        <f t="shared" si="14"/>
        <v>1.3935710789117201E-7</v>
      </c>
      <c r="L429" s="85">
        <f>IF(B429="",IF(CONCATENATE(C429,D429,E429,F429,G429,H429,I429)="","",ws3_EU_ID_blank),IF(ISERROR(MATCH(B429,'2. Emissions Units &amp; Activities'!$B$7:$B$193,0)),ws3_matching_error_msg,G429*IF(E429="Y",1,1-F429)*INDEX('2. Emissions Units &amp; Activities'!$J$7:$J$193,MATCH(B429,'2. Emissions Units &amp; Activities'!$B$7:$B$193,0))))</f>
        <v>3.2296E-3</v>
      </c>
      <c r="M429" s="509">
        <f t="shared" si="15"/>
        <v>1.6955114793425927E-5</v>
      </c>
      <c r="N429" s="284"/>
    </row>
    <row r="430" spans="1:14" ht="15.75" x14ac:dyDescent="0.25">
      <c r="A430" s="86"/>
      <c r="B430" s="508" t="s">
        <v>64</v>
      </c>
      <c r="C430" s="339" t="s">
        <v>269</v>
      </c>
      <c r="D430" s="340" t="s">
        <v>270</v>
      </c>
      <c r="E430" s="339" t="s">
        <v>214</v>
      </c>
      <c r="F430" s="341">
        <v>0</v>
      </c>
      <c r="G430" s="339">
        <v>1.6000000000000001E-3</v>
      </c>
      <c r="H430" s="339" t="s">
        <v>231</v>
      </c>
      <c r="I430" s="339" t="s">
        <v>287</v>
      </c>
      <c r="J430" s="85">
        <f>IF(B430="",IF(CONCATENATE(C430,D430,E430,F430,G430,H430,I430)="","",ws3_EU_ID_blank),IF(ISERROR(MATCH(B430,'2. Emissions Units &amp; Activities'!$B$7:$B$193,0)),ws3_matching_error_msg,G430*IF(E430="Y",1,1-F430)*INDEX('2. Emissions Units &amp; Activities'!$G$7:$G$193,MATCH(B430,'2. Emissions Units &amp; Activities'!$B$7:$B$193,0))))</f>
        <v>3.5232000000000002E-3</v>
      </c>
      <c r="K430" s="85">
        <f t="shared" si="14"/>
        <v>5.0675311960426193E-8</v>
      </c>
      <c r="L430" s="85">
        <f>IF(B430="",IF(CONCATENATE(C430,D430,E430,F430,G430,H430,I430)="","",ws3_EU_ID_blank),IF(ISERROR(MATCH(B430,'2. Emissions Units &amp; Activities'!$B$7:$B$193,0)),ws3_matching_error_msg,G430*IF(E430="Y",1,1-F430)*INDEX('2. Emissions Units &amp; Activities'!$J$7:$J$193,MATCH(B430,'2. Emissions Units &amp; Activities'!$B$7:$B$193,0))))</f>
        <v>1.1744000000000001E-3</v>
      </c>
      <c r="M430" s="509">
        <f t="shared" si="15"/>
        <v>6.1654962885185194E-6</v>
      </c>
      <c r="N430" s="284"/>
    </row>
    <row r="431" spans="1:14" ht="15.75" x14ac:dyDescent="0.25">
      <c r="A431" s="86"/>
      <c r="B431" s="508" t="s">
        <v>69</v>
      </c>
      <c r="C431" s="339" t="s">
        <v>233</v>
      </c>
      <c r="D431" s="340" t="s">
        <v>234</v>
      </c>
      <c r="E431" s="339" t="s">
        <v>214</v>
      </c>
      <c r="F431" s="341">
        <v>0</v>
      </c>
      <c r="G431" s="339">
        <v>1.4800000000000001E-2</v>
      </c>
      <c r="H431" s="339" t="s">
        <v>231</v>
      </c>
      <c r="I431" s="339" t="s">
        <v>287</v>
      </c>
      <c r="J431" s="85">
        <f>IF(B431="",IF(CONCATENATE(C431,D431,E431,F431,G431,H431,I431)="","",ws3_EU_ID_blank),IF(ISERROR(MATCH(B431,'2. Emissions Units &amp; Activities'!$B$7:$B$193,0)),ws3_matching_error_msg,G431*IF(E431="Y",1,1-F431)*INDEX('2. Emissions Units &amp; Activities'!$G$7:$G$193,MATCH(B431,'2. Emissions Units &amp; Activities'!$B$7:$B$193,0))))</f>
        <v>2.257296E-2</v>
      </c>
      <c r="K431" s="85">
        <f t="shared" si="14"/>
        <v>3.2467410021293758E-7</v>
      </c>
      <c r="L431" s="85">
        <f>IF(B431="",IF(CONCATENATE(C431,D431,E431,F431,G431,H431,I431)="","",ws3_EU_ID_blank),IF(ISERROR(MATCH(B431,'2. Emissions Units &amp; Activities'!$B$7:$B$193,0)),ws3_matching_error_msg,G431*IF(E431="Y",1,1-F431)*INDEX('2. Emissions Units &amp; Activities'!$J$7:$J$193,MATCH(B431,'2. Emissions Units &amp; Activities'!$B$7:$B$193,0))))</f>
        <v>7.5243200000000001E-3</v>
      </c>
      <c r="M431" s="509">
        <f t="shared" si="15"/>
        <v>3.9502015525907412E-5</v>
      </c>
      <c r="N431" s="284"/>
    </row>
    <row r="432" spans="1:14" ht="15.75" x14ac:dyDescent="0.25">
      <c r="A432" s="86"/>
      <c r="B432" s="508" t="s">
        <v>69</v>
      </c>
      <c r="C432" s="339" t="s">
        <v>247</v>
      </c>
      <c r="D432" s="340" t="s">
        <v>248</v>
      </c>
      <c r="E432" s="339" t="s">
        <v>214</v>
      </c>
      <c r="F432" s="341">
        <v>0</v>
      </c>
      <c r="G432" s="339">
        <v>0.35060000000000002</v>
      </c>
      <c r="H432" s="339" t="s">
        <v>231</v>
      </c>
      <c r="I432" s="339" t="s">
        <v>287</v>
      </c>
      <c r="J432" s="85">
        <f>IF(B432="",IF(CONCATENATE(C432,D432,E432,F432,G432,H432,I432)="","",ws3_EU_ID_blank),IF(ISERROR(MATCH(B432,'2. Emissions Units &amp; Activities'!$B$7:$B$193,0)),ws3_matching_error_msg,G432*IF(E432="Y",1,1-F432)*INDEX('2. Emissions Units &amp; Activities'!$G$7:$G$193,MATCH(B432,'2. Emissions Units &amp; Activities'!$B$7:$B$193,0))))</f>
        <v>0.53473512000000001</v>
      </c>
      <c r="K432" s="85">
        <f t="shared" si="14"/>
        <v>7.6912661847740497E-6</v>
      </c>
      <c r="L432" s="85">
        <f>IF(B432="",IF(CONCATENATE(C432,D432,E432,F432,G432,H432,I432)="","",ws3_EU_ID_blank),IF(ISERROR(MATCH(B432,'2. Emissions Units &amp; Activities'!$B$7:$B$193,0)),ws3_matching_error_msg,G432*IF(E432="Y",1,1-F432)*INDEX('2. Emissions Units &amp; Activities'!$J$7:$J$193,MATCH(B432,'2. Emissions Units &amp; Activities'!$B$7:$B$193,0))))</f>
        <v>0.17824503999999999</v>
      </c>
      <c r="M432" s="509">
        <f t="shared" si="15"/>
        <v>9.3577071914750928E-4</v>
      </c>
      <c r="N432" s="284"/>
    </row>
    <row r="433" spans="1:14" ht="15.75" x14ac:dyDescent="0.25">
      <c r="A433" s="86"/>
      <c r="B433" s="508" t="s">
        <v>69</v>
      </c>
      <c r="C433" s="339" t="s">
        <v>249</v>
      </c>
      <c r="D433" s="340" t="s">
        <v>250</v>
      </c>
      <c r="E433" s="339" t="s">
        <v>214</v>
      </c>
      <c r="F433" s="341">
        <v>0</v>
      </c>
      <c r="G433" s="339">
        <v>0.35060000000000002</v>
      </c>
      <c r="H433" s="339" t="s">
        <v>231</v>
      </c>
      <c r="I433" s="339" t="s">
        <v>287</v>
      </c>
      <c r="J433" s="85">
        <f>IF(B433="",IF(CONCATENATE(C433,D433,E433,F433,G433,H433,I433)="","",ws3_EU_ID_blank),IF(ISERROR(MATCH(B433,'2. Emissions Units &amp; Activities'!$B$7:$B$193,0)),ws3_matching_error_msg,G433*IF(E433="Y",1,1-F433)*INDEX('2. Emissions Units &amp; Activities'!$G$7:$G$193,MATCH(B433,'2. Emissions Units &amp; Activities'!$B$7:$B$193,0))))</f>
        <v>0.53473512000000001</v>
      </c>
      <c r="K433" s="85">
        <f t="shared" si="14"/>
        <v>7.6912661847740497E-6</v>
      </c>
      <c r="L433" s="85">
        <f>IF(B433="",IF(CONCATENATE(C433,D433,E433,F433,G433,H433,I433)="","",ws3_EU_ID_blank),IF(ISERROR(MATCH(B433,'2. Emissions Units &amp; Activities'!$B$7:$B$193,0)),ws3_matching_error_msg,G433*IF(E433="Y",1,1-F433)*INDEX('2. Emissions Units &amp; Activities'!$J$7:$J$193,MATCH(B433,'2. Emissions Units &amp; Activities'!$B$7:$B$193,0))))</f>
        <v>0.17824503999999999</v>
      </c>
      <c r="M433" s="509">
        <f t="shared" si="15"/>
        <v>9.3577071914750928E-4</v>
      </c>
      <c r="N433" s="284"/>
    </row>
    <row r="434" spans="1:14" ht="15.75" x14ac:dyDescent="0.25">
      <c r="A434" s="86"/>
      <c r="B434" s="508" t="s">
        <v>69</v>
      </c>
      <c r="C434" s="339" t="s">
        <v>251</v>
      </c>
      <c r="D434" s="340" t="s">
        <v>252</v>
      </c>
      <c r="E434" s="339" t="s">
        <v>214</v>
      </c>
      <c r="F434" s="341">
        <v>0</v>
      </c>
      <c r="G434" s="339">
        <v>0.8</v>
      </c>
      <c r="H434" s="339" t="s">
        <v>231</v>
      </c>
      <c r="I434" s="339" t="s">
        <v>287</v>
      </c>
      <c r="J434" s="85">
        <f>IF(B434="",IF(CONCATENATE(C434,D434,E434,F434,G434,H434,I434)="","",ws3_EU_ID_blank),IF(ISERROR(MATCH(B434,'2. Emissions Units &amp; Activities'!$B$7:$B$193,0)),ws3_matching_error_msg,G434*IF(E434="Y",1,1-F434)*INDEX('2. Emissions Units &amp; Activities'!$G$7:$G$193,MATCH(B434,'2. Emissions Units &amp; Activities'!$B$7:$B$193,0))))</f>
        <v>1.2201599999999999</v>
      </c>
      <c r="K434" s="85">
        <f t="shared" si="14"/>
        <v>1.754995136286149E-5</v>
      </c>
      <c r="L434" s="85">
        <f>IF(B434="",IF(CONCATENATE(C434,D434,E434,F434,G434,H434,I434)="","",ws3_EU_ID_blank),IF(ISERROR(MATCH(B434,'2. Emissions Units &amp; Activities'!$B$7:$B$193,0)),ws3_matching_error_msg,G434*IF(E434="Y",1,1-F434)*INDEX('2. Emissions Units &amp; Activities'!$J$7:$J$193,MATCH(B434,'2. Emissions Units &amp; Activities'!$B$7:$B$193,0))))</f>
        <v>0.40671999999999997</v>
      </c>
      <c r="M434" s="509">
        <f t="shared" si="15"/>
        <v>2.1352440824814814E-3</v>
      </c>
      <c r="N434" s="284"/>
    </row>
    <row r="435" spans="1:14" ht="15.75" x14ac:dyDescent="0.25">
      <c r="A435" s="86"/>
      <c r="B435" s="508" t="s">
        <v>69</v>
      </c>
      <c r="C435" s="339" t="s">
        <v>218</v>
      </c>
      <c r="D435" s="340" t="s">
        <v>219</v>
      </c>
      <c r="E435" s="339" t="s">
        <v>214</v>
      </c>
      <c r="F435" s="341">
        <v>0</v>
      </c>
      <c r="G435" s="339">
        <v>1.6000000000000001E-3</v>
      </c>
      <c r="H435" s="339" t="s">
        <v>231</v>
      </c>
      <c r="I435" s="339" t="s">
        <v>287</v>
      </c>
      <c r="J435" s="85">
        <f>IF(B435="",IF(CONCATENATE(C435,D435,E435,F435,G435,H435,I435)="","",ws3_EU_ID_blank),IF(ISERROR(MATCH(B435,'2. Emissions Units &amp; Activities'!$B$7:$B$193,0)),ws3_matching_error_msg,G435*IF(E435="Y",1,1-F435)*INDEX('2. Emissions Units &amp; Activities'!$G$7:$G$193,MATCH(B435,'2. Emissions Units &amp; Activities'!$B$7:$B$193,0))))</f>
        <v>2.4403199999999997E-3</v>
      </c>
      <c r="K435" s="85">
        <f t="shared" si="14"/>
        <v>3.5099902725722978E-8</v>
      </c>
      <c r="L435" s="85">
        <f>IF(B435="",IF(CONCATENATE(C435,D435,E435,F435,G435,H435,I435)="","",ws3_EU_ID_blank),IF(ISERROR(MATCH(B435,'2. Emissions Units &amp; Activities'!$B$7:$B$193,0)),ws3_matching_error_msg,G435*IF(E435="Y",1,1-F435)*INDEX('2. Emissions Units &amp; Activities'!$J$7:$J$193,MATCH(B435,'2. Emissions Units &amp; Activities'!$B$7:$B$193,0))))</f>
        <v>8.1344000000000002E-4</v>
      </c>
      <c r="M435" s="509">
        <f t="shared" si="15"/>
        <v>4.2704881649629637E-6</v>
      </c>
      <c r="N435" s="284"/>
    </row>
    <row r="436" spans="1:14" ht="15.75" x14ac:dyDescent="0.25">
      <c r="A436" s="86"/>
      <c r="B436" s="508" t="s">
        <v>69</v>
      </c>
      <c r="C436" s="339" t="s">
        <v>221</v>
      </c>
      <c r="D436" s="340" t="s">
        <v>222</v>
      </c>
      <c r="E436" s="339" t="s">
        <v>214</v>
      </c>
      <c r="F436" s="341">
        <v>0</v>
      </c>
      <c r="G436" s="339">
        <v>4.4000000000000003E-3</v>
      </c>
      <c r="H436" s="339" t="s">
        <v>231</v>
      </c>
      <c r="I436" s="339" t="s">
        <v>287</v>
      </c>
      <c r="J436" s="85">
        <f>IF(B436="",IF(CONCATENATE(C436,D436,E436,F436,G436,H436,I436)="","",ws3_EU_ID_blank),IF(ISERROR(MATCH(B436,'2. Emissions Units &amp; Activities'!$B$7:$B$193,0)),ws3_matching_error_msg,G436*IF(E436="Y",1,1-F436)*INDEX('2. Emissions Units &amp; Activities'!$G$7:$G$193,MATCH(B436,'2. Emissions Units &amp; Activities'!$B$7:$B$193,0))))</f>
        <v>6.7108799999999998E-3</v>
      </c>
      <c r="K436" s="85">
        <f t="shared" si="14"/>
        <v>9.6524732495738202E-8</v>
      </c>
      <c r="L436" s="85">
        <f>IF(B436="",IF(CONCATENATE(C436,D436,E436,F436,G436,H436,I436)="","",ws3_EU_ID_blank),IF(ISERROR(MATCH(B436,'2. Emissions Units &amp; Activities'!$B$7:$B$193,0)),ws3_matching_error_msg,G436*IF(E436="Y",1,1-F436)*INDEX('2. Emissions Units &amp; Activities'!$J$7:$J$193,MATCH(B436,'2. Emissions Units &amp; Activities'!$B$7:$B$193,0))))</f>
        <v>2.2369600000000001E-3</v>
      </c>
      <c r="M436" s="509">
        <f t="shared" si="15"/>
        <v>1.1743842453648149E-5</v>
      </c>
      <c r="N436" s="284"/>
    </row>
    <row r="437" spans="1:14" ht="15.75" x14ac:dyDescent="0.25">
      <c r="A437" s="86"/>
      <c r="B437" s="508" t="s">
        <v>69</v>
      </c>
      <c r="C437" s="339" t="s">
        <v>273</v>
      </c>
      <c r="D437" s="340" t="s">
        <v>274</v>
      </c>
      <c r="E437" s="339" t="s">
        <v>214</v>
      </c>
      <c r="F437" s="341">
        <v>0</v>
      </c>
      <c r="G437" s="339">
        <v>3.5200000000000002E-5</v>
      </c>
      <c r="H437" s="339" t="s">
        <v>231</v>
      </c>
      <c r="I437" s="339" t="s">
        <v>287</v>
      </c>
      <c r="J437" s="85">
        <f>IF(B437="",IF(CONCATENATE(C437,D437,E437,F437,G437,H437,I437)="","",ws3_EU_ID_blank),IF(ISERROR(MATCH(B437,'2. Emissions Units &amp; Activities'!$B$7:$B$193,0)),ws3_matching_error_msg,G437*IF(E437="Y",1,1-F437)*INDEX('2. Emissions Units &amp; Activities'!$G$7:$G$193,MATCH(B437,'2. Emissions Units &amp; Activities'!$B$7:$B$193,0))))</f>
        <v>5.3687039999999999E-5</v>
      </c>
      <c r="K437" s="85">
        <f t="shared" si="14"/>
        <v>7.7219785996590564E-10</v>
      </c>
      <c r="L437" s="85">
        <f>IF(B437="",IF(CONCATENATE(C437,D437,E437,F437,G437,H437,I437)="","",ws3_EU_ID_blank),IF(ISERROR(MATCH(B437,'2. Emissions Units &amp; Activities'!$B$7:$B$193,0)),ws3_matching_error_msg,G437*IF(E437="Y",1,1-F437)*INDEX('2. Emissions Units &amp; Activities'!$J$7:$J$193,MATCH(B437,'2. Emissions Units &amp; Activities'!$B$7:$B$193,0))))</f>
        <v>1.7895680000000001E-5</v>
      </c>
      <c r="M437" s="509">
        <f t="shared" si="15"/>
        <v>9.395073962918519E-8</v>
      </c>
      <c r="N437" s="284"/>
    </row>
    <row r="438" spans="1:14" ht="15.75" x14ac:dyDescent="0.25">
      <c r="A438" s="86"/>
      <c r="B438" s="508" t="s">
        <v>69</v>
      </c>
      <c r="C438" s="339" t="s">
        <v>235</v>
      </c>
      <c r="D438" s="340" t="s">
        <v>236</v>
      </c>
      <c r="E438" s="339" t="s">
        <v>214</v>
      </c>
      <c r="F438" s="341">
        <v>0</v>
      </c>
      <c r="G438" s="339">
        <v>1.5E-3</v>
      </c>
      <c r="H438" s="339" t="s">
        <v>231</v>
      </c>
      <c r="I438" s="339" t="s">
        <v>287</v>
      </c>
      <c r="J438" s="85">
        <f>IF(B438="",IF(CONCATENATE(C438,D438,E438,F438,G438,H438,I438)="","",ws3_EU_ID_blank),IF(ISERROR(MATCH(B438,'2. Emissions Units &amp; Activities'!$B$7:$B$193,0)),ws3_matching_error_msg,G438*IF(E438="Y",1,1-F438)*INDEX('2. Emissions Units &amp; Activities'!$G$7:$G$193,MATCH(B438,'2. Emissions Units &amp; Activities'!$B$7:$B$193,0))))</f>
        <v>2.2878E-3</v>
      </c>
      <c r="K438" s="85">
        <f t="shared" si="14"/>
        <v>3.2906158805365293E-8</v>
      </c>
      <c r="L438" s="85">
        <f>IF(B438="",IF(CONCATENATE(C438,D438,E438,F438,G438,H438,I438)="","",ws3_EU_ID_blank),IF(ISERROR(MATCH(B438,'2. Emissions Units &amp; Activities'!$B$7:$B$193,0)),ws3_matching_error_msg,G438*IF(E438="Y",1,1-F438)*INDEX('2. Emissions Units &amp; Activities'!$J$7:$J$193,MATCH(B438,'2. Emissions Units &amp; Activities'!$B$7:$B$193,0))))</f>
        <v>7.626E-4</v>
      </c>
      <c r="M438" s="509">
        <f t="shared" si="15"/>
        <v>4.0035826546527779E-6</v>
      </c>
      <c r="N438" s="284"/>
    </row>
    <row r="439" spans="1:14" ht="15.75" x14ac:dyDescent="0.25">
      <c r="A439" s="86"/>
      <c r="B439" s="508" t="s">
        <v>69</v>
      </c>
      <c r="C439" s="339" t="s">
        <v>239</v>
      </c>
      <c r="D439" s="340" t="s">
        <v>240</v>
      </c>
      <c r="E439" s="339" t="s">
        <v>214</v>
      </c>
      <c r="F439" s="341">
        <v>0</v>
      </c>
      <c r="G439" s="339">
        <v>1E-4</v>
      </c>
      <c r="H439" s="339" t="s">
        <v>231</v>
      </c>
      <c r="I439" s="339" t="s">
        <v>287</v>
      </c>
      <c r="J439" s="85">
        <f>IF(B439="",IF(CONCATENATE(C439,D439,E439,F439,G439,H439,I439)="","",ws3_EU_ID_blank),IF(ISERROR(MATCH(B439,'2. Emissions Units &amp; Activities'!$B$7:$B$193,0)),ws3_matching_error_msg,G439*IF(E439="Y",1,1-F439)*INDEX('2. Emissions Units &amp; Activities'!$G$7:$G$193,MATCH(B439,'2. Emissions Units &amp; Activities'!$B$7:$B$193,0))))</f>
        <v>1.5251999999999998E-4</v>
      </c>
      <c r="K439" s="85">
        <f t="shared" si="14"/>
        <v>2.1937439203576861E-9</v>
      </c>
      <c r="L439" s="85">
        <f>IF(B439="",IF(CONCATENATE(C439,D439,E439,F439,G439,H439,I439)="","",ws3_EU_ID_blank),IF(ISERROR(MATCH(B439,'2. Emissions Units &amp; Activities'!$B$7:$B$193,0)),ws3_matching_error_msg,G439*IF(E439="Y",1,1-F439)*INDEX('2. Emissions Units &amp; Activities'!$J$7:$J$193,MATCH(B439,'2. Emissions Units &amp; Activities'!$B$7:$B$193,0))))</f>
        <v>5.0840000000000001E-5</v>
      </c>
      <c r="M439" s="509">
        <f t="shared" si="15"/>
        <v>2.6690551031018523E-7</v>
      </c>
      <c r="N439" s="284"/>
    </row>
    <row r="440" spans="1:14" ht="15.75" x14ac:dyDescent="0.25">
      <c r="A440" s="86"/>
      <c r="B440" s="508" t="s">
        <v>69</v>
      </c>
      <c r="C440" s="339" t="s">
        <v>253</v>
      </c>
      <c r="D440" s="340" t="s">
        <v>254</v>
      </c>
      <c r="E440" s="339" t="s">
        <v>214</v>
      </c>
      <c r="F440" s="341">
        <v>0</v>
      </c>
      <c r="G440" s="339">
        <v>4.1000000000000003E-3</v>
      </c>
      <c r="H440" s="339" t="s">
        <v>231</v>
      </c>
      <c r="I440" s="339" t="s">
        <v>287</v>
      </c>
      <c r="J440" s="85">
        <f>IF(B440="",IF(CONCATENATE(C440,D440,E440,F440,G440,H440,I440)="","",ws3_EU_ID_blank),IF(ISERROR(MATCH(B440,'2. Emissions Units &amp; Activities'!$B$7:$B$193,0)),ws3_matching_error_msg,G440*IF(E440="Y",1,1-F440)*INDEX('2. Emissions Units &amp; Activities'!$G$7:$G$193,MATCH(B440,'2. Emissions Units &amp; Activities'!$B$7:$B$193,0))))</f>
        <v>6.2533199999999997E-3</v>
      </c>
      <c r="K440" s="85">
        <f t="shared" si="14"/>
        <v>8.9943500734665147E-8</v>
      </c>
      <c r="L440" s="85">
        <f>IF(B440="",IF(CONCATENATE(C440,D440,E440,F440,G440,H440,I440)="","",ws3_EU_ID_blank),IF(ISERROR(MATCH(B440,'2. Emissions Units &amp; Activities'!$B$7:$B$193,0)),ws3_matching_error_msg,G440*IF(E440="Y",1,1-F440)*INDEX('2. Emissions Units &amp; Activities'!$J$7:$J$193,MATCH(B440,'2. Emissions Units &amp; Activities'!$B$7:$B$193,0))))</f>
        <v>2.0844399999999999E-3</v>
      </c>
      <c r="M440" s="509">
        <f t="shared" si="15"/>
        <v>1.0943125922717593E-5</v>
      </c>
      <c r="N440" s="284"/>
    </row>
    <row r="441" spans="1:14" ht="15.75" x14ac:dyDescent="0.25">
      <c r="A441" s="86"/>
      <c r="B441" s="508" t="s">
        <v>69</v>
      </c>
      <c r="C441" s="339" t="s">
        <v>255</v>
      </c>
      <c r="D441" s="340" t="s">
        <v>256</v>
      </c>
      <c r="E441" s="339" t="s">
        <v>214</v>
      </c>
      <c r="F441" s="341">
        <v>0</v>
      </c>
      <c r="G441" s="339">
        <v>2.0000000000000001E-4</v>
      </c>
      <c r="H441" s="339" t="s">
        <v>231</v>
      </c>
      <c r="I441" s="339" t="s">
        <v>287</v>
      </c>
      <c r="J441" s="85">
        <f>IF(B441="",IF(CONCATENATE(C441,D441,E441,F441,G441,H441,I441)="","",ws3_EU_ID_blank),IF(ISERROR(MATCH(B441,'2. Emissions Units &amp; Activities'!$B$7:$B$193,0)),ws3_matching_error_msg,G441*IF(E441="Y",1,1-F441)*INDEX('2. Emissions Units &amp; Activities'!$G$7:$G$193,MATCH(B441,'2. Emissions Units &amp; Activities'!$B$7:$B$193,0))))</f>
        <v>3.0503999999999997E-4</v>
      </c>
      <c r="K441" s="85">
        <f t="shared" si="14"/>
        <v>4.3874878407153723E-9</v>
      </c>
      <c r="L441" s="85">
        <f>IF(B441="",IF(CONCATENATE(C441,D441,E441,F441,G441,H441,I441)="","",ws3_EU_ID_blank),IF(ISERROR(MATCH(B441,'2. Emissions Units &amp; Activities'!$B$7:$B$193,0)),ws3_matching_error_msg,G441*IF(E441="Y",1,1-F441)*INDEX('2. Emissions Units &amp; Activities'!$J$7:$J$193,MATCH(B441,'2. Emissions Units &amp; Activities'!$B$7:$B$193,0))))</f>
        <v>1.0168E-4</v>
      </c>
      <c r="M441" s="509">
        <f t="shared" si="15"/>
        <v>5.3381102062037046E-7</v>
      </c>
      <c r="N441" s="284"/>
    </row>
    <row r="442" spans="1:14" ht="15.75" x14ac:dyDescent="0.25">
      <c r="A442" s="86"/>
      <c r="B442" s="508" t="s">
        <v>69</v>
      </c>
      <c r="C442" s="339" t="s">
        <v>237</v>
      </c>
      <c r="D442" s="340" t="s">
        <v>238</v>
      </c>
      <c r="E442" s="339" t="s">
        <v>214</v>
      </c>
      <c r="F442" s="341">
        <v>0</v>
      </c>
      <c r="G442" s="339">
        <v>0.35060000000000002</v>
      </c>
      <c r="H442" s="339" t="s">
        <v>231</v>
      </c>
      <c r="I442" s="339" t="s">
        <v>287</v>
      </c>
      <c r="J442" s="85">
        <f>IF(B442="",IF(CONCATENATE(C442,D442,E442,F442,G442,H442,I442)="","",ws3_EU_ID_blank),IF(ISERROR(MATCH(B442,'2. Emissions Units &amp; Activities'!$B$7:$B$193,0)),ws3_matching_error_msg,G442*IF(E442="Y",1,1-F442)*INDEX('2. Emissions Units &amp; Activities'!$G$7:$G$193,MATCH(B442,'2. Emissions Units &amp; Activities'!$B$7:$B$193,0))))</f>
        <v>0.53473512000000001</v>
      </c>
      <c r="K442" s="85">
        <f t="shared" si="14"/>
        <v>7.6912661847740497E-6</v>
      </c>
      <c r="L442" s="85">
        <f>IF(B442="",IF(CONCATENATE(C442,D442,E442,F442,G442,H442,I442)="","",ws3_EU_ID_blank),IF(ISERROR(MATCH(B442,'2. Emissions Units &amp; Activities'!$B$7:$B$193,0)),ws3_matching_error_msg,G442*IF(E442="Y",1,1-F442)*INDEX('2. Emissions Units &amp; Activities'!$J$7:$J$193,MATCH(B442,'2. Emissions Units &amp; Activities'!$B$7:$B$193,0))))</f>
        <v>0.17824503999999999</v>
      </c>
      <c r="M442" s="509">
        <f t="shared" si="15"/>
        <v>9.3577071914750928E-4</v>
      </c>
      <c r="N442" s="284"/>
    </row>
    <row r="443" spans="1:14" ht="15.75" x14ac:dyDescent="0.25">
      <c r="A443" s="86"/>
      <c r="B443" s="508" t="s">
        <v>69</v>
      </c>
      <c r="C443" s="339" t="s">
        <v>257</v>
      </c>
      <c r="D443" s="340" t="s">
        <v>258</v>
      </c>
      <c r="E443" s="339" t="s">
        <v>214</v>
      </c>
      <c r="F443" s="341">
        <v>0</v>
      </c>
      <c r="G443" s="339">
        <v>3.5000000000000001E-3</v>
      </c>
      <c r="H443" s="339" t="s">
        <v>231</v>
      </c>
      <c r="I443" s="339" t="s">
        <v>287</v>
      </c>
      <c r="J443" s="85">
        <f>IF(B443="",IF(CONCATENATE(C443,D443,E443,F443,G443,H443,I443)="","",ws3_EU_ID_blank),IF(ISERROR(MATCH(B443,'2. Emissions Units &amp; Activities'!$B$7:$B$193,0)),ws3_matching_error_msg,G443*IF(E443="Y",1,1-F443)*INDEX('2. Emissions Units &amp; Activities'!$G$7:$G$193,MATCH(B443,'2. Emissions Units &amp; Activities'!$B$7:$B$193,0))))</f>
        <v>5.3381999999999995E-3</v>
      </c>
      <c r="K443" s="85">
        <f t="shared" si="14"/>
        <v>7.6781037212519024E-8</v>
      </c>
      <c r="L443" s="85">
        <f>IF(B443="",IF(CONCATENATE(C443,D443,E443,F443,G443,H443,I443)="","",ws3_EU_ID_blank),IF(ISERROR(MATCH(B443,'2. Emissions Units &amp; Activities'!$B$7:$B$193,0)),ws3_matching_error_msg,G443*IF(E443="Y",1,1-F443)*INDEX('2. Emissions Units &amp; Activities'!$J$7:$J$193,MATCH(B443,'2. Emissions Units &amp; Activities'!$B$7:$B$193,0))))</f>
        <v>1.7794E-3</v>
      </c>
      <c r="M443" s="509">
        <f t="shared" si="15"/>
        <v>9.3416928608564814E-6</v>
      </c>
      <c r="N443" s="284"/>
    </row>
    <row r="444" spans="1:14" ht="15.75" x14ac:dyDescent="0.25">
      <c r="A444" s="86"/>
      <c r="B444" s="508" t="s">
        <v>69</v>
      </c>
      <c r="C444" s="339" t="s">
        <v>259</v>
      </c>
      <c r="D444" s="340" t="s">
        <v>260</v>
      </c>
      <c r="E444" s="339" t="s">
        <v>214</v>
      </c>
      <c r="F444" s="341">
        <v>0</v>
      </c>
      <c r="G444" s="339">
        <v>0.18629999999999999</v>
      </c>
      <c r="H444" s="339" t="s">
        <v>231</v>
      </c>
      <c r="I444" s="339" t="s">
        <v>287</v>
      </c>
      <c r="J444" s="85">
        <f>IF(B444="",IF(CONCATENATE(C444,D444,E444,F444,G444,H444,I444)="","",ws3_EU_ID_blank),IF(ISERROR(MATCH(B444,'2. Emissions Units &amp; Activities'!$B$7:$B$193,0)),ws3_matching_error_msg,G444*IF(E444="Y",1,1-F444)*INDEX('2. Emissions Units &amp; Activities'!$G$7:$G$193,MATCH(B444,'2. Emissions Units &amp; Activities'!$B$7:$B$193,0))))</f>
        <v>0.28414476</v>
      </c>
      <c r="K444" s="85">
        <f t="shared" si="14"/>
        <v>4.0869449236263701E-6</v>
      </c>
      <c r="L444" s="85">
        <f>IF(B444="",IF(CONCATENATE(C444,D444,E444,F444,G444,H444,I444)="","",ws3_EU_ID_blank),IF(ISERROR(MATCH(B444,'2. Emissions Units &amp; Activities'!$B$7:$B$193,0)),ws3_matching_error_msg,G444*IF(E444="Y",1,1-F444)*INDEX('2. Emissions Units &amp; Activities'!$J$7:$J$193,MATCH(B444,'2. Emissions Units &amp; Activities'!$B$7:$B$193,0))))</f>
        <v>9.4714919999999994E-2</v>
      </c>
      <c r="M444" s="509">
        <f t="shared" si="15"/>
        <v>4.9724496570787498E-4</v>
      </c>
      <c r="N444" s="284"/>
    </row>
    <row r="445" spans="1:14" ht="15.75" x14ac:dyDescent="0.25">
      <c r="A445" s="86"/>
      <c r="B445" s="508" t="s">
        <v>69</v>
      </c>
      <c r="C445" s="339" t="s">
        <v>241</v>
      </c>
      <c r="D445" s="340" t="s">
        <v>242</v>
      </c>
      <c r="E445" s="339" t="s">
        <v>214</v>
      </c>
      <c r="F445" s="341">
        <v>0</v>
      </c>
      <c r="G445" s="339">
        <v>8.3000000000000001E-3</v>
      </c>
      <c r="H445" s="339" t="s">
        <v>231</v>
      </c>
      <c r="I445" s="339" t="s">
        <v>287</v>
      </c>
      <c r="J445" s="85">
        <f>IF(B445="",IF(CONCATENATE(C445,D445,E445,F445,G445,H445,I445)="","",ws3_EU_ID_blank),IF(ISERROR(MATCH(B445,'2. Emissions Units &amp; Activities'!$B$7:$B$193,0)),ws3_matching_error_msg,G445*IF(E445="Y",1,1-F445)*INDEX('2. Emissions Units &amp; Activities'!$G$7:$G$193,MATCH(B445,'2. Emissions Units &amp; Activities'!$B$7:$B$193,0))))</f>
        <v>1.2659159999999999E-2</v>
      </c>
      <c r="K445" s="85">
        <f t="shared" si="14"/>
        <v>1.8208074538968797E-7</v>
      </c>
      <c r="L445" s="85">
        <f>IF(B445="",IF(CONCATENATE(C445,D445,E445,F445,G445,H445,I445)="","",ws3_EU_ID_blank),IF(ISERROR(MATCH(B445,'2. Emissions Units &amp; Activities'!$B$7:$B$193,0)),ws3_matching_error_msg,G445*IF(E445="Y",1,1-F445)*INDEX('2. Emissions Units &amp; Activities'!$J$7:$J$193,MATCH(B445,'2. Emissions Units &amp; Activities'!$B$7:$B$193,0))))</f>
        <v>4.2197199999999997E-3</v>
      </c>
      <c r="M445" s="509">
        <f t="shared" si="15"/>
        <v>2.215315735574537E-5</v>
      </c>
      <c r="N445" s="284"/>
    </row>
    <row r="446" spans="1:14" ht="15.75" x14ac:dyDescent="0.25">
      <c r="A446" s="86"/>
      <c r="B446" s="508" t="s">
        <v>69</v>
      </c>
      <c r="C446" s="339" t="s">
        <v>261</v>
      </c>
      <c r="D446" s="340" t="s">
        <v>262</v>
      </c>
      <c r="E446" s="339" t="s">
        <v>214</v>
      </c>
      <c r="F446" s="341">
        <v>0</v>
      </c>
      <c r="G446" s="339">
        <v>3.0999999999999999E-3</v>
      </c>
      <c r="H446" s="339" t="s">
        <v>231</v>
      </c>
      <c r="I446" s="339" t="s">
        <v>287</v>
      </c>
      <c r="J446" s="85">
        <f>IF(B446="",IF(CONCATENATE(C446,D446,E446,F446,G446,H446,I446)="","",ws3_EU_ID_blank),IF(ISERROR(MATCH(B446,'2. Emissions Units &amp; Activities'!$B$7:$B$193,0)),ws3_matching_error_msg,G446*IF(E446="Y",1,1-F446)*INDEX('2. Emissions Units &amp; Activities'!$G$7:$G$193,MATCH(B446,'2. Emissions Units &amp; Activities'!$B$7:$B$193,0))))</f>
        <v>4.7281199999999997E-3</v>
      </c>
      <c r="K446" s="85">
        <f t="shared" si="14"/>
        <v>6.8006061531088271E-8</v>
      </c>
      <c r="L446" s="85">
        <f>IF(B446="",IF(CONCATENATE(C446,D446,E446,F446,G446,H446,I446)="","",ws3_EU_ID_blank),IF(ISERROR(MATCH(B446,'2. Emissions Units &amp; Activities'!$B$7:$B$193,0)),ws3_matching_error_msg,G446*IF(E446="Y",1,1-F446)*INDEX('2. Emissions Units &amp; Activities'!$J$7:$J$193,MATCH(B446,'2. Emissions Units &amp; Activities'!$B$7:$B$193,0))))</f>
        <v>1.5760399999999999E-3</v>
      </c>
      <c r="M446" s="509">
        <f t="shared" si="15"/>
        <v>8.2740708196157398E-6</v>
      </c>
      <c r="N446" s="284"/>
    </row>
    <row r="447" spans="1:14" ht="15.75" x14ac:dyDescent="0.25">
      <c r="A447" s="86"/>
      <c r="B447" s="508" t="s">
        <v>69</v>
      </c>
      <c r="C447" s="339" t="s">
        <v>263</v>
      </c>
      <c r="D447" s="340" t="s">
        <v>264</v>
      </c>
      <c r="E447" s="339" t="s">
        <v>214</v>
      </c>
      <c r="F447" s="341">
        <v>0</v>
      </c>
      <c r="G447" s="339">
        <v>2E-3</v>
      </c>
      <c r="H447" s="339" t="s">
        <v>231</v>
      </c>
      <c r="I447" s="339" t="s">
        <v>287</v>
      </c>
      <c r="J447" s="85">
        <f>IF(B447="",IF(CONCATENATE(C447,D447,E447,F447,G447,H447,I447)="","",ws3_EU_ID_blank),IF(ISERROR(MATCH(B447,'2. Emissions Units &amp; Activities'!$B$7:$B$193,0)),ws3_matching_error_msg,G447*IF(E447="Y",1,1-F447)*INDEX('2. Emissions Units &amp; Activities'!$G$7:$G$193,MATCH(B447,'2. Emissions Units &amp; Activities'!$B$7:$B$193,0))))</f>
        <v>3.0504E-3</v>
      </c>
      <c r="K447" s="85">
        <f t="shared" si="14"/>
        <v>4.3874878407153731E-8</v>
      </c>
      <c r="L447" s="85">
        <f>IF(B447="",IF(CONCATENATE(C447,D447,E447,F447,G447,H447,I447)="","",ws3_EU_ID_blank),IF(ISERROR(MATCH(B447,'2. Emissions Units &amp; Activities'!$B$7:$B$193,0)),ws3_matching_error_msg,G447*IF(E447="Y",1,1-F447)*INDEX('2. Emissions Units &amp; Activities'!$J$7:$J$193,MATCH(B447,'2. Emissions Units &amp; Activities'!$B$7:$B$193,0))))</f>
        <v>1.0168E-3</v>
      </c>
      <c r="M447" s="509">
        <f t="shared" si="15"/>
        <v>5.3381102062037044E-6</v>
      </c>
      <c r="N447" s="284"/>
    </row>
    <row r="448" spans="1:14" ht="15.75" x14ac:dyDescent="0.25">
      <c r="A448" s="86"/>
      <c r="B448" s="508" t="s">
        <v>69</v>
      </c>
      <c r="C448" s="339" t="s">
        <v>244</v>
      </c>
      <c r="D448" s="340" t="s">
        <v>245</v>
      </c>
      <c r="E448" s="339" t="s">
        <v>214</v>
      </c>
      <c r="F448" s="341">
        <v>0</v>
      </c>
      <c r="G448" s="339">
        <v>5.3E-3</v>
      </c>
      <c r="H448" s="339" t="s">
        <v>231</v>
      </c>
      <c r="I448" s="339" t="s">
        <v>287</v>
      </c>
      <c r="J448" s="85">
        <f>IF(B448="",IF(CONCATENATE(C448,D448,E448,F448,G448,H448,I448)="","",ws3_EU_ID_blank),IF(ISERROR(MATCH(B448,'2. Emissions Units &amp; Activities'!$B$7:$B$193,0)),ws3_matching_error_msg,G448*IF(E448="Y",1,1-F448)*INDEX('2. Emissions Units &amp; Activities'!$G$7:$G$193,MATCH(B448,'2. Emissions Units &amp; Activities'!$B$7:$B$193,0))))</f>
        <v>8.0835600000000001E-3</v>
      </c>
      <c r="K448" s="85">
        <f t="shared" si="14"/>
        <v>1.1626842777895739E-7</v>
      </c>
      <c r="L448" s="85">
        <f>IF(B448="",IF(CONCATENATE(C448,D448,E448,F448,G448,H448,I448)="","",ws3_EU_ID_blank),IF(ISERROR(MATCH(B448,'2. Emissions Units &amp; Activities'!$B$7:$B$193,0)),ws3_matching_error_msg,G448*IF(E448="Y",1,1-F448)*INDEX('2. Emissions Units &amp; Activities'!$J$7:$J$193,MATCH(B448,'2. Emissions Units &amp; Activities'!$B$7:$B$193,0))))</f>
        <v>2.6945199999999997E-3</v>
      </c>
      <c r="M448" s="509">
        <f t="shared" si="15"/>
        <v>1.4145992046439816E-5</v>
      </c>
      <c r="N448" s="284"/>
    </row>
    <row r="449" spans="1:14" ht="15.75" x14ac:dyDescent="0.25">
      <c r="A449" s="86"/>
      <c r="B449" s="508" t="s">
        <v>69</v>
      </c>
      <c r="C449" s="339">
        <v>365</v>
      </c>
      <c r="D449" s="340" t="s">
        <v>243</v>
      </c>
      <c r="E449" s="339" t="s">
        <v>214</v>
      </c>
      <c r="F449" s="341">
        <v>0</v>
      </c>
      <c r="G449" s="339">
        <v>3.8999999999999998E-3</v>
      </c>
      <c r="H449" s="339" t="s">
        <v>231</v>
      </c>
      <c r="I449" s="339" t="s">
        <v>287</v>
      </c>
      <c r="J449" s="85">
        <f>IF(B449="",IF(CONCATENATE(C449,D449,E449,F449,G449,H449,I449)="","",ws3_EU_ID_blank),IF(ISERROR(MATCH(B449,'2. Emissions Units &amp; Activities'!$B$7:$B$193,0)),ws3_matching_error_msg,G449*IF(E449="Y",1,1-F449)*INDEX('2. Emissions Units &amp; Activities'!$G$7:$G$193,MATCH(B449,'2. Emissions Units &amp; Activities'!$B$7:$B$193,0))))</f>
        <v>5.9482799999999994E-3</v>
      </c>
      <c r="K449" s="85">
        <f t="shared" ref="K449:K476" si="16">CONVERT(J449,"lbm","g")/8760/3600</f>
        <v>8.5556012893949764E-8</v>
      </c>
      <c r="L449" s="85">
        <f>IF(B449="",IF(CONCATENATE(C449,D449,E449,F449,G449,H449,I449)="","",ws3_EU_ID_blank),IF(ISERROR(MATCH(B449,'2. Emissions Units &amp; Activities'!$B$7:$B$193,0)),ws3_matching_error_msg,G449*IF(E449="Y",1,1-F449)*INDEX('2. Emissions Units &amp; Activities'!$J$7:$J$193,MATCH(B449,'2. Emissions Units &amp; Activities'!$B$7:$B$193,0))))</f>
        <v>1.9827599999999996E-3</v>
      </c>
      <c r="M449" s="509">
        <f t="shared" ref="M449:M476" si="17">CONVERT(L449,"lbm","g")/24/3600</f>
        <v>1.0409314902097221E-5</v>
      </c>
      <c r="N449" s="284"/>
    </row>
    <row r="450" spans="1:14" ht="15.75" x14ac:dyDescent="0.25">
      <c r="A450" s="86"/>
      <c r="B450" s="508" t="s">
        <v>69</v>
      </c>
      <c r="C450" s="339">
        <v>401</v>
      </c>
      <c r="D450" s="340" t="s">
        <v>246</v>
      </c>
      <c r="E450" s="339" t="s">
        <v>214</v>
      </c>
      <c r="F450" s="341">
        <v>0</v>
      </c>
      <c r="G450" s="339">
        <v>4.4499999999999998E-2</v>
      </c>
      <c r="H450" s="339" t="s">
        <v>231</v>
      </c>
      <c r="I450" s="339" t="s">
        <v>287</v>
      </c>
      <c r="J450" s="85">
        <f>IF(B450="",IF(CONCATENATE(C450,D450,E450,F450,G450,H450,I450)="","",ws3_EU_ID_blank),IF(ISERROR(MATCH(B450,'2. Emissions Units &amp; Activities'!$B$7:$B$193,0)),ws3_matching_error_msg,G450*IF(E450="Y",1,1-F450)*INDEX('2. Emissions Units &amp; Activities'!$G$7:$G$193,MATCH(B450,'2. Emissions Units &amp; Activities'!$B$7:$B$193,0))))</f>
        <v>6.7871399999999998E-2</v>
      </c>
      <c r="K450" s="85">
        <f t="shared" si="16"/>
        <v>9.7621604455917053E-7</v>
      </c>
      <c r="L450" s="85">
        <f>IF(B450="",IF(CONCATENATE(C450,D450,E450,F450,G450,H450,I450)="","",ws3_EU_ID_blank),IF(ISERROR(MATCH(B450,'2. Emissions Units &amp; Activities'!$B$7:$B$193,0)),ws3_matching_error_msg,G450*IF(E450="Y",1,1-F450)*INDEX('2. Emissions Units &amp; Activities'!$J$7:$J$193,MATCH(B450,'2. Emissions Units &amp; Activities'!$B$7:$B$193,0))))</f>
        <v>2.2623799999999996E-2</v>
      </c>
      <c r="M450" s="509">
        <f t="shared" si="17"/>
        <v>1.1877295208803239E-4</v>
      </c>
      <c r="N450" s="284"/>
    </row>
    <row r="451" spans="1:14" ht="15.75" x14ac:dyDescent="0.25">
      <c r="A451" s="86"/>
      <c r="B451" s="508" t="s">
        <v>69</v>
      </c>
      <c r="C451" s="339" t="s">
        <v>265</v>
      </c>
      <c r="D451" s="340" t="s">
        <v>266</v>
      </c>
      <c r="E451" s="339" t="s">
        <v>214</v>
      </c>
      <c r="F451" s="341">
        <v>0</v>
      </c>
      <c r="G451" s="339">
        <v>2.2000000000000001E-3</v>
      </c>
      <c r="H451" s="339" t="s">
        <v>231</v>
      </c>
      <c r="I451" s="339" t="s">
        <v>287</v>
      </c>
      <c r="J451" s="85">
        <f>IF(B451="",IF(CONCATENATE(C451,D451,E451,F451,G451,H451,I451)="","",ws3_EU_ID_blank),IF(ISERROR(MATCH(B451,'2. Emissions Units &amp; Activities'!$B$7:$B$193,0)),ws3_matching_error_msg,G451*IF(E451="Y",1,1-F451)*INDEX('2. Emissions Units &amp; Activities'!$G$7:$G$193,MATCH(B451,'2. Emissions Units &amp; Activities'!$B$7:$B$193,0))))</f>
        <v>3.3554399999999999E-3</v>
      </c>
      <c r="K451" s="85">
        <f t="shared" si="16"/>
        <v>4.8262366247869101E-8</v>
      </c>
      <c r="L451" s="85">
        <f>IF(B451="",IF(CONCATENATE(C451,D451,E451,F451,G451,H451,I451)="","",ws3_EU_ID_blank),IF(ISERROR(MATCH(B451,'2. Emissions Units &amp; Activities'!$B$7:$B$193,0)),ws3_matching_error_msg,G451*IF(E451="Y",1,1-F451)*INDEX('2. Emissions Units &amp; Activities'!$J$7:$J$193,MATCH(B451,'2. Emissions Units &amp; Activities'!$B$7:$B$193,0))))</f>
        <v>1.11848E-3</v>
      </c>
      <c r="M451" s="509">
        <f t="shared" si="17"/>
        <v>5.8719212268240743E-6</v>
      </c>
      <c r="N451" s="284"/>
    </row>
    <row r="452" spans="1:14" ht="15.75" x14ac:dyDescent="0.25">
      <c r="A452" s="86"/>
      <c r="B452" s="508" t="s">
        <v>69</v>
      </c>
      <c r="C452" s="339" t="s">
        <v>267</v>
      </c>
      <c r="D452" s="340" t="s">
        <v>268</v>
      </c>
      <c r="E452" s="339" t="s">
        <v>214</v>
      </c>
      <c r="F452" s="341">
        <v>0</v>
      </c>
      <c r="G452" s="339">
        <v>4.4000000000000003E-3</v>
      </c>
      <c r="H452" s="339" t="s">
        <v>231</v>
      </c>
      <c r="I452" s="339" t="s">
        <v>287</v>
      </c>
      <c r="J452" s="85">
        <f>IF(B452="",IF(CONCATENATE(C452,D452,E452,F452,G452,H452,I452)="","",ws3_EU_ID_blank),IF(ISERROR(MATCH(B452,'2. Emissions Units &amp; Activities'!$B$7:$B$193,0)),ws3_matching_error_msg,G452*IF(E452="Y",1,1-F452)*INDEX('2. Emissions Units &amp; Activities'!$G$7:$G$193,MATCH(B452,'2. Emissions Units &amp; Activities'!$B$7:$B$193,0))))</f>
        <v>6.7108799999999998E-3</v>
      </c>
      <c r="K452" s="85">
        <f t="shared" si="16"/>
        <v>9.6524732495738202E-8</v>
      </c>
      <c r="L452" s="85">
        <f>IF(B452="",IF(CONCATENATE(C452,D452,E452,F452,G452,H452,I452)="","",ws3_EU_ID_blank),IF(ISERROR(MATCH(B452,'2. Emissions Units &amp; Activities'!$B$7:$B$193,0)),ws3_matching_error_msg,G452*IF(E452="Y",1,1-F452)*INDEX('2. Emissions Units &amp; Activities'!$J$7:$J$193,MATCH(B452,'2. Emissions Units &amp; Activities'!$B$7:$B$193,0))))</f>
        <v>2.2369600000000001E-3</v>
      </c>
      <c r="M452" s="509">
        <f t="shared" si="17"/>
        <v>1.1743842453648149E-5</v>
      </c>
      <c r="N452" s="284"/>
    </row>
    <row r="453" spans="1:14" ht="15.75" x14ac:dyDescent="0.25">
      <c r="A453" s="86"/>
      <c r="B453" s="508" t="s">
        <v>69</v>
      </c>
      <c r="C453" s="339" t="s">
        <v>269</v>
      </c>
      <c r="D453" s="340" t="s">
        <v>270</v>
      </c>
      <c r="E453" s="339" t="s">
        <v>214</v>
      </c>
      <c r="F453" s="341">
        <v>0</v>
      </c>
      <c r="G453" s="339">
        <v>1.6000000000000001E-3</v>
      </c>
      <c r="H453" s="339" t="s">
        <v>231</v>
      </c>
      <c r="I453" s="339" t="s">
        <v>287</v>
      </c>
      <c r="J453" s="85">
        <f>IF(B453="",IF(CONCATENATE(C453,D453,E453,F453,G453,H453,I453)="","",ws3_EU_ID_blank),IF(ISERROR(MATCH(B453,'2. Emissions Units &amp; Activities'!$B$7:$B$193,0)),ws3_matching_error_msg,G453*IF(E453="Y",1,1-F453)*INDEX('2. Emissions Units &amp; Activities'!$G$7:$G$193,MATCH(B453,'2. Emissions Units &amp; Activities'!$B$7:$B$193,0))))</f>
        <v>2.4403199999999997E-3</v>
      </c>
      <c r="K453" s="85">
        <f t="shared" si="16"/>
        <v>3.5099902725722978E-8</v>
      </c>
      <c r="L453" s="85">
        <f>IF(B453="",IF(CONCATENATE(C453,D453,E453,F453,G453,H453,I453)="","",ws3_EU_ID_blank),IF(ISERROR(MATCH(B453,'2. Emissions Units &amp; Activities'!$B$7:$B$193,0)),ws3_matching_error_msg,G453*IF(E453="Y",1,1-F453)*INDEX('2. Emissions Units &amp; Activities'!$J$7:$J$193,MATCH(B453,'2. Emissions Units &amp; Activities'!$B$7:$B$193,0))))</f>
        <v>8.1344000000000002E-4</v>
      </c>
      <c r="M453" s="509">
        <f t="shared" si="17"/>
        <v>4.2704881649629637E-6</v>
      </c>
      <c r="N453" s="284"/>
    </row>
    <row r="454" spans="1:14" ht="15.75" x14ac:dyDescent="0.25">
      <c r="A454" s="86"/>
      <c r="B454" s="508" t="s">
        <v>71</v>
      </c>
      <c r="C454" s="339" t="s">
        <v>233</v>
      </c>
      <c r="D454" s="340" t="s">
        <v>234</v>
      </c>
      <c r="E454" s="339" t="s">
        <v>214</v>
      </c>
      <c r="F454" s="341">
        <v>0</v>
      </c>
      <c r="G454" s="339">
        <v>1.4800000000000001E-2</v>
      </c>
      <c r="H454" s="339" t="s">
        <v>231</v>
      </c>
      <c r="I454" s="339" t="s">
        <v>287</v>
      </c>
      <c r="J454" s="85">
        <f>IF(B454="",IF(CONCATENATE(C454,D454,E454,F454,G454,H454,I454)="","",ws3_EU_ID_blank),IF(ISERROR(MATCH(B454,'2. Emissions Units &amp; Activities'!$B$7:$B$193,0)),ws3_matching_error_msg,G454*IF(E454="Y",1,1-F454)*INDEX('2. Emissions Units &amp; Activities'!$G$7:$G$193,MATCH(B454,'2. Emissions Units &amp; Activities'!$B$7:$B$193,0))))</f>
        <v>2.257296E-2</v>
      </c>
      <c r="K454" s="85">
        <f t="shared" si="16"/>
        <v>3.2467410021293758E-7</v>
      </c>
      <c r="L454" s="85">
        <f>IF(B454="",IF(CONCATENATE(C454,D454,E454,F454,G454,H454,I454)="","",ws3_EU_ID_blank),IF(ISERROR(MATCH(B454,'2. Emissions Units &amp; Activities'!$B$7:$B$193,0)),ws3_matching_error_msg,G454*IF(E454="Y",1,1-F454)*INDEX('2. Emissions Units &amp; Activities'!$J$7:$J$193,MATCH(B454,'2. Emissions Units &amp; Activities'!$B$7:$B$193,0))))</f>
        <v>7.5243200000000001E-3</v>
      </c>
      <c r="M454" s="509">
        <f t="shared" si="17"/>
        <v>3.9502015525907412E-5</v>
      </c>
      <c r="N454" s="284"/>
    </row>
    <row r="455" spans="1:14" ht="15.75" x14ac:dyDescent="0.25">
      <c r="A455" s="86"/>
      <c r="B455" s="508" t="s">
        <v>71</v>
      </c>
      <c r="C455" s="339" t="s">
        <v>247</v>
      </c>
      <c r="D455" s="340" t="s">
        <v>248</v>
      </c>
      <c r="E455" s="339" t="s">
        <v>214</v>
      </c>
      <c r="F455" s="341">
        <v>0</v>
      </c>
      <c r="G455" s="339">
        <v>0.35060000000000002</v>
      </c>
      <c r="H455" s="339" t="s">
        <v>231</v>
      </c>
      <c r="I455" s="339" t="s">
        <v>287</v>
      </c>
      <c r="J455" s="85">
        <f>IF(B455="",IF(CONCATENATE(C455,D455,E455,F455,G455,H455,I455)="","",ws3_EU_ID_blank),IF(ISERROR(MATCH(B455,'2. Emissions Units &amp; Activities'!$B$7:$B$193,0)),ws3_matching_error_msg,G455*IF(E455="Y",1,1-F455)*INDEX('2. Emissions Units &amp; Activities'!$G$7:$G$193,MATCH(B455,'2. Emissions Units &amp; Activities'!$B$7:$B$193,0))))</f>
        <v>0.53473512000000001</v>
      </c>
      <c r="K455" s="85">
        <f t="shared" si="16"/>
        <v>7.6912661847740497E-6</v>
      </c>
      <c r="L455" s="85">
        <f>IF(B455="",IF(CONCATENATE(C455,D455,E455,F455,G455,H455,I455)="","",ws3_EU_ID_blank),IF(ISERROR(MATCH(B455,'2. Emissions Units &amp; Activities'!$B$7:$B$193,0)),ws3_matching_error_msg,G455*IF(E455="Y",1,1-F455)*INDEX('2. Emissions Units &amp; Activities'!$J$7:$J$193,MATCH(B455,'2. Emissions Units &amp; Activities'!$B$7:$B$193,0))))</f>
        <v>0.17824503999999999</v>
      </c>
      <c r="M455" s="509">
        <f t="shared" si="17"/>
        <v>9.3577071914750928E-4</v>
      </c>
      <c r="N455" s="284"/>
    </row>
    <row r="456" spans="1:14" ht="15.75" x14ac:dyDescent="0.25">
      <c r="A456" s="86"/>
      <c r="B456" s="508" t="s">
        <v>71</v>
      </c>
      <c r="C456" s="339" t="s">
        <v>249</v>
      </c>
      <c r="D456" s="340" t="s">
        <v>250</v>
      </c>
      <c r="E456" s="339" t="s">
        <v>214</v>
      </c>
      <c r="F456" s="341">
        <v>0</v>
      </c>
      <c r="G456" s="339">
        <v>0.35060000000000002</v>
      </c>
      <c r="H456" s="339" t="s">
        <v>231</v>
      </c>
      <c r="I456" s="339" t="s">
        <v>287</v>
      </c>
      <c r="J456" s="85">
        <f>IF(B456="",IF(CONCATENATE(C456,D456,E456,F456,G456,H456,I456)="","",ws3_EU_ID_blank),IF(ISERROR(MATCH(B456,'2. Emissions Units &amp; Activities'!$B$7:$B$193,0)),ws3_matching_error_msg,G456*IF(E456="Y",1,1-F456)*INDEX('2. Emissions Units &amp; Activities'!$G$7:$G$193,MATCH(B456,'2. Emissions Units &amp; Activities'!$B$7:$B$193,0))))</f>
        <v>0.53473512000000001</v>
      </c>
      <c r="K456" s="85">
        <f t="shared" si="16"/>
        <v>7.6912661847740497E-6</v>
      </c>
      <c r="L456" s="85">
        <f>IF(B456="",IF(CONCATENATE(C456,D456,E456,F456,G456,H456,I456)="","",ws3_EU_ID_blank),IF(ISERROR(MATCH(B456,'2. Emissions Units &amp; Activities'!$B$7:$B$193,0)),ws3_matching_error_msg,G456*IF(E456="Y",1,1-F456)*INDEX('2. Emissions Units &amp; Activities'!$J$7:$J$193,MATCH(B456,'2. Emissions Units &amp; Activities'!$B$7:$B$193,0))))</f>
        <v>0.17824503999999999</v>
      </c>
      <c r="M456" s="509">
        <f t="shared" si="17"/>
        <v>9.3577071914750928E-4</v>
      </c>
      <c r="N456" s="284"/>
    </row>
    <row r="457" spans="1:14" ht="15.75" x14ac:dyDescent="0.25">
      <c r="A457" s="86"/>
      <c r="B457" s="508" t="s">
        <v>71</v>
      </c>
      <c r="C457" s="339" t="s">
        <v>251</v>
      </c>
      <c r="D457" s="340" t="s">
        <v>252</v>
      </c>
      <c r="E457" s="339" t="s">
        <v>214</v>
      </c>
      <c r="F457" s="341">
        <v>0</v>
      </c>
      <c r="G457" s="339">
        <v>0.8</v>
      </c>
      <c r="H457" s="339" t="s">
        <v>231</v>
      </c>
      <c r="I457" s="339" t="s">
        <v>287</v>
      </c>
      <c r="J457" s="85">
        <f>IF(B457="",IF(CONCATENATE(C457,D457,E457,F457,G457,H457,I457)="","",ws3_EU_ID_blank),IF(ISERROR(MATCH(B457,'2. Emissions Units &amp; Activities'!$B$7:$B$193,0)),ws3_matching_error_msg,G457*IF(E457="Y",1,1-F457)*INDEX('2. Emissions Units &amp; Activities'!$G$7:$G$193,MATCH(B457,'2. Emissions Units &amp; Activities'!$B$7:$B$193,0))))</f>
        <v>1.2201599999999999</v>
      </c>
      <c r="K457" s="85">
        <f t="shared" si="16"/>
        <v>1.754995136286149E-5</v>
      </c>
      <c r="L457" s="85">
        <f>IF(B457="",IF(CONCATENATE(C457,D457,E457,F457,G457,H457,I457)="","",ws3_EU_ID_blank),IF(ISERROR(MATCH(B457,'2. Emissions Units &amp; Activities'!$B$7:$B$193,0)),ws3_matching_error_msg,G457*IF(E457="Y",1,1-F457)*INDEX('2. Emissions Units &amp; Activities'!$J$7:$J$193,MATCH(B457,'2. Emissions Units &amp; Activities'!$B$7:$B$193,0))))</f>
        <v>0.40671999999999997</v>
      </c>
      <c r="M457" s="509">
        <f t="shared" si="17"/>
        <v>2.1352440824814814E-3</v>
      </c>
      <c r="N457" s="284"/>
    </row>
    <row r="458" spans="1:14" ht="15.75" x14ac:dyDescent="0.25">
      <c r="A458" s="86"/>
      <c r="B458" s="508" t="s">
        <v>71</v>
      </c>
      <c r="C458" s="339" t="s">
        <v>218</v>
      </c>
      <c r="D458" s="340" t="s">
        <v>219</v>
      </c>
      <c r="E458" s="339" t="s">
        <v>214</v>
      </c>
      <c r="F458" s="341">
        <v>0</v>
      </c>
      <c r="G458" s="339">
        <v>1.6000000000000001E-3</v>
      </c>
      <c r="H458" s="339" t="s">
        <v>231</v>
      </c>
      <c r="I458" s="339" t="s">
        <v>287</v>
      </c>
      <c r="J458" s="85">
        <f>IF(B458="",IF(CONCATENATE(C458,D458,E458,F458,G458,H458,I458)="","",ws3_EU_ID_blank),IF(ISERROR(MATCH(B458,'2. Emissions Units &amp; Activities'!$B$7:$B$193,0)),ws3_matching_error_msg,G458*IF(E458="Y",1,1-F458)*INDEX('2. Emissions Units &amp; Activities'!$G$7:$G$193,MATCH(B458,'2. Emissions Units &amp; Activities'!$B$7:$B$193,0))))</f>
        <v>2.4403199999999997E-3</v>
      </c>
      <c r="K458" s="85">
        <f t="shared" si="16"/>
        <v>3.5099902725722978E-8</v>
      </c>
      <c r="L458" s="85">
        <f>IF(B458="",IF(CONCATENATE(C458,D458,E458,F458,G458,H458,I458)="","",ws3_EU_ID_blank),IF(ISERROR(MATCH(B458,'2. Emissions Units &amp; Activities'!$B$7:$B$193,0)),ws3_matching_error_msg,G458*IF(E458="Y",1,1-F458)*INDEX('2. Emissions Units &amp; Activities'!$J$7:$J$193,MATCH(B458,'2. Emissions Units &amp; Activities'!$B$7:$B$193,0))))</f>
        <v>8.1344000000000002E-4</v>
      </c>
      <c r="M458" s="509">
        <f t="shared" si="17"/>
        <v>4.2704881649629637E-6</v>
      </c>
      <c r="N458" s="284"/>
    </row>
    <row r="459" spans="1:14" ht="15.75" x14ac:dyDescent="0.25">
      <c r="A459" s="86"/>
      <c r="B459" s="508" t="s">
        <v>71</v>
      </c>
      <c r="C459" s="339" t="s">
        <v>221</v>
      </c>
      <c r="D459" s="340" t="s">
        <v>222</v>
      </c>
      <c r="E459" s="339" t="s">
        <v>214</v>
      </c>
      <c r="F459" s="341">
        <v>0</v>
      </c>
      <c r="G459" s="339">
        <v>4.4000000000000003E-3</v>
      </c>
      <c r="H459" s="339" t="s">
        <v>231</v>
      </c>
      <c r="I459" s="339" t="s">
        <v>287</v>
      </c>
      <c r="J459" s="85">
        <f>IF(B459="",IF(CONCATENATE(C459,D459,E459,F459,G459,H459,I459)="","",ws3_EU_ID_blank),IF(ISERROR(MATCH(B459,'2. Emissions Units &amp; Activities'!$B$7:$B$193,0)),ws3_matching_error_msg,G459*IF(E459="Y",1,1-F459)*INDEX('2. Emissions Units &amp; Activities'!$G$7:$G$193,MATCH(B459,'2. Emissions Units &amp; Activities'!$B$7:$B$193,0))))</f>
        <v>6.7108799999999998E-3</v>
      </c>
      <c r="K459" s="85">
        <f t="shared" si="16"/>
        <v>9.6524732495738202E-8</v>
      </c>
      <c r="L459" s="85">
        <f>IF(B459="",IF(CONCATENATE(C459,D459,E459,F459,G459,H459,I459)="","",ws3_EU_ID_blank),IF(ISERROR(MATCH(B459,'2. Emissions Units &amp; Activities'!$B$7:$B$193,0)),ws3_matching_error_msg,G459*IF(E459="Y",1,1-F459)*INDEX('2. Emissions Units &amp; Activities'!$J$7:$J$193,MATCH(B459,'2. Emissions Units &amp; Activities'!$B$7:$B$193,0))))</f>
        <v>2.2369600000000001E-3</v>
      </c>
      <c r="M459" s="509">
        <f t="shared" si="17"/>
        <v>1.1743842453648149E-5</v>
      </c>
      <c r="N459" s="284"/>
    </row>
    <row r="460" spans="1:14" ht="15.75" x14ac:dyDescent="0.25">
      <c r="A460" s="86"/>
      <c r="B460" s="508" t="s">
        <v>71</v>
      </c>
      <c r="C460" s="339" t="s">
        <v>273</v>
      </c>
      <c r="D460" s="340" t="s">
        <v>274</v>
      </c>
      <c r="E460" s="339" t="s">
        <v>214</v>
      </c>
      <c r="F460" s="341">
        <v>0</v>
      </c>
      <c r="G460" s="339">
        <v>3.5200000000000002E-5</v>
      </c>
      <c r="H460" s="339" t="s">
        <v>231</v>
      </c>
      <c r="I460" s="339" t="s">
        <v>287</v>
      </c>
      <c r="J460" s="85">
        <f>IF(B460="",IF(CONCATENATE(C460,D460,E460,F460,G460,H460,I460)="","",ws3_EU_ID_blank),IF(ISERROR(MATCH(B460,'2. Emissions Units &amp; Activities'!$B$7:$B$193,0)),ws3_matching_error_msg,G460*IF(E460="Y",1,1-F460)*INDEX('2. Emissions Units &amp; Activities'!$G$7:$G$193,MATCH(B460,'2. Emissions Units &amp; Activities'!$B$7:$B$193,0))))</f>
        <v>5.3687039999999999E-5</v>
      </c>
      <c r="K460" s="85">
        <f t="shared" si="16"/>
        <v>7.7219785996590564E-10</v>
      </c>
      <c r="L460" s="85">
        <f>IF(B460="",IF(CONCATENATE(C460,D460,E460,F460,G460,H460,I460)="","",ws3_EU_ID_blank),IF(ISERROR(MATCH(B460,'2. Emissions Units &amp; Activities'!$B$7:$B$193,0)),ws3_matching_error_msg,G460*IF(E460="Y",1,1-F460)*INDEX('2. Emissions Units &amp; Activities'!$J$7:$J$193,MATCH(B460,'2. Emissions Units &amp; Activities'!$B$7:$B$193,0))))</f>
        <v>1.7895680000000001E-5</v>
      </c>
      <c r="M460" s="509">
        <f t="shared" si="17"/>
        <v>9.395073962918519E-8</v>
      </c>
      <c r="N460" s="284"/>
    </row>
    <row r="461" spans="1:14" ht="15.75" x14ac:dyDescent="0.25">
      <c r="A461" s="86"/>
      <c r="B461" s="508" t="s">
        <v>71</v>
      </c>
      <c r="C461" s="339" t="s">
        <v>235</v>
      </c>
      <c r="D461" s="340" t="s">
        <v>236</v>
      </c>
      <c r="E461" s="339" t="s">
        <v>214</v>
      </c>
      <c r="F461" s="341">
        <v>0</v>
      </c>
      <c r="G461" s="339">
        <v>1.5E-3</v>
      </c>
      <c r="H461" s="339" t="s">
        <v>231</v>
      </c>
      <c r="I461" s="339" t="s">
        <v>287</v>
      </c>
      <c r="J461" s="85">
        <f>IF(B461="",IF(CONCATENATE(C461,D461,E461,F461,G461,H461,I461)="","",ws3_EU_ID_blank),IF(ISERROR(MATCH(B461,'2. Emissions Units &amp; Activities'!$B$7:$B$193,0)),ws3_matching_error_msg,G461*IF(E461="Y",1,1-F461)*INDEX('2. Emissions Units &amp; Activities'!$G$7:$G$193,MATCH(B461,'2. Emissions Units &amp; Activities'!$B$7:$B$193,0))))</f>
        <v>2.2878E-3</v>
      </c>
      <c r="K461" s="85">
        <f t="shared" si="16"/>
        <v>3.2906158805365293E-8</v>
      </c>
      <c r="L461" s="85">
        <f>IF(B461="",IF(CONCATENATE(C461,D461,E461,F461,G461,H461,I461)="","",ws3_EU_ID_blank),IF(ISERROR(MATCH(B461,'2. Emissions Units &amp; Activities'!$B$7:$B$193,0)),ws3_matching_error_msg,G461*IF(E461="Y",1,1-F461)*INDEX('2. Emissions Units &amp; Activities'!$J$7:$J$193,MATCH(B461,'2. Emissions Units &amp; Activities'!$B$7:$B$193,0))))</f>
        <v>7.626E-4</v>
      </c>
      <c r="M461" s="509">
        <f t="shared" si="17"/>
        <v>4.0035826546527779E-6</v>
      </c>
      <c r="N461" s="284"/>
    </row>
    <row r="462" spans="1:14" ht="15.75" x14ac:dyDescent="0.25">
      <c r="A462" s="86"/>
      <c r="B462" s="508" t="s">
        <v>71</v>
      </c>
      <c r="C462" s="339" t="s">
        <v>239</v>
      </c>
      <c r="D462" s="340" t="s">
        <v>240</v>
      </c>
      <c r="E462" s="339" t="s">
        <v>214</v>
      </c>
      <c r="F462" s="341">
        <v>0</v>
      </c>
      <c r="G462" s="339">
        <v>1E-4</v>
      </c>
      <c r="H462" s="339" t="s">
        <v>231</v>
      </c>
      <c r="I462" s="339" t="s">
        <v>287</v>
      </c>
      <c r="J462" s="85">
        <f>IF(B462="",IF(CONCATENATE(C462,D462,E462,F462,G462,H462,I462)="","",ws3_EU_ID_blank),IF(ISERROR(MATCH(B462,'2. Emissions Units &amp; Activities'!$B$7:$B$193,0)),ws3_matching_error_msg,G462*IF(E462="Y",1,1-F462)*INDEX('2. Emissions Units &amp; Activities'!$G$7:$G$193,MATCH(B462,'2. Emissions Units &amp; Activities'!$B$7:$B$193,0))))</f>
        <v>1.5251999999999998E-4</v>
      </c>
      <c r="K462" s="85">
        <f t="shared" si="16"/>
        <v>2.1937439203576861E-9</v>
      </c>
      <c r="L462" s="85">
        <f>IF(B462="",IF(CONCATENATE(C462,D462,E462,F462,G462,H462,I462)="","",ws3_EU_ID_blank),IF(ISERROR(MATCH(B462,'2. Emissions Units &amp; Activities'!$B$7:$B$193,0)),ws3_matching_error_msg,G462*IF(E462="Y",1,1-F462)*INDEX('2. Emissions Units &amp; Activities'!$J$7:$J$193,MATCH(B462,'2. Emissions Units &amp; Activities'!$B$7:$B$193,0))))</f>
        <v>5.0840000000000001E-5</v>
      </c>
      <c r="M462" s="509">
        <f t="shared" si="17"/>
        <v>2.6690551031018523E-7</v>
      </c>
      <c r="N462" s="284"/>
    </row>
    <row r="463" spans="1:14" ht="15.75" x14ac:dyDescent="0.25">
      <c r="A463" s="86"/>
      <c r="B463" s="508" t="s">
        <v>71</v>
      </c>
      <c r="C463" s="339" t="s">
        <v>253</v>
      </c>
      <c r="D463" s="340" t="s">
        <v>254</v>
      </c>
      <c r="E463" s="339" t="s">
        <v>214</v>
      </c>
      <c r="F463" s="341">
        <v>0</v>
      </c>
      <c r="G463" s="339">
        <v>4.1000000000000003E-3</v>
      </c>
      <c r="H463" s="339" t="s">
        <v>231</v>
      </c>
      <c r="I463" s="339" t="s">
        <v>287</v>
      </c>
      <c r="J463" s="85">
        <f>IF(B463="",IF(CONCATENATE(C463,D463,E463,F463,G463,H463,I463)="","",ws3_EU_ID_blank),IF(ISERROR(MATCH(B463,'2. Emissions Units &amp; Activities'!$B$7:$B$193,0)),ws3_matching_error_msg,G463*IF(E463="Y",1,1-F463)*INDEX('2. Emissions Units &amp; Activities'!$G$7:$G$193,MATCH(B463,'2. Emissions Units &amp; Activities'!$B$7:$B$193,0))))</f>
        <v>6.2533199999999997E-3</v>
      </c>
      <c r="K463" s="85">
        <f t="shared" si="16"/>
        <v>8.9943500734665147E-8</v>
      </c>
      <c r="L463" s="85">
        <f>IF(B463="",IF(CONCATENATE(C463,D463,E463,F463,G463,H463,I463)="","",ws3_EU_ID_blank),IF(ISERROR(MATCH(B463,'2. Emissions Units &amp; Activities'!$B$7:$B$193,0)),ws3_matching_error_msg,G463*IF(E463="Y",1,1-F463)*INDEX('2. Emissions Units &amp; Activities'!$J$7:$J$193,MATCH(B463,'2. Emissions Units &amp; Activities'!$B$7:$B$193,0))))</f>
        <v>2.0844399999999999E-3</v>
      </c>
      <c r="M463" s="509">
        <f t="shared" si="17"/>
        <v>1.0943125922717593E-5</v>
      </c>
      <c r="N463" s="284"/>
    </row>
    <row r="464" spans="1:14" ht="15.75" x14ac:dyDescent="0.25">
      <c r="A464" s="86"/>
      <c r="B464" s="508" t="s">
        <v>71</v>
      </c>
      <c r="C464" s="339" t="s">
        <v>255</v>
      </c>
      <c r="D464" s="340" t="s">
        <v>256</v>
      </c>
      <c r="E464" s="339" t="s">
        <v>214</v>
      </c>
      <c r="F464" s="341">
        <v>0</v>
      </c>
      <c r="G464" s="339">
        <v>2.0000000000000001E-4</v>
      </c>
      <c r="H464" s="339" t="s">
        <v>231</v>
      </c>
      <c r="I464" s="339" t="s">
        <v>287</v>
      </c>
      <c r="J464" s="85">
        <f>IF(B464="",IF(CONCATENATE(C464,D464,E464,F464,G464,H464,I464)="","",ws3_EU_ID_blank),IF(ISERROR(MATCH(B464,'2. Emissions Units &amp; Activities'!$B$7:$B$193,0)),ws3_matching_error_msg,G464*IF(E464="Y",1,1-F464)*INDEX('2. Emissions Units &amp; Activities'!$G$7:$G$193,MATCH(B464,'2. Emissions Units &amp; Activities'!$B$7:$B$193,0))))</f>
        <v>3.0503999999999997E-4</v>
      </c>
      <c r="K464" s="85">
        <f t="shared" si="16"/>
        <v>4.3874878407153723E-9</v>
      </c>
      <c r="L464" s="85">
        <f>IF(B464="",IF(CONCATENATE(C464,D464,E464,F464,G464,H464,I464)="","",ws3_EU_ID_blank),IF(ISERROR(MATCH(B464,'2. Emissions Units &amp; Activities'!$B$7:$B$193,0)),ws3_matching_error_msg,G464*IF(E464="Y",1,1-F464)*INDEX('2. Emissions Units &amp; Activities'!$J$7:$J$193,MATCH(B464,'2. Emissions Units &amp; Activities'!$B$7:$B$193,0))))</f>
        <v>1.0168E-4</v>
      </c>
      <c r="M464" s="509">
        <f t="shared" si="17"/>
        <v>5.3381102062037046E-7</v>
      </c>
      <c r="N464" s="284"/>
    </row>
    <row r="465" spans="1:14" ht="15.75" x14ac:dyDescent="0.25">
      <c r="A465" s="86"/>
      <c r="B465" s="508" t="s">
        <v>71</v>
      </c>
      <c r="C465" s="339" t="s">
        <v>237</v>
      </c>
      <c r="D465" s="340" t="s">
        <v>238</v>
      </c>
      <c r="E465" s="339" t="s">
        <v>214</v>
      </c>
      <c r="F465" s="341">
        <v>0</v>
      </c>
      <c r="G465" s="339">
        <v>0.35060000000000002</v>
      </c>
      <c r="H465" s="339" t="s">
        <v>231</v>
      </c>
      <c r="I465" s="339" t="s">
        <v>287</v>
      </c>
      <c r="J465" s="85">
        <f>IF(B465="",IF(CONCATENATE(C465,D465,E465,F465,G465,H465,I465)="","",ws3_EU_ID_blank),IF(ISERROR(MATCH(B465,'2. Emissions Units &amp; Activities'!$B$7:$B$193,0)),ws3_matching_error_msg,G465*IF(E465="Y",1,1-F465)*INDEX('2. Emissions Units &amp; Activities'!$G$7:$G$193,MATCH(B465,'2. Emissions Units &amp; Activities'!$B$7:$B$193,0))))</f>
        <v>0.53473512000000001</v>
      </c>
      <c r="K465" s="85">
        <f t="shared" si="16"/>
        <v>7.6912661847740497E-6</v>
      </c>
      <c r="L465" s="85">
        <f>IF(B465="",IF(CONCATENATE(C465,D465,E465,F465,G465,H465,I465)="","",ws3_EU_ID_blank),IF(ISERROR(MATCH(B465,'2. Emissions Units &amp; Activities'!$B$7:$B$193,0)),ws3_matching_error_msg,G465*IF(E465="Y",1,1-F465)*INDEX('2. Emissions Units &amp; Activities'!$J$7:$J$193,MATCH(B465,'2. Emissions Units &amp; Activities'!$B$7:$B$193,0))))</f>
        <v>0.17824503999999999</v>
      </c>
      <c r="M465" s="509">
        <f t="shared" si="17"/>
        <v>9.3577071914750928E-4</v>
      </c>
      <c r="N465" s="284"/>
    </row>
    <row r="466" spans="1:14" ht="15.75" x14ac:dyDescent="0.25">
      <c r="A466" s="86"/>
      <c r="B466" s="508" t="s">
        <v>71</v>
      </c>
      <c r="C466" s="339" t="s">
        <v>257</v>
      </c>
      <c r="D466" s="340" t="s">
        <v>258</v>
      </c>
      <c r="E466" s="339" t="s">
        <v>214</v>
      </c>
      <c r="F466" s="341">
        <v>0</v>
      </c>
      <c r="G466" s="339">
        <v>3.5000000000000001E-3</v>
      </c>
      <c r="H466" s="339" t="s">
        <v>231</v>
      </c>
      <c r="I466" s="339" t="s">
        <v>287</v>
      </c>
      <c r="J466" s="85">
        <f>IF(B466="",IF(CONCATENATE(C466,D466,E466,F466,G466,H466,I466)="","",ws3_EU_ID_blank),IF(ISERROR(MATCH(B466,'2. Emissions Units &amp; Activities'!$B$7:$B$193,0)),ws3_matching_error_msg,G466*IF(E466="Y",1,1-F466)*INDEX('2. Emissions Units &amp; Activities'!$G$7:$G$193,MATCH(B466,'2. Emissions Units &amp; Activities'!$B$7:$B$193,0))))</f>
        <v>5.3381999999999995E-3</v>
      </c>
      <c r="K466" s="85">
        <f t="shared" si="16"/>
        <v>7.6781037212519024E-8</v>
      </c>
      <c r="L466" s="85">
        <f>IF(B466="",IF(CONCATENATE(C466,D466,E466,F466,G466,H466,I466)="","",ws3_EU_ID_blank),IF(ISERROR(MATCH(B466,'2. Emissions Units &amp; Activities'!$B$7:$B$193,0)),ws3_matching_error_msg,G466*IF(E466="Y",1,1-F466)*INDEX('2. Emissions Units &amp; Activities'!$J$7:$J$193,MATCH(B466,'2. Emissions Units &amp; Activities'!$B$7:$B$193,0))))</f>
        <v>1.7794E-3</v>
      </c>
      <c r="M466" s="509">
        <f t="shared" si="17"/>
        <v>9.3416928608564814E-6</v>
      </c>
      <c r="N466" s="284"/>
    </row>
    <row r="467" spans="1:14" ht="15.75" x14ac:dyDescent="0.25">
      <c r="A467" s="86"/>
      <c r="B467" s="508" t="s">
        <v>71</v>
      </c>
      <c r="C467" s="339" t="s">
        <v>259</v>
      </c>
      <c r="D467" s="340" t="s">
        <v>260</v>
      </c>
      <c r="E467" s="339" t="s">
        <v>214</v>
      </c>
      <c r="F467" s="341">
        <v>0</v>
      </c>
      <c r="G467" s="339">
        <v>0.18629999999999999</v>
      </c>
      <c r="H467" s="339" t="s">
        <v>231</v>
      </c>
      <c r="I467" s="339" t="s">
        <v>287</v>
      </c>
      <c r="J467" s="85">
        <f>IF(B467="",IF(CONCATENATE(C467,D467,E467,F467,G467,H467,I467)="","",ws3_EU_ID_blank),IF(ISERROR(MATCH(B467,'2. Emissions Units &amp; Activities'!$B$7:$B$193,0)),ws3_matching_error_msg,G467*IF(E467="Y",1,1-F467)*INDEX('2. Emissions Units &amp; Activities'!$G$7:$G$193,MATCH(B467,'2. Emissions Units &amp; Activities'!$B$7:$B$193,0))))</f>
        <v>0.28414476</v>
      </c>
      <c r="K467" s="85">
        <f t="shared" si="16"/>
        <v>4.0869449236263701E-6</v>
      </c>
      <c r="L467" s="85">
        <f>IF(B467="",IF(CONCATENATE(C467,D467,E467,F467,G467,H467,I467)="","",ws3_EU_ID_blank),IF(ISERROR(MATCH(B467,'2. Emissions Units &amp; Activities'!$B$7:$B$193,0)),ws3_matching_error_msg,G467*IF(E467="Y",1,1-F467)*INDEX('2. Emissions Units &amp; Activities'!$J$7:$J$193,MATCH(B467,'2. Emissions Units &amp; Activities'!$B$7:$B$193,0))))</f>
        <v>9.4714919999999994E-2</v>
      </c>
      <c r="M467" s="509">
        <f t="shared" si="17"/>
        <v>4.9724496570787498E-4</v>
      </c>
      <c r="N467" s="284"/>
    </row>
    <row r="468" spans="1:14" ht="15.75" x14ac:dyDescent="0.25">
      <c r="A468" s="86"/>
      <c r="B468" s="508" t="s">
        <v>71</v>
      </c>
      <c r="C468" s="339" t="s">
        <v>241</v>
      </c>
      <c r="D468" s="340" t="s">
        <v>242</v>
      </c>
      <c r="E468" s="339" t="s">
        <v>214</v>
      </c>
      <c r="F468" s="341">
        <v>0</v>
      </c>
      <c r="G468" s="339">
        <v>8.3000000000000001E-3</v>
      </c>
      <c r="H468" s="339" t="s">
        <v>231</v>
      </c>
      <c r="I468" s="339" t="s">
        <v>287</v>
      </c>
      <c r="J468" s="85">
        <f>IF(B468="",IF(CONCATENATE(C468,D468,E468,F468,G468,H468,I468)="","",ws3_EU_ID_blank),IF(ISERROR(MATCH(B468,'2. Emissions Units &amp; Activities'!$B$7:$B$193,0)),ws3_matching_error_msg,G468*IF(E468="Y",1,1-F468)*INDEX('2. Emissions Units &amp; Activities'!$G$7:$G$193,MATCH(B468,'2. Emissions Units &amp; Activities'!$B$7:$B$193,0))))</f>
        <v>1.2659159999999999E-2</v>
      </c>
      <c r="K468" s="85">
        <f t="shared" si="16"/>
        <v>1.8208074538968797E-7</v>
      </c>
      <c r="L468" s="85">
        <f>IF(B468="",IF(CONCATENATE(C468,D468,E468,F468,G468,H468,I468)="","",ws3_EU_ID_blank),IF(ISERROR(MATCH(B468,'2. Emissions Units &amp; Activities'!$B$7:$B$193,0)),ws3_matching_error_msg,G468*IF(E468="Y",1,1-F468)*INDEX('2. Emissions Units &amp; Activities'!$J$7:$J$193,MATCH(B468,'2. Emissions Units &amp; Activities'!$B$7:$B$193,0))))</f>
        <v>4.2197199999999997E-3</v>
      </c>
      <c r="M468" s="509">
        <f t="shared" si="17"/>
        <v>2.215315735574537E-5</v>
      </c>
      <c r="N468" s="284"/>
    </row>
    <row r="469" spans="1:14" ht="15.75" x14ac:dyDescent="0.25">
      <c r="A469" s="86"/>
      <c r="B469" s="508" t="s">
        <v>71</v>
      </c>
      <c r="C469" s="339" t="s">
        <v>261</v>
      </c>
      <c r="D469" s="340" t="s">
        <v>262</v>
      </c>
      <c r="E469" s="339" t="s">
        <v>214</v>
      </c>
      <c r="F469" s="341">
        <v>0</v>
      </c>
      <c r="G469" s="339">
        <v>3.0999999999999999E-3</v>
      </c>
      <c r="H469" s="339" t="s">
        <v>231</v>
      </c>
      <c r="I469" s="339" t="s">
        <v>287</v>
      </c>
      <c r="J469" s="85">
        <f>IF(B469="",IF(CONCATENATE(C469,D469,E469,F469,G469,H469,I469)="","",ws3_EU_ID_blank),IF(ISERROR(MATCH(B469,'2. Emissions Units &amp; Activities'!$B$7:$B$193,0)),ws3_matching_error_msg,G469*IF(E469="Y",1,1-F469)*INDEX('2. Emissions Units &amp; Activities'!$G$7:$G$193,MATCH(B469,'2. Emissions Units &amp; Activities'!$B$7:$B$193,0))))</f>
        <v>4.7281199999999997E-3</v>
      </c>
      <c r="K469" s="85">
        <f t="shared" si="16"/>
        <v>6.8006061531088271E-8</v>
      </c>
      <c r="L469" s="85">
        <f>IF(B469="",IF(CONCATENATE(C469,D469,E469,F469,G469,H469,I469)="","",ws3_EU_ID_blank),IF(ISERROR(MATCH(B469,'2. Emissions Units &amp; Activities'!$B$7:$B$193,0)),ws3_matching_error_msg,G469*IF(E469="Y",1,1-F469)*INDEX('2. Emissions Units &amp; Activities'!$J$7:$J$193,MATCH(B469,'2. Emissions Units &amp; Activities'!$B$7:$B$193,0))))</f>
        <v>1.5760399999999999E-3</v>
      </c>
      <c r="M469" s="509">
        <f t="shared" si="17"/>
        <v>8.2740708196157398E-6</v>
      </c>
      <c r="N469" s="284"/>
    </row>
    <row r="470" spans="1:14" ht="15.75" x14ac:dyDescent="0.25">
      <c r="A470" s="86"/>
      <c r="B470" s="508" t="s">
        <v>71</v>
      </c>
      <c r="C470" s="339" t="s">
        <v>263</v>
      </c>
      <c r="D470" s="340" t="s">
        <v>264</v>
      </c>
      <c r="E470" s="339" t="s">
        <v>214</v>
      </c>
      <c r="F470" s="341">
        <v>0</v>
      </c>
      <c r="G470" s="339">
        <v>2E-3</v>
      </c>
      <c r="H470" s="339" t="s">
        <v>231</v>
      </c>
      <c r="I470" s="339" t="s">
        <v>287</v>
      </c>
      <c r="J470" s="85">
        <f>IF(B470="",IF(CONCATENATE(C470,D470,E470,F470,G470,H470,I470)="","",ws3_EU_ID_blank),IF(ISERROR(MATCH(B470,'2. Emissions Units &amp; Activities'!$B$7:$B$193,0)),ws3_matching_error_msg,G470*IF(E470="Y",1,1-F470)*INDEX('2. Emissions Units &amp; Activities'!$G$7:$G$193,MATCH(B470,'2. Emissions Units &amp; Activities'!$B$7:$B$193,0))))</f>
        <v>3.0504E-3</v>
      </c>
      <c r="K470" s="85">
        <f t="shared" si="16"/>
        <v>4.3874878407153731E-8</v>
      </c>
      <c r="L470" s="85">
        <f>IF(B470="",IF(CONCATENATE(C470,D470,E470,F470,G470,H470,I470)="","",ws3_EU_ID_blank),IF(ISERROR(MATCH(B470,'2. Emissions Units &amp; Activities'!$B$7:$B$193,0)),ws3_matching_error_msg,G470*IF(E470="Y",1,1-F470)*INDEX('2. Emissions Units &amp; Activities'!$J$7:$J$193,MATCH(B470,'2. Emissions Units &amp; Activities'!$B$7:$B$193,0))))</f>
        <v>1.0168E-3</v>
      </c>
      <c r="M470" s="509">
        <f t="shared" si="17"/>
        <v>5.3381102062037044E-6</v>
      </c>
      <c r="N470" s="284"/>
    </row>
    <row r="471" spans="1:14" ht="15.75" x14ac:dyDescent="0.25">
      <c r="A471" s="86"/>
      <c r="B471" s="508" t="s">
        <v>71</v>
      </c>
      <c r="C471" s="339" t="s">
        <v>244</v>
      </c>
      <c r="D471" s="340" t="s">
        <v>245</v>
      </c>
      <c r="E471" s="339" t="s">
        <v>214</v>
      </c>
      <c r="F471" s="341">
        <v>0</v>
      </c>
      <c r="G471" s="339">
        <v>5.3E-3</v>
      </c>
      <c r="H471" s="339" t="s">
        <v>231</v>
      </c>
      <c r="I471" s="339" t="s">
        <v>287</v>
      </c>
      <c r="J471" s="85">
        <f>IF(B471="",IF(CONCATENATE(C471,D471,E471,F471,G471,H471,I471)="","",ws3_EU_ID_blank),IF(ISERROR(MATCH(B471,'2. Emissions Units &amp; Activities'!$B$7:$B$193,0)),ws3_matching_error_msg,G471*IF(E471="Y",1,1-F471)*INDEX('2. Emissions Units &amp; Activities'!$G$7:$G$193,MATCH(B471,'2. Emissions Units &amp; Activities'!$B$7:$B$193,0))))</f>
        <v>8.0835600000000001E-3</v>
      </c>
      <c r="K471" s="85">
        <f t="shared" si="16"/>
        <v>1.1626842777895739E-7</v>
      </c>
      <c r="L471" s="85">
        <f>IF(B471="",IF(CONCATENATE(C471,D471,E471,F471,G471,H471,I471)="","",ws3_EU_ID_blank),IF(ISERROR(MATCH(B471,'2. Emissions Units &amp; Activities'!$B$7:$B$193,0)),ws3_matching_error_msg,G471*IF(E471="Y",1,1-F471)*INDEX('2. Emissions Units &amp; Activities'!$J$7:$J$193,MATCH(B471,'2. Emissions Units &amp; Activities'!$B$7:$B$193,0))))</f>
        <v>2.6945199999999997E-3</v>
      </c>
      <c r="M471" s="509">
        <f t="shared" si="17"/>
        <v>1.4145992046439816E-5</v>
      </c>
      <c r="N471" s="284"/>
    </row>
    <row r="472" spans="1:14" ht="15.75" x14ac:dyDescent="0.25">
      <c r="A472" s="86"/>
      <c r="B472" s="508" t="s">
        <v>71</v>
      </c>
      <c r="C472" s="339">
        <v>365</v>
      </c>
      <c r="D472" s="340" t="s">
        <v>243</v>
      </c>
      <c r="E472" s="339" t="s">
        <v>214</v>
      </c>
      <c r="F472" s="341">
        <v>0</v>
      </c>
      <c r="G472" s="339">
        <v>3.8999999999999998E-3</v>
      </c>
      <c r="H472" s="339" t="s">
        <v>231</v>
      </c>
      <c r="I472" s="339" t="s">
        <v>287</v>
      </c>
      <c r="J472" s="85">
        <f>IF(B472="",IF(CONCATENATE(C472,D472,E472,F472,G472,H472,I472)="","",ws3_EU_ID_blank),IF(ISERROR(MATCH(B472,'2. Emissions Units &amp; Activities'!$B$7:$B$193,0)),ws3_matching_error_msg,G472*IF(E472="Y",1,1-F472)*INDEX('2. Emissions Units &amp; Activities'!$G$7:$G$193,MATCH(B472,'2. Emissions Units &amp; Activities'!$B$7:$B$193,0))))</f>
        <v>5.9482799999999994E-3</v>
      </c>
      <c r="K472" s="85">
        <f t="shared" si="16"/>
        <v>8.5556012893949764E-8</v>
      </c>
      <c r="L472" s="85">
        <f>IF(B472="",IF(CONCATENATE(C472,D472,E472,F472,G472,H472,I472)="","",ws3_EU_ID_blank),IF(ISERROR(MATCH(B472,'2. Emissions Units &amp; Activities'!$B$7:$B$193,0)),ws3_matching_error_msg,G472*IF(E472="Y",1,1-F472)*INDEX('2. Emissions Units &amp; Activities'!$J$7:$J$193,MATCH(B472,'2. Emissions Units &amp; Activities'!$B$7:$B$193,0))))</f>
        <v>1.9827599999999996E-3</v>
      </c>
      <c r="M472" s="509">
        <f t="shared" si="17"/>
        <v>1.0409314902097221E-5</v>
      </c>
      <c r="N472" s="284"/>
    </row>
    <row r="473" spans="1:14" ht="15.75" x14ac:dyDescent="0.25">
      <c r="A473" s="86"/>
      <c r="B473" s="508" t="s">
        <v>71</v>
      </c>
      <c r="C473" s="339">
        <v>401</v>
      </c>
      <c r="D473" s="340" t="s">
        <v>246</v>
      </c>
      <c r="E473" s="339" t="s">
        <v>214</v>
      </c>
      <c r="F473" s="341">
        <v>0</v>
      </c>
      <c r="G473" s="339">
        <v>4.4499999999999998E-2</v>
      </c>
      <c r="H473" s="339" t="s">
        <v>231</v>
      </c>
      <c r="I473" s="339" t="s">
        <v>287</v>
      </c>
      <c r="J473" s="85">
        <f>IF(B473="",IF(CONCATENATE(C473,D473,E473,F473,G473,H473,I473)="","",ws3_EU_ID_blank),IF(ISERROR(MATCH(B473,'2. Emissions Units &amp; Activities'!$B$7:$B$193,0)),ws3_matching_error_msg,G473*IF(E473="Y",1,1-F473)*INDEX('2. Emissions Units &amp; Activities'!$G$7:$G$193,MATCH(B473,'2. Emissions Units &amp; Activities'!$B$7:$B$193,0))))</f>
        <v>6.7871399999999998E-2</v>
      </c>
      <c r="K473" s="85">
        <f t="shared" si="16"/>
        <v>9.7621604455917053E-7</v>
      </c>
      <c r="L473" s="85">
        <f>IF(B473="",IF(CONCATENATE(C473,D473,E473,F473,G473,H473,I473)="","",ws3_EU_ID_blank),IF(ISERROR(MATCH(B473,'2. Emissions Units &amp; Activities'!$B$7:$B$193,0)),ws3_matching_error_msg,G473*IF(E473="Y",1,1-F473)*INDEX('2. Emissions Units &amp; Activities'!$J$7:$J$193,MATCH(B473,'2. Emissions Units &amp; Activities'!$B$7:$B$193,0))))</f>
        <v>2.2623799999999996E-2</v>
      </c>
      <c r="M473" s="509">
        <f t="shared" si="17"/>
        <v>1.1877295208803239E-4</v>
      </c>
      <c r="N473" s="284"/>
    </row>
    <row r="474" spans="1:14" ht="15.75" x14ac:dyDescent="0.25">
      <c r="A474" s="86"/>
      <c r="B474" s="508" t="s">
        <v>71</v>
      </c>
      <c r="C474" s="339" t="s">
        <v>265</v>
      </c>
      <c r="D474" s="340" t="s">
        <v>266</v>
      </c>
      <c r="E474" s="339" t="s">
        <v>214</v>
      </c>
      <c r="F474" s="341">
        <v>0</v>
      </c>
      <c r="G474" s="339">
        <v>2.2000000000000001E-3</v>
      </c>
      <c r="H474" s="339" t="s">
        <v>231</v>
      </c>
      <c r="I474" s="339" t="s">
        <v>287</v>
      </c>
      <c r="J474" s="85">
        <f>IF(B474="",IF(CONCATENATE(C474,D474,E474,F474,G474,H474,I474)="","",ws3_EU_ID_blank),IF(ISERROR(MATCH(B474,'2. Emissions Units &amp; Activities'!$B$7:$B$193,0)),ws3_matching_error_msg,G474*IF(E474="Y",1,1-F474)*INDEX('2. Emissions Units &amp; Activities'!$G$7:$G$193,MATCH(B474,'2. Emissions Units &amp; Activities'!$B$7:$B$193,0))))</f>
        <v>3.3554399999999999E-3</v>
      </c>
      <c r="K474" s="85">
        <f t="shared" si="16"/>
        <v>4.8262366247869101E-8</v>
      </c>
      <c r="L474" s="85">
        <f>IF(B474="",IF(CONCATENATE(C474,D474,E474,F474,G474,H474,I474)="","",ws3_EU_ID_blank),IF(ISERROR(MATCH(B474,'2. Emissions Units &amp; Activities'!$B$7:$B$193,0)),ws3_matching_error_msg,G474*IF(E474="Y",1,1-F474)*INDEX('2. Emissions Units &amp; Activities'!$J$7:$J$193,MATCH(B474,'2. Emissions Units &amp; Activities'!$B$7:$B$193,0))))</f>
        <v>1.11848E-3</v>
      </c>
      <c r="M474" s="509">
        <f t="shared" si="17"/>
        <v>5.8719212268240743E-6</v>
      </c>
      <c r="N474" s="284"/>
    </row>
    <row r="475" spans="1:14" ht="15.75" x14ac:dyDescent="0.25">
      <c r="A475" s="86"/>
      <c r="B475" s="508" t="s">
        <v>71</v>
      </c>
      <c r="C475" s="339" t="s">
        <v>267</v>
      </c>
      <c r="D475" s="340" t="s">
        <v>268</v>
      </c>
      <c r="E475" s="339" t="s">
        <v>214</v>
      </c>
      <c r="F475" s="341">
        <v>0</v>
      </c>
      <c r="G475" s="339">
        <v>4.4000000000000003E-3</v>
      </c>
      <c r="H475" s="339" t="s">
        <v>231</v>
      </c>
      <c r="I475" s="339" t="s">
        <v>287</v>
      </c>
      <c r="J475" s="85">
        <f>IF(B475="",IF(CONCATENATE(C475,D475,E475,F475,G475,H475,I475)="","",ws3_EU_ID_blank),IF(ISERROR(MATCH(B475,'2. Emissions Units &amp; Activities'!$B$7:$B$193,0)),ws3_matching_error_msg,G475*IF(E475="Y",1,1-F475)*INDEX('2. Emissions Units &amp; Activities'!$G$7:$G$193,MATCH(B475,'2. Emissions Units &amp; Activities'!$B$7:$B$193,0))))</f>
        <v>6.7108799999999998E-3</v>
      </c>
      <c r="K475" s="85">
        <f t="shared" si="16"/>
        <v>9.6524732495738202E-8</v>
      </c>
      <c r="L475" s="85">
        <f>IF(B475="",IF(CONCATENATE(C475,D475,E475,F475,G475,H475,I475)="","",ws3_EU_ID_blank),IF(ISERROR(MATCH(B475,'2. Emissions Units &amp; Activities'!$B$7:$B$193,0)),ws3_matching_error_msg,G475*IF(E475="Y",1,1-F475)*INDEX('2. Emissions Units &amp; Activities'!$J$7:$J$193,MATCH(B475,'2. Emissions Units &amp; Activities'!$B$7:$B$193,0))))</f>
        <v>2.2369600000000001E-3</v>
      </c>
      <c r="M475" s="509">
        <f t="shared" si="17"/>
        <v>1.1743842453648149E-5</v>
      </c>
      <c r="N475" s="284"/>
    </row>
    <row r="476" spans="1:14" ht="15.75" x14ac:dyDescent="0.25">
      <c r="A476" s="86"/>
      <c r="B476" s="508" t="s">
        <v>71</v>
      </c>
      <c r="C476" s="339" t="s">
        <v>269</v>
      </c>
      <c r="D476" s="340" t="s">
        <v>270</v>
      </c>
      <c r="E476" s="339" t="s">
        <v>214</v>
      </c>
      <c r="F476" s="341">
        <v>0</v>
      </c>
      <c r="G476" s="339">
        <v>1.6000000000000001E-3</v>
      </c>
      <c r="H476" s="339" t="s">
        <v>231</v>
      </c>
      <c r="I476" s="339" t="s">
        <v>287</v>
      </c>
      <c r="J476" s="85">
        <f>IF(B476="",IF(CONCATENATE(C476,D476,E476,F476,G476,H476,I476)="","",ws3_EU_ID_blank),IF(ISERROR(MATCH(B476,'2. Emissions Units &amp; Activities'!$B$7:$B$193,0)),ws3_matching_error_msg,G476*IF(E476="Y",1,1-F476)*INDEX('2. Emissions Units &amp; Activities'!$G$7:$G$193,MATCH(B476,'2. Emissions Units &amp; Activities'!$B$7:$B$193,0))))</f>
        <v>2.4403199999999997E-3</v>
      </c>
      <c r="K476" s="85">
        <f t="shared" si="16"/>
        <v>3.5099902725722978E-8</v>
      </c>
      <c r="L476" s="85">
        <f>IF(B476="",IF(CONCATENATE(C476,D476,E476,F476,G476,H476,I476)="","",ws3_EU_ID_blank),IF(ISERROR(MATCH(B476,'2. Emissions Units &amp; Activities'!$B$7:$B$193,0)),ws3_matching_error_msg,G476*IF(E476="Y",1,1-F476)*INDEX('2. Emissions Units &amp; Activities'!$J$7:$J$193,MATCH(B476,'2. Emissions Units &amp; Activities'!$B$7:$B$193,0))))</f>
        <v>8.1344000000000002E-4</v>
      </c>
      <c r="M476" s="509">
        <f t="shared" si="17"/>
        <v>4.2704881649629637E-6</v>
      </c>
      <c r="N476" s="284"/>
    </row>
    <row r="477" spans="1:14" ht="15.75" x14ac:dyDescent="0.25">
      <c r="A477" s="86"/>
      <c r="B477" s="508" t="s">
        <v>65</v>
      </c>
      <c r="C477" s="339" t="s">
        <v>233</v>
      </c>
      <c r="D477" s="340" t="s">
        <v>234</v>
      </c>
      <c r="E477" s="339" t="s">
        <v>214</v>
      </c>
      <c r="F477" s="341">
        <v>0</v>
      </c>
      <c r="G477" s="339">
        <v>1.4800000000000001E-2</v>
      </c>
      <c r="H477" s="339" t="s">
        <v>231</v>
      </c>
      <c r="I477" s="339" t="s">
        <v>287</v>
      </c>
      <c r="J477" s="85">
        <f>IF(B477="",IF(CONCATENATE(C477,D477,E477,F477,G477,H477,I477)="","",ws3_EU_ID_blank),IF(ISERROR(MATCH(B477,'2. Emissions Units &amp; Activities'!$B$7:$B$193,0)),ws3_matching_error_msg,G477*IF(E477="Y",1,1-F477)*INDEX('2. Emissions Units &amp; Activities'!$G$7:$G$193,MATCH(B477,'2. Emissions Units &amp; Activities'!$B$7:$B$193,0))))</f>
        <v>7.5931104000000013E-2</v>
      </c>
      <c r="K477" s="85">
        <f t="shared" ref="K477:K522" si="18">CONVERT(J477,"lbm","g")/8760/3600</f>
        <v>1.0921413438634097E-6</v>
      </c>
      <c r="L477" s="85">
        <f>IF(B477="",IF(CONCATENATE(C477,D477,E477,F477,G477,H477,I477)="","",ws3_EU_ID_blank),IF(ISERROR(MATCH(B477,'2. Emissions Units &amp; Activities'!$B$7:$B$193,0)),ws3_matching_error_msg,G477*IF(E477="Y",1,1-F477)*INDEX('2. Emissions Units &amp; Activities'!$J$7:$J$193,MATCH(B477,'2. Emissions Units &amp; Activities'!$B$7:$B$193,0))))</f>
        <v>2.5310368000000003E-2</v>
      </c>
      <c r="M477" s="509">
        <f t="shared" ref="M477:M522" si="19">CONVERT(L477,"lbm","g")/24/3600</f>
        <v>1.3287719683671484E-4</v>
      </c>
      <c r="N477" s="284"/>
    </row>
    <row r="478" spans="1:14" ht="15.75" x14ac:dyDescent="0.25">
      <c r="A478" s="86"/>
      <c r="B478" s="508" t="s">
        <v>65</v>
      </c>
      <c r="C478" s="339" t="s">
        <v>247</v>
      </c>
      <c r="D478" s="340" t="s">
        <v>248</v>
      </c>
      <c r="E478" s="339" t="s">
        <v>214</v>
      </c>
      <c r="F478" s="341">
        <v>0</v>
      </c>
      <c r="G478" s="339">
        <v>0.35060000000000002</v>
      </c>
      <c r="H478" s="339" t="s">
        <v>231</v>
      </c>
      <c r="I478" s="339" t="s">
        <v>287</v>
      </c>
      <c r="J478" s="85">
        <f>IF(B478="",IF(CONCATENATE(C478,D478,E478,F478,G478,H478,I478)="","",ws3_EU_ID_blank),IF(ISERROR(MATCH(B478,'2. Emissions Units &amp; Activities'!$B$7:$B$193,0)),ws3_matching_error_msg,G478*IF(E478="Y",1,1-F478)*INDEX('2. Emissions Units &amp; Activities'!$G$7:$G$193,MATCH(B478,'2. Emissions Units &amp; Activities'!$B$7:$B$193,0))))</f>
        <v>1.7987462880000002</v>
      </c>
      <c r="K478" s="85">
        <f t="shared" si="18"/>
        <v>2.5871942916115637E-5</v>
      </c>
      <c r="L478" s="85">
        <f>IF(B478="",IF(CONCATENATE(C478,D478,E478,F478,G478,H478,I478)="","",ws3_EU_ID_blank),IF(ISERROR(MATCH(B478,'2. Emissions Units &amp; Activities'!$B$7:$B$193,0)),ws3_matching_error_msg,G478*IF(E478="Y",1,1-F478)*INDEX('2. Emissions Units &amp; Activities'!$J$7:$J$193,MATCH(B478,'2. Emissions Units &amp; Activities'!$B$7:$B$193,0))))</f>
        <v>0.59958209600000012</v>
      </c>
      <c r="M478" s="509">
        <f t="shared" si="19"/>
        <v>3.1477530547940687E-3</v>
      </c>
      <c r="N478" s="284"/>
    </row>
    <row r="479" spans="1:14" ht="15.75" x14ac:dyDescent="0.25">
      <c r="A479" s="86"/>
      <c r="B479" s="508" t="s">
        <v>65</v>
      </c>
      <c r="C479" s="339" t="s">
        <v>249</v>
      </c>
      <c r="D479" s="340" t="s">
        <v>250</v>
      </c>
      <c r="E479" s="339" t="s">
        <v>214</v>
      </c>
      <c r="F479" s="341">
        <v>0</v>
      </c>
      <c r="G479" s="339">
        <v>0.35060000000000002</v>
      </c>
      <c r="H479" s="339" t="s">
        <v>231</v>
      </c>
      <c r="I479" s="339" t="s">
        <v>287</v>
      </c>
      <c r="J479" s="85">
        <f>IF(B479="",IF(CONCATENATE(C479,D479,E479,F479,G479,H479,I479)="","",ws3_EU_ID_blank),IF(ISERROR(MATCH(B479,'2. Emissions Units &amp; Activities'!$B$7:$B$193,0)),ws3_matching_error_msg,G479*IF(E479="Y",1,1-F479)*INDEX('2. Emissions Units &amp; Activities'!$G$7:$G$193,MATCH(B479,'2. Emissions Units &amp; Activities'!$B$7:$B$193,0))))</f>
        <v>1.7987462880000002</v>
      </c>
      <c r="K479" s="85">
        <f t="shared" si="18"/>
        <v>2.5871942916115637E-5</v>
      </c>
      <c r="L479" s="85">
        <f>IF(B479="",IF(CONCATENATE(C479,D479,E479,F479,G479,H479,I479)="","",ws3_EU_ID_blank),IF(ISERROR(MATCH(B479,'2. Emissions Units &amp; Activities'!$B$7:$B$193,0)),ws3_matching_error_msg,G479*IF(E479="Y",1,1-F479)*INDEX('2. Emissions Units &amp; Activities'!$J$7:$J$193,MATCH(B479,'2. Emissions Units &amp; Activities'!$B$7:$B$193,0))))</f>
        <v>0.59958209600000012</v>
      </c>
      <c r="M479" s="509">
        <f t="shared" si="19"/>
        <v>3.1477530547940687E-3</v>
      </c>
      <c r="N479" s="284"/>
    </row>
    <row r="480" spans="1:14" ht="15.75" x14ac:dyDescent="0.25">
      <c r="A480" s="86"/>
      <c r="B480" s="508" t="s">
        <v>65</v>
      </c>
      <c r="C480" s="339" t="s">
        <v>251</v>
      </c>
      <c r="D480" s="340" t="s">
        <v>252</v>
      </c>
      <c r="E480" s="339" t="s">
        <v>214</v>
      </c>
      <c r="F480" s="341">
        <v>0</v>
      </c>
      <c r="G480" s="339">
        <v>0.8</v>
      </c>
      <c r="H480" s="339" t="s">
        <v>231</v>
      </c>
      <c r="I480" s="339" t="s">
        <v>287</v>
      </c>
      <c r="J480" s="85">
        <f>IF(B480="",IF(CONCATENATE(C480,D480,E480,F480,G480,H480,I480)="","",ws3_EU_ID_blank),IF(ISERROR(MATCH(B480,'2. Emissions Units &amp; Activities'!$B$7:$B$193,0)),ws3_matching_error_msg,G480*IF(E480="Y",1,1-F480)*INDEX('2. Emissions Units &amp; Activities'!$G$7:$G$193,MATCH(B480,'2. Emissions Units &amp; Activities'!$B$7:$B$193,0))))</f>
        <v>4.1043840000000005</v>
      </c>
      <c r="K480" s="85">
        <f t="shared" si="18"/>
        <v>5.9034667235859972E-5</v>
      </c>
      <c r="L480" s="85">
        <f>IF(B480="",IF(CONCATENATE(C480,D480,E480,F480,G480,H480,I480)="","",ws3_EU_ID_blank),IF(ISERROR(MATCH(B480,'2. Emissions Units &amp; Activities'!$B$7:$B$193,0)),ws3_matching_error_msg,G480*IF(E480="Y",1,1-F480)*INDEX('2. Emissions Units &amp; Activities'!$J$7:$J$193,MATCH(B480,'2. Emissions Units &amp; Activities'!$B$7:$B$193,0))))</f>
        <v>1.3681280000000002</v>
      </c>
      <c r="M480" s="509">
        <f t="shared" si="19"/>
        <v>7.1825511803629638E-3</v>
      </c>
      <c r="N480" s="284"/>
    </row>
    <row r="481" spans="1:14" ht="15.75" x14ac:dyDescent="0.25">
      <c r="A481" s="86"/>
      <c r="B481" s="508" t="s">
        <v>65</v>
      </c>
      <c r="C481" s="339" t="s">
        <v>218</v>
      </c>
      <c r="D481" s="340" t="s">
        <v>219</v>
      </c>
      <c r="E481" s="339" t="s">
        <v>214</v>
      </c>
      <c r="F481" s="341">
        <v>0</v>
      </c>
      <c r="G481" s="339">
        <v>1.6000000000000001E-3</v>
      </c>
      <c r="H481" s="339" t="s">
        <v>231</v>
      </c>
      <c r="I481" s="339" t="s">
        <v>287</v>
      </c>
      <c r="J481" s="85">
        <f>IF(B481="",IF(CONCATENATE(C481,D481,E481,F481,G481,H481,I481)="","",ws3_EU_ID_blank),IF(ISERROR(MATCH(B481,'2. Emissions Units &amp; Activities'!$B$7:$B$193,0)),ws3_matching_error_msg,G481*IF(E481="Y",1,1-F481)*INDEX('2. Emissions Units &amp; Activities'!$G$7:$G$193,MATCH(B481,'2. Emissions Units &amp; Activities'!$B$7:$B$193,0))))</f>
        <v>8.2087680000000017E-3</v>
      </c>
      <c r="K481" s="85">
        <f t="shared" si="18"/>
        <v>1.1806933447171996E-7</v>
      </c>
      <c r="L481" s="85">
        <f>IF(B481="",IF(CONCATENATE(C481,D481,E481,F481,G481,H481,I481)="","",ws3_EU_ID_blank),IF(ISERROR(MATCH(B481,'2. Emissions Units &amp; Activities'!$B$7:$B$193,0)),ws3_matching_error_msg,G481*IF(E481="Y",1,1-F481)*INDEX('2. Emissions Units &amp; Activities'!$J$7:$J$193,MATCH(B481,'2. Emissions Units &amp; Activities'!$B$7:$B$193,0))))</f>
        <v>2.7362560000000003E-3</v>
      </c>
      <c r="M481" s="509">
        <f t="shared" si="19"/>
        <v>1.4365102360725926E-5</v>
      </c>
      <c r="N481" s="284"/>
    </row>
    <row r="482" spans="1:14" ht="15.75" x14ac:dyDescent="0.25">
      <c r="A482" s="86"/>
      <c r="B482" s="508" t="s">
        <v>65</v>
      </c>
      <c r="C482" s="339" t="s">
        <v>221</v>
      </c>
      <c r="D482" s="340" t="s">
        <v>222</v>
      </c>
      <c r="E482" s="339" t="s">
        <v>214</v>
      </c>
      <c r="F482" s="341">
        <v>0</v>
      </c>
      <c r="G482" s="339">
        <v>4.4000000000000003E-3</v>
      </c>
      <c r="H482" s="339" t="s">
        <v>231</v>
      </c>
      <c r="I482" s="339" t="s">
        <v>287</v>
      </c>
      <c r="J482" s="85">
        <f>IF(B482="",IF(CONCATENATE(C482,D482,E482,F482,G482,H482,I482)="","",ws3_EU_ID_blank),IF(ISERROR(MATCH(B482,'2. Emissions Units &amp; Activities'!$B$7:$B$193,0)),ws3_matching_error_msg,G482*IF(E482="Y",1,1-F482)*INDEX('2. Emissions Units &amp; Activities'!$G$7:$G$193,MATCH(B482,'2. Emissions Units &amp; Activities'!$B$7:$B$193,0))))</f>
        <v>2.2574112000000004E-2</v>
      </c>
      <c r="K482" s="85">
        <f t="shared" si="18"/>
        <v>3.2469066979722992E-7</v>
      </c>
      <c r="L482" s="85">
        <f>IF(B482="",IF(CONCATENATE(C482,D482,E482,F482,G482,H482,I482)="","",ws3_EU_ID_blank),IF(ISERROR(MATCH(B482,'2. Emissions Units &amp; Activities'!$B$7:$B$193,0)),ws3_matching_error_msg,G482*IF(E482="Y",1,1-F482)*INDEX('2. Emissions Units &amp; Activities'!$J$7:$J$193,MATCH(B482,'2. Emissions Units &amp; Activities'!$B$7:$B$193,0))))</f>
        <v>7.524704000000001E-3</v>
      </c>
      <c r="M482" s="509">
        <f t="shared" si="19"/>
        <v>3.9504031491996307E-5</v>
      </c>
      <c r="N482" s="284"/>
    </row>
    <row r="483" spans="1:14" ht="15.75" x14ac:dyDescent="0.25">
      <c r="A483" s="86"/>
      <c r="B483" s="508" t="s">
        <v>65</v>
      </c>
      <c r="C483" s="339" t="s">
        <v>273</v>
      </c>
      <c r="D483" s="340" t="s">
        <v>274</v>
      </c>
      <c r="E483" s="339" t="s">
        <v>214</v>
      </c>
      <c r="F483" s="341">
        <v>0</v>
      </c>
      <c r="G483" s="339">
        <v>3.5200000000000002E-5</v>
      </c>
      <c r="H483" s="339" t="s">
        <v>231</v>
      </c>
      <c r="I483" s="339" t="s">
        <v>287</v>
      </c>
      <c r="J483" s="85">
        <f>IF(B483="",IF(CONCATENATE(C483,D483,E483,F483,G483,H483,I483)="","",ws3_EU_ID_blank),IF(ISERROR(MATCH(B483,'2. Emissions Units &amp; Activities'!$B$7:$B$193,0)),ws3_matching_error_msg,G483*IF(E483="Y",1,1-F483)*INDEX('2. Emissions Units &amp; Activities'!$G$7:$G$193,MATCH(B483,'2. Emissions Units &amp; Activities'!$B$7:$B$193,0))))</f>
        <v>1.8059289600000003E-4</v>
      </c>
      <c r="K483" s="85">
        <f t="shared" si="18"/>
        <v>2.5975253583778395E-9</v>
      </c>
      <c r="L483" s="85">
        <f>IF(B483="",IF(CONCATENATE(C483,D483,E483,F483,G483,H483,I483)="","",ws3_EU_ID_blank),IF(ISERROR(MATCH(B483,'2. Emissions Units &amp; Activities'!$B$7:$B$193,0)),ws3_matching_error_msg,G483*IF(E483="Y",1,1-F483)*INDEX('2. Emissions Units &amp; Activities'!$J$7:$J$193,MATCH(B483,'2. Emissions Units &amp; Activities'!$B$7:$B$193,0))))</f>
        <v>6.0197632000000009E-5</v>
      </c>
      <c r="M483" s="509">
        <f t="shared" si="19"/>
        <v>3.1603225193597042E-7</v>
      </c>
      <c r="N483" s="284"/>
    </row>
    <row r="484" spans="1:14" ht="15.75" x14ac:dyDescent="0.25">
      <c r="A484" s="86"/>
      <c r="B484" s="508" t="s">
        <v>65</v>
      </c>
      <c r="C484" s="339" t="s">
        <v>235</v>
      </c>
      <c r="D484" s="340" t="s">
        <v>236</v>
      </c>
      <c r="E484" s="339" t="s">
        <v>214</v>
      </c>
      <c r="F484" s="341">
        <v>0</v>
      </c>
      <c r="G484" s="339">
        <v>1.5E-3</v>
      </c>
      <c r="H484" s="339" t="s">
        <v>231</v>
      </c>
      <c r="I484" s="339" t="s">
        <v>287</v>
      </c>
      <c r="J484" s="85">
        <f>IF(B484="",IF(CONCATENATE(C484,D484,E484,F484,G484,H484,I484)="","",ws3_EU_ID_blank),IF(ISERROR(MATCH(B484,'2. Emissions Units &amp; Activities'!$B$7:$B$193,0)),ws3_matching_error_msg,G484*IF(E484="Y",1,1-F484)*INDEX('2. Emissions Units &amp; Activities'!$G$7:$G$193,MATCH(B484,'2. Emissions Units &amp; Activities'!$B$7:$B$193,0))))</f>
        <v>7.6957200000000005E-3</v>
      </c>
      <c r="K484" s="85">
        <f t="shared" si="18"/>
        <v>1.1069000106723745E-7</v>
      </c>
      <c r="L484" s="85">
        <f>IF(B484="",IF(CONCATENATE(C484,D484,E484,F484,G484,H484,I484)="","",ws3_EU_ID_blank),IF(ISERROR(MATCH(B484,'2. Emissions Units &amp; Activities'!$B$7:$B$193,0)),ws3_matching_error_msg,G484*IF(E484="Y",1,1-F484)*INDEX('2. Emissions Units &amp; Activities'!$J$7:$J$193,MATCH(B484,'2. Emissions Units &amp; Activities'!$B$7:$B$193,0))))</f>
        <v>2.5652400000000003E-3</v>
      </c>
      <c r="M484" s="509">
        <f t="shared" si="19"/>
        <v>1.3467283463180557E-5</v>
      </c>
      <c r="N484" s="284"/>
    </row>
    <row r="485" spans="1:14" ht="15.75" x14ac:dyDescent="0.25">
      <c r="A485" s="86"/>
      <c r="B485" s="508" t="s">
        <v>65</v>
      </c>
      <c r="C485" s="339" t="s">
        <v>239</v>
      </c>
      <c r="D485" s="340" t="s">
        <v>240</v>
      </c>
      <c r="E485" s="339" t="s">
        <v>214</v>
      </c>
      <c r="F485" s="341">
        <v>0</v>
      </c>
      <c r="G485" s="339">
        <v>1E-4</v>
      </c>
      <c r="H485" s="339" t="s">
        <v>231</v>
      </c>
      <c r="I485" s="339" t="s">
        <v>287</v>
      </c>
      <c r="J485" s="85">
        <f>IF(B485="",IF(CONCATENATE(C485,D485,E485,F485,G485,H485,I485)="","",ws3_EU_ID_blank),IF(ISERROR(MATCH(B485,'2. Emissions Units &amp; Activities'!$B$7:$B$193,0)),ws3_matching_error_msg,G485*IF(E485="Y",1,1-F485)*INDEX('2. Emissions Units &amp; Activities'!$G$7:$G$193,MATCH(B485,'2. Emissions Units &amp; Activities'!$B$7:$B$193,0))))</f>
        <v>5.1304800000000011E-4</v>
      </c>
      <c r="K485" s="85">
        <f t="shared" si="18"/>
        <v>7.3793334044824974E-9</v>
      </c>
      <c r="L485" s="85">
        <f>IF(B485="",IF(CONCATENATE(C485,D485,E485,F485,G485,H485,I485)="","",ws3_EU_ID_blank),IF(ISERROR(MATCH(B485,'2. Emissions Units &amp; Activities'!$B$7:$B$193,0)),ws3_matching_error_msg,G485*IF(E485="Y",1,1-F485)*INDEX('2. Emissions Units &amp; Activities'!$J$7:$J$193,MATCH(B485,'2. Emissions Units &amp; Activities'!$B$7:$B$193,0))))</f>
        <v>1.7101600000000002E-4</v>
      </c>
      <c r="M485" s="509">
        <f t="shared" si="19"/>
        <v>8.9781889754537037E-7</v>
      </c>
      <c r="N485" s="284"/>
    </row>
    <row r="486" spans="1:14" ht="15.75" x14ac:dyDescent="0.25">
      <c r="A486" s="86"/>
      <c r="B486" s="508" t="s">
        <v>65</v>
      </c>
      <c r="C486" s="339" t="s">
        <v>253</v>
      </c>
      <c r="D486" s="340" t="s">
        <v>254</v>
      </c>
      <c r="E486" s="339" t="s">
        <v>214</v>
      </c>
      <c r="F486" s="341">
        <v>0</v>
      </c>
      <c r="G486" s="339">
        <v>4.1000000000000003E-3</v>
      </c>
      <c r="H486" s="339" t="s">
        <v>231</v>
      </c>
      <c r="I486" s="339" t="s">
        <v>287</v>
      </c>
      <c r="J486" s="85">
        <f>IF(B486="",IF(CONCATENATE(C486,D486,E486,F486,G486,H486,I486)="","",ws3_EU_ID_blank),IF(ISERROR(MATCH(B486,'2. Emissions Units &amp; Activities'!$B$7:$B$193,0)),ws3_matching_error_msg,G486*IF(E486="Y",1,1-F486)*INDEX('2. Emissions Units &amp; Activities'!$G$7:$G$193,MATCH(B486,'2. Emissions Units &amp; Activities'!$B$7:$B$193,0))))</f>
        <v>2.1034968000000005E-2</v>
      </c>
      <c r="K486" s="85">
        <f t="shared" si="18"/>
        <v>3.0255266958378243E-7</v>
      </c>
      <c r="L486" s="85">
        <f>IF(B486="",IF(CONCATENATE(C486,D486,E486,F486,G486,H486,I486)="","",ws3_EU_ID_blank),IF(ISERROR(MATCH(B486,'2. Emissions Units &amp; Activities'!$B$7:$B$193,0)),ws3_matching_error_msg,G486*IF(E486="Y",1,1-F486)*INDEX('2. Emissions Units &amp; Activities'!$J$7:$J$193,MATCH(B486,'2. Emissions Units &amp; Activities'!$B$7:$B$193,0))))</f>
        <v>7.0116560000000015E-3</v>
      </c>
      <c r="M486" s="509">
        <f t="shared" si="19"/>
        <v>3.681057479936019E-5</v>
      </c>
      <c r="N486" s="284"/>
    </row>
    <row r="487" spans="1:14" ht="15.75" x14ac:dyDescent="0.25">
      <c r="A487" s="86"/>
      <c r="B487" s="508" t="s">
        <v>65</v>
      </c>
      <c r="C487" s="339" t="s">
        <v>255</v>
      </c>
      <c r="D487" s="340" t="s">
        <v>256</v>
      </c>
      <c r="E487" s="339" t="s">
        <v>214</v>
      </c>
      <c r="F487" s="341">
        <v>0</v>
      </c>
      <c r="G487" s="339">
        <v>2.0000000000000001E-4</v>
      </c>
      <c r="H487" s="339" t="s">
        <v>231</v>
      </c>
      <c r="I487" s="339" t="s">
        <v>287</v>
      </c>
      <c r="J487" s="85">
        <f>IF(B487="",IF(CONCATENATE(C487,D487,E487,F487,G487,H487,I487)="","",ws3_EU_ID_blank),IF(ISERROR(MATCH(B487,'2. Emissions Units &amp; Activities'!$B$7:$B$193,0)),ws3_matching_error_msg,G487*IF(E487="Y",1,1-F487)*INDEX('2. Emissions Units &amp; Activities'!$G$7:$G$193,MATCH(B487,'2. Emissions Units &amp; Activities'!$B$7:$B$193,0))))</f>
        <v>1.0260960000000002E-3</v>
      </c>
      <c r="K487" s="85">
        <f t="shared" si="18"/>
        <v>1.4758666808964995E-8</v>
      </c>
      <c r="L487" s="85">
        <f>IF(B487="",IF(CONCATENATE(C487,D487,E487,F487,G487,H487,I487)="","",ws3_EU_ID_blank),IF(ISERROR(MATCH(B487,'2. Emissions Units &amp; Activities'!$B$7:$B$193,0)),ws3_matching_error_msg,G487*IF(E487="Y",1,1-F487)*INDEX('2. Emissions Units &amp; Activities'!$J$7:$J$193,MATCH(B487,'2. Emissions Units &amp; Activities'!$B$7:$B$193,0))))</f>
        <v>3.4203200000000003E-4</v>
      </c>
      <c r="M487" s="509">
        <f t="shared" si="19"/>
        <v>1.7956377950907407E-6</v>
      </c>
      <c r="N487" s="284"/>
    </row>
    <row r="488" spans="1:14" ht="15.75" x14ac:dyDescent="0.25">
      <c r="A488" s="86"/>
      <c r="B488" s="508" t="s">
        <v>65</v>
      </c>
      <c r="C488" s="339" t="s">
        <v>237</v>
      </c>
      <c r="D488" s="340" t="s">
        <v>238</v>
      </c>
      <c r="E488" s="339" t="s">
        <v>214</v>
      </c>
      <c r="F488" s="341">
        <v>0</v>
      </c>
      <c r="G488" s="339">
        <v>0.35060000000000002</v>
      </c>
      <c r="H488" s="339" t="s">
        <v>231</v>
      </c>
      <c r="I488" s="339" t="s">
        <v>287</v>
      </c>
      <c r="J488" s="85">
        <f>IF(B488="",IF(CONCATENATE(C488,D488,E488,F488,G488,H488,I488)="","",ws3_EU_ID_blank),IF(ISERROR(MATCH(B488,'2. Emissions Units &amp; Activities'!$B$7:$B$193,0)),ws3_matching_error_msg,G488*IF(E488="Y",1,1-F488)*INDEX('2. Emissions Units &amp; Activities'!$G$7:$G$193,MATCH(B488,'2. Emissions Units &amp; Activities'!$B$7:$B$193,0))))</f>
        <v>1.7987462880000002</v>
      </c>
      <c r="K488" s="85">
        <f t="shared" si="18"/>
        <v>2.5871942916115637E-5</v>
      </c>
      <c r="L488" s="85">
        <f>IF(B488="",IF(CONCATENATE(C488,D488,E488,F488,G488,H488,I488)="","",ws3_EU_ID_blank),IF(ISERROR(MATCH(B488,'2. Emissions Units &amp; Activities'!$B$7:$B$193,0)),ws3_matching_error_msg,G488*IF(E488="Y",1,1-F488)*INDEX('2. Emissions Units &amp; Activities'!$J$7:$J$193,MATCH(B488,'2. Emissions Units &amp; Activities'!$B$7:$B$193,0))))</f>
        <v>0.59958209600000012</v>
      </c>
      <c r="M488" s="509">
        <f t="shared" si="19"/>
        <v>3.1477530547940687E-3</v>
      </c>
      <c r="N488" s="284"/>
    </row>
    <row r="489" spans="1:14" ht="15.75" x14ac:dyDescent="0.25">
      <c r="A489" s="86"/>
      <c r="B489" s="508" t="s">
        <v>65</v>
      </c>
      <c r="C489" s="339" t="s">
        <v>257</v>
      </c>
      <c r="D489" s="340" t="s">
        <v>258</v>
      </c>
      <c r="E489" s="339" t="s">
        <v>214</v>
      </c>
      <c r="F489" s="341">
        <v>0</v>
      </c>
      <c r="G489" s="339">
        <v>3.5000000000000001E-3</v>
      </c>
      <c r="H489" s="339" t="s">
        <v>231</v>
      </c>
      <c r="I489" s="339" t="s">
        <v>287</v>
      </c>
      <c r="J489" s="85">
        <f>IF(B489="",IF(CONCATENATE(C489,D489,E489,F489,G489,H489,I489)="","",ws3_EU_ID_blank),IF(ISERROR(MATCH(B489,'2. Emissions Units &amp; Activities'!$B$7:$B$193,0)),ws3_matching_error_msg,G489*IF(E489="Y",1,1-F489)*INDEX('2. Emissions Units &amp; Activities'!$G$7:$G$193,MATCH(B489,'2. Emissions Units &amp; Activities'!$B$7:$B$193,0))))</f>
        <v>1.7956680000000003E-2</v>
      </c>
      <c r="K489" s="85">
        <f t="shared" si="18"/>
        <v>2.5827666915688744E-7</v>
      </c>
      <c r="L489" s="85">
        <f>IF(B489="",IF(CONCATENATE(C489,D489,E489,F489,G489,H489,I489)="","",ws3_EU_ID_blank),IF(ISERROR(MATCH(B489,'2. Emissions Units &amp; Activities'!$B$7:$B$193,0)),ws3_matching_error_msg,G489*IF(E489="Y",1,1-F489)*INDEX('2. Emissions Units &amp; Activities'!$J$7:$J$193,MATCH(B489,'2. Emissions Units &amp; Activities'!$B$7:$B$193,0))))</f>
        <v>5.9855600000000009E-3</v>
      </c>
      <c r="M489" s="509">
        <f t="shared" si="19"/>
        <v>3.1423661414087969E-5</v>
      </c>
      <c r="N489" s="284"/>
    </row>
    <row r="490" spans="1:14" ht="15.75" x14ac:dyDescent="0.25">
      <c r="A490" s="86"/>
      <c r="B490" s="508" t="s">
        <v>65</v>
      </c>
      <c r="C490" s="339" t="s">
        <v>259</v>
      </c>
      <c r="D490" s="340" t="s">
        <v>260</v>
      </c>
      <c r="E490" s="339" t="s">
        <v>214</v>
      </c>
      <c r="F490" s="341">
        <v>0</v>
      </c>
      <c r="G490" s="339">
        <v>0.18629999999999999</v>
      </c>
      <c r="H490" s="339" t="s">
        <v>231</v>
      </c>
      <c r="I490" s="339" t="s">
        <v>287</v>
      </c>
      <c r="J490" s="85">
        <f>IF(B490="",IF(CONCATENATE(C490,D490,E490,F490,G490,H490,I490)="","",ws3_EU_ID_blank),IF(ISERROR(MATCH(B490,'2. Emissions Units &amp; Activities'!$B$7:$B$193,0)),ws3_matching_error_msg,G490*IF(E490="Y",1,1-F490)*INDEX('2. Emissions Units &amp; Activities'!$G$7:$G$193,MATCH(B490,'2. Emissions Units &amp; Activities'!$B$7:$B$193,0))))</f>
        <v>0.95580842399999999</v>
      </c>
      <c r="K490" s="85">
        <f t="shared" si="18"/>
        <v>1.374769813255089E-5</v>
      </c>
      <c r="L490" s="85">
        <f>IF(B490="",IF(CONCATENATE(C490,D490,E490,F490,G490,H490,I490)="","",ws3_EU_ID_blank),IF(ISERROR(MATCH(B490,'2. Emissions Units &amp; Activities'!$B$7:$B$193,0)),ws3_matching_error_msg,G490*IF(E490="Y",1,1-F490)*INDEX('2. Emissions Units &amp; Activities'!$J$7:$J$193,MATCH(B490,'2. Emissions Units &amp; Activities'!$B$7:$B$193,0))))</f>
        <v>0.31860280800000002</v>
      </c>
      <c r="M490" s="509">
        <f t="shared" si="19"/>
        <v>1.672636606127025E-3</v>
      </c>
      <c r="N490" s="284"/>
    </row>
    <row r="491" spans="1:14" ht="15.75" x14ac:dyDescent="0.25">
      <c r="A491" s="86"/>
      <c r="B491" s="508" t="s">
        <v>65</v>
      </c>
      <c r="C491" s="339" t="s">
        <v>241</v>
      </c>
      <c r="D491" s="340" t="s">
        <v>242</v>
      </c>
      <c r="E491" s="339" t="s">
        <v>214</v>
      </c>
      <c r="F491" s="341">
        <v>0</v>
      </c>
      <c r="G491" s="339">
        <v>8.3000000000000001E-3</v>
      </c>
      <c r="H491" s="339" t="s">
        <v>231</v>
      </c>
      <c r="I491" s="339" t="s">
        <v>287</v>
      </c>
      <c r="J491" s="85">
        <f>IF(B491="",IF(CONCATENATE(C491,D491,E491,F491,G491,H491,I491)="","",ws3_EU_ID_blank),IF(ISERROR(MATCH(B491,'2. Emissions Units &amp; Activities'!$B$7:$B$193,0)),ws3_matching_error_msg,G491*IF(E491="Y",1,1-F491)*INDEX('2. Emissions Units &amp; Activities'!$G$7:$G$193,MATCH(B491,'2. Emissions Units &amp; Activities'!$B$7:$B$193,0))))</f>
        <v>4.2582984000000004E-2</v>
      </c>
      <c r="K491" s="85">
        <f t="shared" si="18"/>
        <v>6.1248467257204735E-7</v>
      </c>
      <c r="L491" s="85">
        <f>IF(B491="",IF(CONCATENATE(C491,D491,E491,F491,G491,H491,I491)="","",ws3_EU_ID_blank),IF(ISERROR(MATCH(B491,'2. Emissions Units &amp; Activities'!$B$7:$B$193,0)),ws3_matching_error_msg,G491*IF(E491="Y",1,1-F491)*INDEX('2. Emissions Units &amp; Activities'!$J$7:$J$193,MATCH(B491,'2. Emissions Units &amp; Activities'!$B$7:$B$193,0))))</f>
        <v>1.4194328000000001E-2</v>
      </c>
      <c r="M491" s="509">
        <f t="shared" si="19"/>
        <v>7.451896849626575E-5</v>
      </c>
      <c r="N491" s="284"/>
    </row>
    <row r="492" spans="1:14" ht="15.75" x14ac:dyDescent="0.25">
      <c r="A492" s="86"/>
      <c r="B492" s="508" t="s">
        <v>65</v>
      </c>
      <c r="C492" s="339" t="s">
        <v>261</v>
      </c>
      <c r="D492" s="340" t="s">
        <v>262</v>
      </c>
      <c r="E492" s="339" t="s">
        <v>214</v>
      </c>
      <c r="F492" s="341">
        <v>0</v>
      </c>
      <c r="G492" s="339">
        <v>3.0999999999999999E-3</v>
      </c>
      <c r="H492" s="339" t="s">
        <v>231</v>
      </c>
      <c r="I492" s="339" t="s">
        <v>287</v>
      </c>
      <c r="J492" s="85">
        <f>IF(B492="",IF(CONCATENATE(C492,D492,E492,F492,G492,H492,I492)="","",ws3_EU_ID_blank),IF(ISERROR(MATCH(B492,'2. Emissions Units &amp; Activities'!$B$7:$B$193,0)),ws3_matching_error_msg,G492*IF(E492="Y",1,1-F492)*INDEX('2. Emissions Units &amp; Activities'!$G$7:$G$193,MATCH(B492,'2. Emissions Units &amp; Activities'!$B$7:$B$193,0))))</f>
        <v>1.5904488000000001E-2</v>
      </c>
      <c r="K492" s="85">
        <f t="shared" si="18"/>
        <v>2.2875933553895739E-7</v>
      </c>
      <c r="L492" s="85">
        <f>IF(B492="",IF(CONCATENATE(C492,D492,E492,F492,G492,H492,I492)="","",ws3_EU_ID_blank),IF(ISERROR(MATCH(B492,'2. Emissions Units &amp; Activities'!$B$7:$B$193,0)),ws3_matching_error_msg,G492*IF(E492="Y",1,1-F492)*INDEX('2. Emissions Units &amp; Activities'!$J$7:$J$193,MATCH(B492,'2. Emissions Units &amp; Activities'!$B$7:$B$193,0))))</f>
        <v>5.3014960000000002E-3</v>
      </c>
      <c r="M492" s="509">
        <f t="shared" si="19"/>
        <v>2.7832385823906482E-5</v>
      </c>
      <c r="N492" s="284"/>
    </row>
    <row r="493" spans="1:14" ht="15.75" x14ac:dyDescent="0.25">
      <c r="A493" s="86"/>
      <c r="B493" s="508" t="s">
        <v>65</v>
      </c>
      <c r="C493" s="339" t="s">
        <v>263</v>
      </c>
      <c r="D493" s="340" t="s">
        <v>264</v>
      </c>
      <c r="E493" s="339" t="s">
        <v>214</v>
      </c>
      <c r="F493" s="341">
        <v>0</v>
      </c>
      <c r="G493" s="339">
        <v>2E-3</v>
      </c>
      <c r="H493" s="339" t="s">
        <v>231</v>
      </c>
      <c r="I493" s="339" t="s">
        <v>287</v>
      </c>
      <c r="J493" s="85">
        <f>IF(B493="",IF(CONCATENATE(C493,D493,E493,F493,G493,H493,I493)="","",ws3_EU_ID_blank),IF(ISERROR(MATCH(B493,'2. Emissions Units &amp; Activities'!$B$7:$B$193,0)),ws3_matching_error_msg,G493*IF(E493="Y",1,1-F493)*INDEX('2. Emissions Units &amp; Activities'!$G$7:$G$193,MATCH(B493,'2. Emissions Units &amp; Activities'!$B$7:$B$193,0))))</f>
        <v>1.0260960000000001E-2</v>
      </c>
      <c r="K493" s="85">
        <f t="shared" si="18"/>
        <v>1.4758666808964996E-7</v>
      </c>
      <c r="L493" s="85">
        <f>IF(B493="",IF(CONCATENATE(C493,D493,E493,F493,G493,H493,I493)="","",ws3_EU_ID_blank),IF(ISERROR(MATCH(B493,'2. Emissions Units &amp; Activities'!$B$7:$B$193,0)),ws3_matching_error_msg,G493*IF(E493="Y",1,1-F493)*INDEX('2. Emissions Units &amp; Activities'!$J$7:$J$193,MATCH(B493,'2. Emissions Units &amp; Activities'!$B$7:$B$193,0))))</f>
        <v>3.4203200000000001E-3</v>
      </c>
      <c r="M493" s="509">
        <f t="shared" si="19"/>
        <v>1.795637795090741E-5</v>
      </c>
      <c r="N493" s="284"/>
    </row>
    <row r="494" spans="1:14" ht="15.75" x14ac:dyDescent="0.25">
      <c r="A494" s="86"/>
      <c r="B494" s="508" t="s">
        <v>65</v>
      </c>
      <c r="C494" s="339" t="s">
        <v>244</v>
      </c>
      <c r="D494" s="340" t="s">
        <v>245</v>
      </c>
      <c r="E494" s="339" t="s">
        <v>214</v>
      </c>
      <c r="F494" s="341">
        <v>0</v>
      </c>
      <c r="G494" s="339">
        <v>5.3E-3</v>
      </c>
      <c r="H494" s="339" t="s">
        <v>231</v>
      </c>
      <c r="I494" s="339" t="s">
        <v>287</v>
      </c>
      <c r="J494" s="85">
        <f>IF(B494="",IF(CONCATENATE(C494,D494,E494,F494,G494,H494,I494)="","",ws3_EU_ID_blank),IF(ISERROR(MATCH(B494,'2. Emissions Units &amp; Activities'!$B$7:$B$193,0)),ws3_matching_error_msg,G494*IF(E494="Y",1,1-F494)*INDEX('2. Emissions Units &amp; Activities'!$G$7:$G$193,MATCH(B494,'2. Emissions Units &amp; Activities'!$B$7:$B$193,0))))</f>
        <v>2.7191544000000002E-2</v>
      </c>
      <c r="K494" s="85">
        <f t="shared" si="18"/>
        <v>3.911046704375723E-7</v>
      </c>
      <c r="L494" s="85">
        <f>IF(B494="",IF(CONCATENATE(C494,D494,E494,F494,G494,H494,I494)="","",ws3_EU_ID_blank),IF(ISERROR(MATCH(B494,'2. Emissions Units &amp; Activities'!$B$7:$B$193,0)),ws3_matching_error_msg,G494*IF(E494="Y",1,1-F494)*INDEX('2. Emissions Units &amp; Activities'!$J$7:$J$193,MATCH(B494,'2. Emissions Units &amp; Activities'!$B$7:$B$193,0))))</f>
        <v>9.0638480000000011E-3</v>
      </c>
      <c r="M494" s="509">
        <f t="shared" si="19"/>
        <v>4.7584401569904632E-5</v>
      </c>
      <c r="N494" s="284"/>
    </row>
    <row r="495" spans="1:14" ht="15.75" x14ac:dyDescent="0.25">
      <c r="A495" s="86"/>
      <c r="B495" s="508" t="s">
        <v>65</v>
      </c>
      <c r="C495" s="339">
        <v>365</v>
      </c>
      <c r="D495" s="340" t="s">
        <v>243</v>
      </c>
      <c r="E495" s="339" t="s">
        <v>214</v>
      </c>
      <c r="F495" s="341">
        <v>0</v>
      </c>
      <c r="G495" s="339">
        <v>3.8999999999999998E-3</v>
      </c>
      <c r="H495" s="339" t="s">
        <v>231</v>
      </c>
      <c r="I495" s="339" t="s">
        <v>287</v>
      </c>
      <c r="J495" s="85">
        <f>IF(B495="",IF(CONCATENATE(C495,D495,E495,F495,G495,H495,I495)="","",ws3_EU_ID_blank),IF(ISERROR(MATCH(B495,'2. Emissions Units &amp; Activities'!$B$7:$B$193,0)),ws3_matching_error_msg,G495*IF(E495="Y",1,1-F495)*INDEX('2. Emissions Units &amp; Activities'!$G$7:$G$193,MATCH(B495,'2. Emissions Units &amp; Activities'!$B$7:$B$193,0))))</f>
        <v>2.0008872E-2</v>
      </c>
      <c r="K495" s="85">
        <f t="shared" si="18"/>
        <v>2.8779400277481738E-7</v>
      </c>
      <c r="L495" s="85">
        <f>IF(B495="",IF(CONCATENATE(C495,D495,E495,F495,G495,H495,I495)="","",ws3_EU_ID_blank),IF(ISERROR(MATCH(B495,'2. Emissions Units &amp; Activities'!$B$7:$B$193,0)),ws3_matching_error_msg,G495*IF(E495="Y",1,1-F495)*INDEX('2. Emissions Units &amp; Activities'!$J$7:$J$193,MATCH(B495,'2. Emissions Units &amp; Activities'!$B$7:$B$193,0))))</f>
        <v>6.6696239999999999E-3</v>
      </c>
      <c r="M495" s="509">
        <f t="shared" si="19"/>
        <v>3.501493700426945E-5</v>
      </c>
      <c r="N495" s="284"/>
    </row>
    <row r="496" spans="1:14" ht="15.75" x14ac:dyDescent="0.25">
      <c r="A496" s="86"/>
      <c r="B496" s="508" t="s">
        <v>65</v>
      </c>
      <c r="C496" s="339">
        <v>401</v>
      </c>
      <c r="D496" s="340" t="s">
        <v>246</v>
      </c>
      <c r="E496" s="339" t="s">
        <v>214</v>
      </c>
      <c r="F496" s="341">
        <v>0</v>
      </c>
      <c r="G496" s="339">
        <v>4.4499999999999998E-2</v>
      </c>
      <c r="H496" s="339" t="s">
        <v>231</v>
      </c>
      <c r="I496" s="339" t="s">
        <v>287</v>
      </c>
      <c r="J496" s="85">
        <f>IF(B496="",IF(CONCATENATE(C496,D496,E496,F496,G496,H496,I496)="","",ws3_EU_ID_blank),IF(ISERROR(MATCH(B496,'2. Emissions Units &amp; Activities'!$B$7:$B$193,0)),ws3_matching_error_msg,G496*IF(E496="Y",1,1-F496)*INDEX('2. Emissions Units &amp; Activities'!$G$7:$G$193,MATCH(B496,'2. Emissions Units &amp; Activities'!$B$7:$B$193,0))))</f>
        <v>0.22830636000000001</v>
      </c>
      <c r="K496" s="85">
        <f t="shared" si="18"/>
        <v>3.2838033649947112E-6</v>
      </c>
      <c r="L496" s="85">
        <f>IF(B496="",IF(CONCATENATE(C496,D496,E496,F496,G496,H496,I496)="","",ws3_EU_ID_blank),IF(ISERROR(MATCH(B496,'2. Emissions Units &amp; Activities'!$B$7:$B$193,0)),ws3_matching_error_msg,G496*IF(E496="Y",1,1-F496)*INDEX('2. Emissions Units &amp; Activities'!$J$7:$J$193,MATCH(B496,'2. Emissions Units &amp; Activities'!$B$7:$B$193,0))))</f>
        <v>7.6102119999999995E-2</v>
      </c>
      <c r="M496" s="509">
        <f t="shared" si="19"/>
        <v>3.9952940940768985E-4</v>
      </c>
      <c r="N496" s="284"/>
    </row>
    <row r="497" spans="1:14" ht="15.75" x14ac:dyDescent="0.25">
      <c r="A497" s="86"/>
      <c r="B497" s="508" t="s">
        <v>65</v>
      </c>
      <c r="C497" s="339" t="s">
        <v>265</v>
      </c>
      <c r="D497" s="340" t="s">
        <v>266</v>
      </c>
      <c r="E497" s="339" t="s">
        <v>214</v>
      </c>
      <c r="F497" s="341">
        <v>0</v>
      </c>
      <c r="G497" s="339">
        <v>2.2000000000000001E-3</v>
      </c>
      <c r="H497" s="339" t="s">
        <v>231</v>
      </c>
      <c r="I497" s="339" t="s">
        <v>287</v>
      </c>
      <c r="J497" s="85">
        <f>IF(B497="",IF(CONCATENATE(C497,D497,E497,F497,G497,H497,I497)="","",ws3_EU_ID_blank),IF(ISERROR(MATCH(B497,'2. Emissions Units &amp; Activities'!$B$7:$B$193,0)),ws3_matching_error_msg,G497*IF(E497="Y",1,1-F497)*INDEX('2. Emissions Units &amp; Activities'!$G$7:$G$193,MATCH(B497,'2. Emissions Units &amp; Activities'!$B$7:$B$193,0))))</f>
        <v>1.1287056000000002E-2</v>
      </c>
      <c r="K497" s="85">
        <f t="shared" si="18"/>
        <v>1.6234533489861496E-7</v>
      </c>
      <c r="L497" s="85">
        <f>IF(B497="",IF(CONCATENATE(C497,D497,E497,F497,G497,H497,I497)="","",ws3_EU_ID_blank),IF(ISERROR(MATCH(B497,'2. Emissions Units &amp; Activities'!$B$7:$B$193,0)),ws3_matching_error_msg,G497*IF(E497="Y",1,1-F497)*INDEX('2. Emissions Units &amp; Activities'!$J$7:$J$193,MATCH(B497,'2. Emissions Units &amp; Activities'!$B$7:$B$193,0))))</f>
        <v>3.7623520000000005E-3</v>
      </c>
      <c r="M497" s="509">
        <f t="shared" si="19"/>
        <v>1.9752015745998154E-5</v>
      </c>
      <c r="N497" s="284"/>
    </row>
    <row r="498" spans="1:14" ht="15.75" x14ac:dyDescent="0.25">
      <c r="A498" s="86"/>
      <c r="B498" s="508" t="s">
        <v>65</v>
      </c>
      <c r="C498" s="339" t="s">
        <v>267</v>
      </c>
      <c r="D498" s="340" t="s">
        <v>268</v>
      </c>
      <c r="E498" s="339" t="s">
        <v>214</v>
      </c>
      <c r="F498" s="341">
        <v>0</v>
      </c>
      <c r="G498" s="339">
        <v>4.4000000000000003E-3</v>
      </c>
      <c r="H498" s="339" t="s">
        <v>231</v>
      </c>
      <c r="I498" s="339" t="s">
        <v>287</v>
      </c>
      <c r="J498" s="85">
        <f>IF(B498="",IF(CONCATENATE(C498,D498,E498,F498,G498,H498,I498)="","",ws3_EU_ID_blank),IF(ISERROR(MATCH(B498,'2. Emissions Units &amp; Activities'!$B$7:$B$193,0)),ws3_matching_error_msg,G498*IF(E498="Y",1,1-F498)*INDEX('2. Emissions Units &amp; Activities'!$G$7:$G$193,MATCH(B498,'2. Emissions Units &amp; Activities'!$B$7:$B$193,0))))</f>
        <v>2.2574112000000004E-2</v>
      </c>
      <c r="K498" s="85">
        <f t="shared" si="18"/>
        <v>3.2469066979722992E-7</v>
      </c>
      <c r="L498" s="85">
        <f>IF(B498="",IF(CONCATENATE(C498,D498,E498,F498,G498,H498,I498)="","",ws3_EU_ID_blank),IF(ISERROR(MATCH(B498,'2. Emissions Units &amp; Activities'!$B$7:$B$193,0)),ws3_matching_error_msg,G498*IF(E498="Y",1,1-F498)*INDEX('2. Emissions Units &amp; Activities'!$J$7:$J$193,MATCH(B498,'2. Emissions Units &amp; Activities'!$B$7:$B$193,0))))</f>
        <v>7.524704000000001E-3</v>
      </c>
      <c r="M498" s="509">
        <f t="shared" si="19"/>
        <v>3.9504031491996307E-5</v>
      </c>
      <c r="N498" s="284"/>
    </row>
    <row r="499" spans="1:14" ht="15.75" x14ac:dyDescent="0.25">
      <c r="A499" s="86"/>
      <c r="B499" s="508" t="s">
        <v>65</v>
      </c>
      <c r="C499" s="339" t="s">
        <v>269</v>
      </c>
      <c r="D499" s="340" t="s">
        <v>270</v>
      </c>
      <c r="E499" s="339" t="s">
        <v>214</v>
      </c>
      <c r="F499" s="341">
        <v>0</v>
      </c>
      <c r="G499" s="339">
        <v>1.6000000000000001E-3</v>
      </c>
      <c r="H499" s="339" t="s">
        <v>231</v>
      </c>
      <c r="I499" s="339" t="s">
        <v>287</v>
      </c>
      <c r="J499" s="85">
        <f>IF(B499="",IF(CONCATENATE(C499,D499,E499,F499,G499,H499,I499)="","",ws3_EU_ID_blank),IF(ISERROR(MATCH(B499,'2. Emissions Units &amp; Activities'!$B$7:$B$193,0)),ws3_matching_error_msg,G499*IF(E499="Y",1,1-F499)*INDEX('2. Emissions Units &amp; Activities'!$G$7:$G$193,MATCH(B499,'2. Emissions Units &amp; Activities'!$B$7:$B$193,0))))</f>
        <v>8.2087680000000017E-3</v>
      </c>
      <c r="K499" s="85">
        <f t="shared" si="18"/>
        <v>1.1806933447171996E-7</v>
      </c>
      <c r="L499" s="85">
        <f>IF(B499="",IF(CONCATENATE(C499,D499,E499,F499,G499,H499,I499)="","",ws3_EU_ID_blank),IF(ISERROR(MATCH(B499,'2. Emissions Units &amp; Activities'!$B$7:$B$193,0)),ws3_matching_error_msg,G499*IF(E499="Y",1,1-F499)*INDEX('2. Emissions Units &amp; Activities'!$J$7:$J$193,MATCH(B499,'2. Emissions Units &amp; Activities'!$B$7:$B$193,0))))</f>
        <v>2.7362560000000003E-3</v>
      </c>
      <c r="M499" s="509">
        <f t="shared" si="19"/>
        <v>1.4365102360725926E-5</v>
      </c>
      <c r="N499" s="284"/>
    </row>
    <row r="500" spans="1:14" ht="15.75" x14ac:dyDescent="0.25">
      <c r="A500" s="86"/>
      <c r="B500" s="508" t="s">
        <v>67</v>
      </c>
      <c r="C500" s="339" t="s">
        <v>233</v>
      </c>
      <c r="D500" s="340" t="s">
        <v>234</v>
      </c>
      <c r="E500" s="339" t="s">
        <v>214</v>
      </c>
      <c r="F500" s="341">
        <v>0</v>
      </c>
      <c r="G500" s="339">
        <v>1.4800000000000001E-2</v>
      </c>
      <c r="H500" s="339" t="s">
        <v>231</v>
      </c>
      <c r="I500" s="339" t="s">
        <v>287</v>
      </c>
      <c r="J500" s="85">
        <f>IF(B500="",IF(CONCATENATE(C500,D500,E500,F500,G500,H500,I500)="","",ws3_EU_ID_blank),IF(ISERROR(MATCH(B500,'2. Emissions Units &amp; Activities'!$B$7:$B$193,0)),ws3_matching_error_msg,G500*IF(E500="Y",1,1-F500)*INDEX('2. Emissions Units &amp; Activities'!$G$7:$G$193,MATCH(B500,'2. Emissions Units &amp; Activities'!$B$7:$B$193,0))))</f>
        <v>7.5931104000000013E-2</v>
      </c>
      <c r="K500" s="85">
        <f t="shared" si="18"/>
        <v>1.0921413438634097E-6</v>
      </c>
      <c r="L500" s="85">
        <f>IF(B500="",IF(CONCATENATE(C500,D500,E500,F500,G500,H500,I500)="","",ws3_EU_ID_blank),IF(ISERROR(MATCH(B500,'2. Emissions Units &amp; Activities'!$B$7:$B$193,0)),ws3_matching_error_msg,G500*IF(E500="Y",1,1-F500)*INDEX('2. Emissions Units &amp; Activities'!$J$7:$J$193,MATCH(B500,'2. Emissions Units &amp; Activities'!$B$7:$B$193,0))))</f>
        <v>2.5310368000000003E-2</v>
      </c>
      <c r="M500" s="509">
        <f t="shared" si="19"/>
        <v>1.3287719683671484E-4</v>
      </c>
      <c r="N500" s="284"/>
    </row>
    <row r="501" spans="1:14" ht="15.75" x14ac:dyDescent="0.25">
      <c r="A501" s="86"/>
      <c r="B501" s="508" t="s">
        <v>67</v>
      </c>
      <c r="C501" s="339" t="s">
        <v>247</v>
      </c>
      <c r="D501" s="340" t="s">
        <v>248</v>
      </c>
      <c r="E501" s="339" t="s">
        <v>214</v>
      </c>
      <c r="F501" s="341">
        <v>0</v>
      </c>
      <c r="G501" s="339">
        <v>0.35060000000000002</v>
      </c>
      <c r="H501" s="339" t="s">
        <v>231</v>
      </c>
      <c r="I501" s="339" t="s">
        <v>287</v>
      </c>
      <c r="J501" s="85">
        <f>IF(B501="",IF(CONCATENATE(C501,D501,E501,F501,G501,H501,I501)="","",ws3_EU_ID_blank),IF(ISERROR(MATCH(B501,'2. Emissions Units &amp; Activities'!$B$7:$B$193,0)),ws3_matching_error_msg,G501*IF(E501="Y",1,1-F501)*INDEX('2. Emissions Units &amp; Activities'!$G$7:$G$193,MATCH(B501,'2. Emissions Units &amp; Activities'!$B$7:$B$193,0))))</f>
        <v>1.7987462880000002</v>
      </c>
      <c r="K501" s="85">
        <f t="shared" si="18"/>
        <v>2.5871942916115637E-5</v>
      </c>
      <c r="L501" s="85">
        <f>IF(B501="",IF(CONCATENATE(C501,D501,E501,F501,G501,H501,I501)="","",ws3_EU_ID_blank),IF(ISERROR(MATCH(B501,'2. Emissions Units &amp; Activities'!$B$7:$B$193,0)),ws3_matching_error_msg,G501*IF(E501="Y",1,1-F501)*INDEX('2. Emissions Units &amp; Activities'!$J$7:$J$193,MATCH(B501,'2. Emissions Units &amp; Activities'!$B$7:$B$193,0))))</f>
        <v>0.59958209600000012</v>
      </c>
      <c r="M501" s="509">
        <f t="shared" si="19"/>
        <v>3.1477530547940687E-3</v>
      </c>
      <c r="N501" s="284"/>
    </row>
    <row r="502" spans="1:14" ht="15.75" x14ac:dyDescent="0.25">
      <c r="A502" s="86"/>
      <c r="B502" s="508" t="s">
        <v>67</v>
      </c>
      <c r="C502" s="339" t="s">
        <v>249</v>
      </c>
      <c r="D502" s="340" t="s">
        <v>250</v>
      </c>
      <c r="E502" s="339" t="s">
        <v>214</v>
      </c>
      <c r="F502" s="341">
        <v>0</v>
      </c>
      <c r="G502" s="339">
        <v>0.35060000000000002</v>
      </c>
      <c r="H502" s="339" t="s">
        <v>231</v>
      </c>
      <c r="I502" s="339" t="s">
        <v>287</v>
      </c>
      <c r="J502" s="85">
        <f>IF(B502="",IF(CONCATENATE(C502,D502,E502,F502,G502,H502,I502)="","",ws3_EU_ID_blank),IF(ISERROR(MATCH(B502,'2. Emissions Units &amp; Activities'!$B$7:$B$193,0)),ws3_matching_error_msg,G502*IF(E502="Y",1,1-F502)*INDEX('2. Emissions Units &amp; Activities'!$G$7:$G$193,MATCH(B502,'2. Emissions Units &amp; Activities'!$B$7:$B$193,0))))</f>
        <v>1.7987462880000002</v>
      </c>
      <c r="K502" s="85">
        <f t="shared" si="18"/>
        <v>2.5871942916115637E-5</v>
      </c>
      <c r="L502" s="85">
        <f>IF(B502="",IF(CONCATENATE(C502,D502,E502,F502,G502,H502,I502)="","",ws3_EU_ID_blank),IF(ISERROR(MATCH(B502,'2. Emissions Units &amp; Activities'!$B$7:$B$193,0)),ws3_matching_error_msg,G502*IF(E502="Y",1,1-F502)*INDEX('2. Emissions Units &amp; Activities'!$J$7:$J$193,MATCH(B502,'2. Emissions Units &amp; Activities'!$B$7:$B$193,0))))</f>
        <v>0.59958209600000012</v>
      </c>
      <c r="M502" s="509">
        <f t="shared" si="19"/>
        <v>3.1477530547940687E-3</v>
      </c>
      <c r="N502" s="284"/>
    </row>
    <row r="503" spans="1:14" ht="15.75" x14ac:dyDescent="0.25">
      <c r="A503" s="86"/>
      <c r="B503" s="508" t="s">
        <v>67</v>
      </c>
      <c r="C503" s="339" t="s">
        <v>251</v>
      </c>
      <c r="D503" s="340" t="s">
        <v>252</v>
      </c>
      <c r="E503" s="339" t="s">
        <v>214</v>
      </c>
      <c r="F503" s="341">
        <v>0</v>
      </c>
      <c r="G503" s="339">
        <v>0.8</v>
      </c>
      <c r="H503" s="339" t="s">
        <v>231</v>
      </c>
      <c r="I503" s="339" t="s">
        <v>287</v>
      </c>
      <c r="J503" s="85">
        <f>IF(B503="",IF(CONCATENATE(C503,D503,E503,F503,G503,H503,I503)="","",ws3_EU_ID_blank),IF(ISERROR(MATCH(B503,'2. Emissions Units &amp; Activities'!$B$7:$B$193,0)),ws3_matching_error_msg,G503*IF(E503="Y",1,1-F503)*INDEX('2. Emissions Units &amp; Activities'!$G$7:$G$193,MATCH(B503,'2. Emissions Units &amp; Activities'!$B$7:$B$193,0))))</f>
        <v>4.1043840000000005</v>
      </c>
      <c r="K503" s="85">
        <f t="shared" si="18"/>
        <v>5.9034667235859972E-5</v>
      </c>
      <c r="L503" s="85">
        <f>IF(B503="",IF(CONCATENATE(C503,D503,E503,F503,G503,H503,I503)="","",ws3_EU_ID_blank),IF(ISERROR(MATCH(B503,'2. Emissions Units &amp; Activities'!$B$7:$B$193,0)),ws3_matching_error_msg,G503*IF(E503="Y",1,1-F503)*INDEX('2. Emissions Units &amp; Activities'!$J$7:$J$193,MATCH(B503,'2. Emissions Units &amp; Activities'!$B$7:$B$193,0))))</f>
        <v>1.3681280000000002</v>
      </c>
      <c r="M503" s="509">
        <f t="shared" si="19"/>
        <v>7.1825511803629638E-3</v>
      </c>
      <c r="N503" s="284"/>
    </row>
    <row r="504" spans="1:14" ht="15.75" x14ac:dyDescent="0.25">
      <c r="A504" s="86"/>
      <c r="B504" s="508" t="s">
        <v>67</v>
      </c>
      <c r="C504" s="339" t="s">
        <v>218</v>
      </c>
      <c r="D504" s="340" t="s">
        <v>219</v>
      </c>
      <c r="E504" s="339" t="s">
        <v>214</v>
      </c>
      <c r="F504" s="341">
        <v>0</v>
      </c>
      <c r="G504" s="339">
        <v>1.6000000000000001E-3</v>
      </c>
      <c r="H504" s="339" t="s">
        <v>231</v>
      </c>
      <c r="I504" s="339" t="s">
        <v>287</v>
      </c>
      <c r="J504" s="85">
        <f>IF(B504="",IF(CONCATENATE(C504,D504,E504,F504,G504,H504,I504)="","",ws3_EU_ID_blank),IF(ISERROR(MATCH(B504,'2. Emissions Units &amp; Activities'!$B$7:$B$193,0)),ws3_matching_error_msg,G504*IF(E504="Y",1,1-F504)*INDEX('2. Emissions Units &amp; Activities'!$G$7:$G$193,MATCH(B504,'2. Emissions Units &amp; Activities'!$B$7:$B$193,0))))</f>
        <v>8.2087680000000017E-3</v>
      </c>
      <c r="K504" s="85">
        <f t="shared" si="18"/>
        <v>1.1806933447171996E-7</v>
      </c>
      <c r="L504" s="85">
        <f>IF(B504="",IF(CONCATENATE(C504,D504,E504,F504,G504,H504,I504)="","",ws3_EU_ID_blank),IF(ISERROR(MATCH(B504,'2. Emissions Units &amp; Activities'!$B$7:$B$193,0)),ws3_matching_error_msg,G504*IF(E504="Y",1,1-F504)*INDEX('2. Emissions Units &amp; Activities'!$J$7:$J$193,MATCH(B504,'2. Emissions Units &amp; Activities'!$B$7:$B$193,0))))</f>
        <v>2.7362560000000003E-3</v>
      </c>
      <c r="M504" s="509">
        <f t="shared" si="19"/>
        <v>1.4365102360725926E-5</v>
      </c>
      <c r="N504" s="284"/>
    </row>
    <row r="505" spans="1:14" ht="15.75" x14ac:dyDescent="0.25">
      <c r="A505" s="86"/>
      <c r="B505" s="508" t="s">
        <v>67</v>
      </c>
      <c r="C505" s="339" t="s">
        <v>221</v>
      </c>
      <c r="D505" s="340" t="s">
        <v>222</v>
      </c>
      <c r="E505" s="339" t="s">
        <v>214</v>
      </c>
      <c r="F505" s="341">
        <v>0</v>
      </c>
      <c r="G505" s="339">
        <v>4.4000000000000003E-3</v>
      </c>
      <c r="H505" s="339" t="s">
        <v>231</v>
      </c>
      <c r="I505" s="339" t="s">
        <v>287</v>
      </c>
      <c r="J505" s="85">
        <f>IF(B505="",IF(CONCATENATE(C505,D505,E505,F505,G505,H505,I505)="","",ws3_EU_ID_blank),IF(ISERROR(MATCH(B505,'2. Emissions Units &amp; Activities'!$B$7:$B$193,0)),ws3_matching_error_msg,G505*IF(E505="Y",1,1-F505)*INDEX('2. Emissions Units &amp; Activities'!$G$7:$G$193,MATCH(B505,'2. Emissions Units &amp; Activities'!$B$7:$B$193,0))))</f>
        <v>2.2574112000000004E-2</v>
      </c>
      <c r="K505" s="85">
        <f t="shared" si="18"/>
        <v>3.2469066979722992E-7</v>
      </c>
      <c r="L505" s="85">
        <f>IF(B505="",IF(CONCATENATE(C505,D505,E505,F505,G505,H505,I505)="","",ws3_EU_ID_blank),IF(ISERROR(MATCH(B505,'2. Emissions Units &amp; Activities'!$B$7:$B$193,0)),ws3_matching_error_msg,G505*IF(E505="Y",1,1-F505)*INDEX('2. Emissions Units &amp; Activities'!$J$7:$J$193,MATCH(B505,'2. Emissions Units &amp; Activities'!$B$7:$B$193,0))))</f>
        <v>7.524704000000001E-3</v>
      </c>
      <c r="M505" s="509">
        <f t="shared" si="19"/>
        <v>3.9504031491996307E-5</v>
      </c>
      <c r="N505" s="284"/>
    </row>
    <row r="506" spans="1:14" ht="15.75" x14ac:dyDescent="0.25">
      <c r="A506" s="86"/>
      <c r="B506" s="508" t="s">
        <v>67</v>
      </c>
      <c r="C506" s="339" t="s">
        <v>273</v>
      </c>
      <c r="D506" s="340" t="s">
        <v>274</v>
      </c>
      <c r="E506" s="339" t="s">
        <v>214</v>
      </c>
      <c r="F506" s="341">
        <v>0</v>
      </c>
      <c r="G506" s="339">
        <v>3.5200000000000002E-5</v>
      </c>
      <c r="H506" s="339" t="s">
        <v>231</v>
      </c>
      <c r="I506" s="339" t="s">
        <v>287</v>
      </c>
      <c r="J506" s="85">
        <f>IF(B506="",IF(CONCATENATE(C506,D506,E506,F506,G506,H506,I506)="","",ws3_EU_ID_blank),IF(ISERROR(MATCH(B506,'2. Emissions Units &amp; Activities'!$B$7:$B$193,0)),ws3_matching_error_msg,G506*IF(E506="Y",1,1-F506)*INDEX('2. Emissions Units &amp; Activities'!$G$7:$G$193,MATCH(B506,'2. Emissions Units &amp; Activities'!$B$7:$B$193,0))))</f>
        <v>1.8059289600000003E-4</v>
      </c>
      <c r="K506" s="85">
        <f t="shared" si="18"/>
        <v>2.5975253583778395E-9</v>
      </c>
      <c r="L506" s="85">
        <f>IF(B506="",IF(CONCATENATE(C506,D506,E506,F506,G506,H506,I506)="","",ws3_EU_ID_blank),IF(ISERROR(MATCH(B506,'2. Emissions Units &amp; Activities'!$B$7:$B$193,0)),ws3_matching_error_msg,G506*IF(E506="Y",1,1-F506)*INDEX('2. Emissions Units &amp; Activities'!$J$7:$J$193,MATCH(B506,'2. Emissions Units &amp; Activities'!$B$7:$B$193,0))))</f>
        <v>6.0197632000000009E-5</v>
      </c>
      <c r="M506" s="509">
        <f t="shared" si="19"/>
        <v>3.1603225193597042E-7</v>
      </c>
      <c r="N506" s="284"/>
    </row>
    <row r="507" spans="1:14" ht="15.75" x14ac:dyDescent="0.25">
      <c r="A507" s="86"/>
      <c r="B507" s="508" t="s">
        <v>67</v>
      </c>
      <c r="C507" s="339" t="s">
        <v>235</v>
      </c>
      <c r="D507" s="340" t="s">
        <v>236</v>
      </c>
      <c r="E507" s="339" t="s">
        <v>214</v>
      </c>
      <c r="F507" s="341">
        <v>0</v>
      </c>
      <c r="G507" s="339">
        <v>1.5E-3</v>
      </c>
      <c r="H507" s="339" t="s">
        <v>231</v>
      </c>
      <c r="I507" s="339" t="s">
        <v>287</v>
      </c>
      <c r="J507" s="85">
        <f>IF(B507="",IF(CONCATENATE(C507,D507,E507,F507,G507,H507,I507)="","",ws3_EU_ID_blank),IF(ISERROR(MATCH(B507,'2. Emissions Units &amp; Activities'!$B$7:$B$193,0)),ws3_matching_error_msg,G507*IF(E507="Y",1,1-F507)*INDEX('2. Emissions Units &amp; Activities'!$G$7:$G$193,MATCH(B507,'2. Emissions Units &amp; Activities'!$B$7:$B$193,0))))</f>
        <v>7.6957200000000005E-3</v>
      </c>
      <c r="K507" s="85">
        <f t="shared" si="18"/>
        <v>1.1069000106723745E-7</v>
      </c>
      <c r="L507" s="85">
        <f>IF(B507="",IF(CONCATENATE(C507,D507,E507,F507,G507,H507,I507)="","",ws3_EU_ID_blank),IF(ISERROR(MATCH(B507,'2. Emissions Units &amp; Activities'!$B$7:$B$193,0)),ws3_matching_error_msg,G507*IF(E507="Y",1,1-F507)*INDEX('2. Emissions Units &amp; Activities'!$J$7:$J$193,MATCH(B507,'2. Emissions Units &amp; Activities'!$B$7:$B$193,0))))</f>
        <v>2.5652400000000003E-3</v>
      </c>
      <c r="M507" s="509">
        <f t="shared" si="19"/>
        <v>1.3467283463180557E-5</v>
      </c>
      <c r="N507" s="284"/>
    </row>
    <row r="508" spans="1:14" ht="15.75" x14ac:dyDescent="0.25">
      <c r="A508" s="86"/>
      <c r="B508" s="508" t="s">
        <v>67</v>
      </c>
      <c r="C508" s="339" t="s">
        <v>239</v>
      </c>
      <c r="D508" s="340" t="s">
        <v>240</v>
      </c>
      <c r="E508" s="339" t="s">
        <v>214</v>
      </c>
      <c r="F508" s="341">
        <v>0</v>
      </c>
      <c r="G508" s="339">
        <v>1E-4</v>
      </c>
      <c r="H508" s="339" t="s">
        <v>231</v>
      </c>
      <c r="I508" s="339" t="s">
        <v>287</v>
      </c>
      <c r="J508" s="85">
        <f>IF(B508="",IF(CONCATENATE(C508,D508,E508,F508,G508,H508,I508)="","",ws3_EU_ID_blank),IF(ISERROR(MATCH(B508,'2. Emissions Units &amp; Activities'!$B$7:$B$193,0)),ws3_matching_error_msg,G508*IF(E508="Y",1,1-F508)*INDEX('2. Emissions Units &amp; Activities'!$G$7:$G$193,MATCH(B508,'2. Emissions Units &amp; Activities'!$B$7:$B$193,0))))</f>
        <v>5.1304800000000011E-4</v>
      </c>
      <c r="K508" s="85">
        <f t="shared" si="18"/>
        <v>7.3793334044824974E-9</v>
      </c>
      <c r="L508" s="85">
        <f>IF(B508="",IF(CONCATENATE(C508,D508,E508,F508,G508,H508,I508)="","",ws3_EU_ID_blank),IF(ISERROR(MATCH(B508,'2. Emissions Units &amp; Activities'!$B$7:$B$193,0)),ws3_matching_error_msg,G508*IF(E508="Y",1,1-F508)*INDEX('2. Emissions Units &amp; Activities'!$J$7:$J$193,MATCH(B508,'2. Emissions Units &amp; Activities'!$B$7:$B$193,0))))</f>
        <v>1.7101600000000002E-4</v>
      </c>
      <c r="M508" s="509">
        <f t="shared" si="19"/>
        <v>8.9781889754537037E-7</v>
      </c>
      <c r="N508" s="284"/>
    </row>
    <row r="509" spans="1:14" ht="15.75" x14ac:dyDescent="0.25">
      <c r="A509" s="86"/>
      <c r="B509" s="508" t="s">
        <v>67</v>
      </c>
      <c r="C509" s="339" t="s">
        <v>253</v>
      </c>
      <c r="D509" s="340" t="s">
        <v>254</v>
      </c>
      <c r="E509" s="339" t="s">
        <v>214</v>
      </c>
      <c r="F509" s="341">
        <v>0</v>
      </c>
      <c r="G509" s="339">
        <v>4.1000000000000003E-3</v>
      </c>
      <c r="H509" s="339" t="s">
        <v>231</v>
      </c>
      <c r="I509" s="339" t="s">
        <v>287</v>
      </c>
      <c r="J509" s="85">
        <f>IF(B509="",IF(CONCATENATE(C509,D509,E509,F509,G509,H509,I509)="","",ws3_EU_ID_blank),IF(ISERROR(MATCH(B509,'2. Emissions Units &amp; Activities'!$B$7:$B$193,0)),ws3_matching_error_msg,G509*IF(E509="Y",1,1-F509)*INDEX('2. Emissions Units &amp; Activities'!$G$7:$G$193,MATCH(B509,'2. Emissions Units &amp; Activities'!$B$7:$B$193,0))))</f>
        <v>2.1034968000000005E-2</v>
      </c>
      <c r="K509" s="85">
        <f t="shared" si="18"/>
        <v>3.0255266958378243E-7</v>
      </c>
      <c r="L509" s="85">
        <f>IF(B509="",IF(CONCATENATE(C509,D509,E509,F509,G509,H509,I509)="","",ws3_EU_ID_blank),IF(ISERROR(MATCH(B509,'2. Emissions Units &amp; Activities'!$B$7:$B$193,0)),ws3_matching_error_msg,G509*IF(E509="Y",1,1-F509)*INDEX('2. Emissions Units &amp; Activities'!$J$7:$J$193,MATCH(B509,'2. Emissions Units &amp; Activities'!$B$7:$B$193,0))))</f>
        <v>7.0116560000000015E-3</v>
      </c>
      <c r="M509" s="509">
        <f t="shared" si="19"/>
        <v>3.681057479936019E-5</v>
      </c>
      <c r="N509" s="284"/>
    </row>
    <row r="510" spans="1:14" ht="15.75" x14ac:dyDescent="0.25">
      <c r="A510" s="86"/>
      <c r="B510" s="508" t="s">
        <v>67</v>
      </c>
      <c r="C510" s="339" t="s">
        <v>255</v>
      </c>
      <c r="D510" s="340" t="s">
        <v>256</v>
      </c>
      <c r="E510" s="339" t="s">
        <v>214</v>
      </c>
      <c r="F510" s="341">
        <v>0</v>
      </c>
      <c r="G510" s="339">
        <v>2.0000000000000001E-4</v>
      </c>
      <c r="H510" s="339" t="s">
        <v>231</v>
      </c>
      <c r="I510" s="339" t="s">
        <v>287</v>
      </c>
      <c r="J510" s="85">
        <f>IF(B510="",IF(CONCATENATE(C510,D510,E510,F510,G510,H510,I510)="","",ws3_EU_ID_blank),IF(ISERROR(MATCH(B510,'2. Emissions Units &amp; Activities'!$B$7:$B$193,0)),ws3_matching_error_msg,G510*IF(E510="Y",1,1-F510)*INDEX('2. Emissions Units &amp; Activities'!$G$7:$G$193,MATCH(B510,'2. Emissions Units &amp; Activities'!$B$7:$B$193,0))))</f>
        <v>1.0260960000000002E-3</v>
      </c>
      <c r="K510" s="85">
        <f t="shared" si="18"/>
        <v>1.4758666808964995E-8</v>
      </c>
      <c r="L510" s="85">
        <f>IF(B510="",IF(CONCATENATE(C510,D510,E510,F510,G510,H510,I510)="","",ws3_EU_ID_blank),IF(ISERROR(MATCH(B510,'2. Emissions Units &amp; Activities'!$B$7:$B$193,0)),ws3_matching_error_msg,G510*IF(E510="Y",1,1-F510)*INDEX('2. Emissions Units &amp; Activities'!$J$7:$J$193,MATCH(B510,'2. Emissions Units &amp; Activities'!$B$7:$B$193,0))))</f>
        <v>3.4203200000000003E-4</v>
      </c>
      <c r="M510" s="509">
        <f t="shared" si="19"/>
        <v>1.7956377950907407E-6</v>
      </c>
      <c r="N510" s="284"/>
    </row>
    <row r="511" spans="1:14" ht="15.75" x14ac:dyDescent="0.25">
      <c r="A511" s="86"/>
      <c r="B511" s="508" t="s">
        <v>67</v>
      </c>
      <c r="C511" s="339" t="s">
        <v>237</v>
      </c>
      <c r="D511" s="340" t="s">
        <v>238</v>
      </c>
      <c r="E511" s="339" t="s">
        <v>214</v>
      </c>
      <c r="F511" s="341">
        <v>0</v>
      </c>
      <c r="G511" s="339">
        <v>0.35060000000000002</v>
      </c>
      <c r="H511" s="339" t="s">
        <v>231</v>
      </c>
      <c r="I511" s="339" t="s">
        <v>287</v>
      </c>
      <c r="J511" s="85">
        <f>IF(B511="",IF(CONCATENATE(C511,D511,E511,F511,G511,H511,I511)="","",ws3_EU_ID_blank),IF(ISERROR(MATCH(B511,'2. Emissions Units &amp; Activities'!$B$7:$B$193,0)),ws3_matching_error_msg,G511*IF(E511="Y",1,1-F511)*INDEX('2. Emissions Units &amp; Activities'!$G$7:$G$193,MATCH(B511,'2. Emissions Units &amp; Activities'!$B$7:$B$193,0))))</f>
        <v>1.7987462880000002</v>
      </c>
      <c r="K511" s="85">
        <f t="shared" si="18"/>
        <v>2.5871942916115637E-5</v>
      </c>
      <c r="L511" s="85">
        <f>IF(B511="",IF(CONCATENATE(C511,D511,E511,F511,G511,H511,I511)="","",ws3_EU_ID_blank),IF(ISERROR(MATCH(B511,'2. Emissions Units &amp; Activities'!$B$7:$B$193,0)),ws3_matching_error_msg,G511*IF(E511="Y",1,1-F511)*INDEX('2. Emissions Units &amp; Activities'!$J$7:$J$193,MATCH(B511,'2. Emissions Units &amp; Activities'!$B$7:$B$193,0))))</f>
        <v>0.59958209600000012</v>
      </c>
      <c r="M511" s="509">
        <f t="shared" si="19"/>
        <v>3.1477530547940687E-3</v>
      </c>
      <c r="N511" s="284"/>
    </row>
    <row r="512" spans="1:14" ht="15.75" x14ac:dyDescent="0.25">
      <c r="A512" s="86"/>
      <c r="B512" s="508" t="s">
        <v>67</v>
      </c>
      <c r="C512" s="339" t="s">
        <v>257</v>
      </c>
      <c r="D512" s="340" t="s">
        <v>258</v>
      </c>
      <c r="E512" s="339" t="s">
        <v>214</v>
      </c>
      <c r="F512" s="341">
        <v>0</v>
      </c>
      <c r="G512" s="339">
        <v>3.5000000000000001E-3</v>
      </c>
      <c r="H512" s="339" t="s">
        <v>231</v>
      </c>
      <c r="I512" s="339" t="s">
        <v>287</v>
      </c>
      <c r="J512" s="85">
        <f>IF(B512="",IF(CONCATENATE(C512,D512,E512,F512,G512,H512,I512)="","",ws3_EU_ID_blank),IF(ISERROR(MATCH(B512,'2. Emissions Units &amp; Activities'!$B$7:$B$193,0)),ws3_matching_error_msg,G512*IF(E512="Y",1,1-F512)*INDEX('2. Emissions Units &amp; Activities'!$G$7:$G$193,MATCH(B512,'2. Emissions Units &amp; Activities'!$B$7:$B$193,0))))</f>
        <v>1.7956680000000003E-2</v>
      </c>
      <c r="K512" s="85">
        <f t="shared" si="18"/>
        <v>2.5827666915688744E-7</v>
      </c>
      <c r="L512" s="85">
        <f>IF(B512="",IF(CONCATENATE(C512,D512,E512,F512,G512,H512,I512)="","",ws3_EU_ID_blank),IF(ISERROR(MATCH(B512,'2. Emissions Units &amp; Activities'!$B$7:$B$193,0)),ws3_matching_error_msg,G512*IF(E512="Y",1,1-F512)*INDEX('2. Emissions Units &amp; Activities'!$J$7:$J$193,MATCH(B512,'2. Emissions Units &amp; Activities'!$B$7:$B$193,0))))</f>
        <v>5.9855600000000009E-3</v>
      </c>
      <c r="M512" s="509">
        <f t="shared" si="19"/>
        <v>3.1423661414087969E-5</v>
      </c>
      <c r="N512" s="284"/>
    </row>
    <row r="513" spans="1:14" ht="15.75" x14ac:dyDescent="0.25">
      <c r="A513" s="86"/>
      <c r="B513" s="508" t="s">
        <v>67</v>
      </c>
      <c r="C513" s="339" t="s">
        <v>259</v>
      </c>
      <c r="D513" s="340" t="s">
        <v>260</v>
      </c>
      <c r="E513" s="339" t="s">
        <v>214</v>
      </c>
      <c r="F513" s="341">
        <v>0</v>
      </c>
      <c r="G513" s="339">
        <v>0.18629999999999999</v>
      </c>
      <c r="H513" s="339" t="s">
        <v>231</v>
      </c>
      <c r="I513" s="339" t="s">
        <v>287</v>
      </c>
      <c r="J513" s="85">
        <f>IF(B513="",IF(CONCATENATE(C513,D513,E513,F513,G513,H513,I513)="","",ws3_EU_ID_blank),IF(ISERROR(MATCH(B513,'2. Emissions Units &amp; Activities'!$B$7:$B$193,0)),ws3_matching_error_msg,G513*IF(E513="Y",1,1-F513)*INDEX('2. Emissions Units &amp; Activities'!$G$7:$G$193,MATCH(B513,'2. Emissions Units &amp; Activities'!$B$7:$B$193,0))))</f>
        <v>0.95580842399999999</v>
      </c>
      <c r="K513" s="85">
        <f t="shared" si="18"/>
        <v>1.374769813255089E-5</v>
      </c>
      <c r="L513" s="85">
        <f>IF(B513="",IF(CONCATENATE(C513,D513,E513,F513,G513,H513,I513)="","",ws3_EU_ID_blank),IF(ISERROR(MATCH(B513,'2. Emissions Units &amp; Activities'!$B$7:$B$193,0)),ws3_matching_error_msg,G513*IF(E513="Y",1,1-F513)*INDEX('2. Emissions Units &amp; Activities'!$J$7:$J$193,MATCH(B513,'2. Emissions Units &amp; Activities'!$B$7:$B$193,0))))</f>
        <v>0.31860280800000002</v>
      </c>
      <c r="M513" s="509">
        <f t="shared" si="19"/>
        <v>1.672636606127025E-3</v>
      </c>
      <c r="N513" s="284"/>
    </row>
    <row r="514" spans="1:14" ht="15.75" x14ac:dyDescent="0.25">
      <c r="A514" s="86"/>
      <c r="B514" s="508" t="s">
        <v>67</v>
      </c>
      <c r="C514" s="339" t="s">
        <v>241</v>
      </c>
      <c r="D514" s="340" t="s">
        <v>242</v>
      </c>
      <c r="E514" s="339" t="s">
        <v>214</v>
      </c>
      <c r="F514" s="341">
        <v>0</v>
      </c>
      <c r="G514" s="339">
        <v>8.3000000000000001E-3</v>
      </c>
      <c r="H514" s="339" t="s">
        <v>231</v>
      </c>
      <c r="I514" s="339" t="s">
        <v>287</v>
      </c>
      <c r="J514" s="85">
        <f>IF(B514="",IF(CONCATENATE(C514,D514,E514,F514,G514,H514,I514)="","",ws3_EU_ID_blank),IF(ISERROR(MATCH(B514,'2. Emissions Units &amp; Activities'!$B$7:$B$193,0)),ws3_matching_error_msg,G514*IF(E514="Y",1,1-F514)*INDEX('2. Emissions Units &amp; Activities'!$G$7:$G$193,MATCH(B514,'2. Emissions Units &amp; Activities'!$B$7:$B$193,0))))</f>
        <v>4.2582984000000004E-2</v>
      </c>
      <c r="K514" s="85">
        <f t="shared" si="18"/>
        <v>6.1248467257204735E-7</v>
      </c>
      <c r="L514" s="85">
        <f>IF(B514="",IF(CONCATENATE(C514,D514,E514,F514,G514,H514,I514)="","",ws3_EU_ID_blank),IF(ISERROR(MATCH(B514,'2. Emissions Units &amp; Activities'!$B$7:$B$193,0)),ws3_matching_error_msg,G514*IF(E514="Y",1,1-F514)*INDEX('2. Emissions Units &amp; Activities'!$J$7:$J$193,MATCH(B514,'2. Emissions Units &amp; Activities'!$B$7:$B$193,0))))</f>
        <v>1.4194328000000001E-2</v>
      </c>
      <c r="M514" s="509">
        <f t="shared" si="19"/>
        <v>7.451896849626575E-5</v>
      </c>
      <c r="N514" s="284"/>
    </row>
    <row r="515" spans="1:14" ht="15.75" x14ac:dyDescent="0.25">
      <c r="A515" s="86"/>
      <c r="B515" s="508" t="s">
        <v>67</v>
      </c>
      <c r="C515" s="339" t="s">
        <v>261</v>
      </c>
      <c r="D515" s="340" t="s">
        <v>262</v>
      </c>
      <c r="E515" s="339" t="s">
        <v>214</v>
      </c>
      <c r="F515" s="341">
        <v>0</v>
      </c>
      <c r="G515" s="339">
        <v>3.0999999999999999E-3</v>
      </c>
      <c r="H515" s="339" t="s">
        <v>231</v>
      </c>
      <c r="I515" s="339" t="s">
        <v>287</v>
      </c>
      <c r="J515" s="85">
        <f>IF(B515="",IF(CONCATENATE(C515,D515,E515,F515,G515,H515,I515)="","",ws3_EU_ID_blank),IF(ISERROR(MATCH(B515,'2. Emissions Units &amp; Activities'!$B$7:$B$193,0)),ws3_matching_error_msg,G515*IF(E515="Y",1,1-F515)*INDEX('2. Emissions Units &amp; Activities'!$G$7:$G$193,MATCH(B515,'2. Emissions Units &amp; Activities'!$B$7:$B$193,0))))</f>
        <v>1.5904488000000001E-2</v>
      </c>
      <c r="K515" s="85">
        <f t="shared" si="18"/>
        <v>2.2875933553895739E-7</v>
      </c>
      <c r="L515" s="85">
        <f>IF(B515="",IF(CONCATENATE(C515,D515,E515,F515,G515,H515,I515)="","",ws3_EU_ID_blank),IF(ISERROR(MATCH(B515,'2. Emissions Units &amp; Activities'!$B$7:$B$193,0)),ws3_matching_error_msg,G515*IF(E515="Y",1,1-F515)*INDEX('2. Emissions Units &amp; Activities'!$J$7:$J$193,MATCH(B515,'2. Emissions Units &amp; Activities'!$B$7:$B$193,0))))</f>
        <v>5.3014960000000002E-3</v>
      </c>
      <c r="M515" s="509">
        <f t="shared" si="19"/>
        <v>2.7832385823906482E-5</v>
      </c>
      <c r="N515" s="284"/>
    </row>
    <row r="516" spans="1:14" ht="15.75" x14ac:dyDescent="0.25">
      <c r="A516" s="86"/>
      <c r="B516" s="508" t="s">
        <v>67</v>
      </c>
      <c r="C516" s="339" t="s">
        <v>263</v>
      </c>
      <c r="D516" s="340" t="s">
        <v>264</v>
      </c>
      <c r="E516" s="339" t="s">
        <v>214</v>
      </c>
      <c r="F516" s="341">
        <v>0</v>
      </c>
      <c r="G516" s="339">
        <v>2E-3</v>
      </c>
      <c r="H516" s="339" t="s">
        <v>231</v>
      </c>
      <c r="I516" s="339" t="s">
        <v>287</v>
      </c>
      <c r="J516" s="85">
        <f>IF(B516="",IF(CONCATENATE(C516,D516,E516,F516,G516,H516,I516)="","",ws3_EU_ID_blank),IF(ISERROR(MATCH(B516,'2. Emissions Units &amp; Activities'!$B$7:$B$193,0)),ws3_matching_error_msg,G516*IF(E516="Y",1,1-F516)*INDEX('2. Emissions Units &amp; Activities'!$G$7:$G$193,MATCH(B516,'2. Emissions Units &amp; Activities'!$B$7:$B$193,0))))</f>
        <v>1.0260960000000001E-2</v>
      </c>
      <c r="K516" s="85">
        <f t="shared" si="18"/>
        <v>1.4758666808964996E-7</v>
      </c>
      <c r="L516" s="85">
        <f>IF(B516="",IF(CONCATENATE(C516,D516,E516,F516,G516,H516,I516)="","",ws3_EU_ID_blank),IF(ISERROR(MATCH(B516,'2. Emissions Units &amp; Activities'!$B$7:$B$193,0)),ws3_matching_error_msg,G516*IF(E516="Y",1,1-F516)*INDEX('2. Emissions Units &amp; Activities'!$J$7:$J$193,MATCH(B516,'2. Emissions Units &amp; Activities'!$B$7:$B$193,0))))</f>
        <v>3.4203200000000001E-3</v>
      </c>
      <c r="M516" s="509">
        <f t="shared" si="19"/>
        <v>1.795637795090741E-5</v>
      </c>
      <c r="N516" s="284"/>
    </row>
    <row r="517" spans="1:14" ht="15.75" x14ac:dyDescent="0.25">
      <c r="A517" s="86"/>
      <c r="B517" s="508" t="s">
        <v>67</v>
      </c>
      <c r="C517" s="339" t="s">
        <v>244</v>
      </c>
      <c r="D517" s="340" t="s">
        <v>245</v>
      </c>
      <c r="E517" s="339" t="s">
        <v>214</v>
      </c>
      <c r="F517" s="341">
        <v>0</v>
      </c>
      <c r="G517" s="339">
        <v>5.3E-3</v>
      </c>
      <c r="H517" s="339" t="s">
        <v>231</v>
      </c>
      <c r="I517" s="339" t="s">
        <v>287</v>
      </c>
      <c r="J517" s="85">
        <f>IF(B517="",IF(CONCATENATE(C517,D517,E517,F517,G517,H517,I517)="","",ws3_EU_ID_blank),IF(ISERROR(MATCH(B517,'2. Emissions Units &amp; Activities'!$B$7:$B$193,0)),ws3_matching_error_msg,G517*IF(E517="Y",1,1-F517)*INDEX('2. Emissions Units &amp; Activities'!$G$7:$G$193,MATCH(B517,'2. Emissions Units &amp; Activities'!$B$7:$B$193,0))))</f>
        <v>2.7191544000000002E-2</v>
      </c>
      <c r="K517" s="85">
        <f t="shared" si="18"/>
        <v>3.911046704375723E-7</v>
      </c>
      <c r="L517" s="85">
        <f>IF(B517="",IF(CONCATENATE(C517,D517,E517,F517,G517,H517,I517)="","",ws3_EU_ID_blank),IF(ISERROR(MATCH(B517,'2. Emissions Units &amp; Activities'!$B$7:$B$193,0)),ws3_matching_error_msg,G517*IF(E517="Y",1,1-F517)*INDEX('2. Emissions Units &amp; Activities'!$J$7:$J$193,MATCH(B517,'2. Emissions Units &amp; Activities'!$B$7:$B$193,0))))</f>
        <v>9.0638480000000011E-3</v>
      </c>
      <c r="M517" s="509">
        <f t="shared" si="19"/>
        <v>4.7584401569904632E-5</v>
      </c>
      <c r="N517" s="284"/>
    </row>
    <row r="518" spans="1:14" ht="15.75" x14ac:dyDescent="0.25">
      <c r="A518" s="86"/>
      <c r="B518" s="508" t="s">
        <v>67</v>
      </c>
      <c r="C518" s="339">
        <v>365</v>
      </c>
      <c r="D518" s="340" t="s">
        <v>243</v>
      </c>
      <c r="E518" s="339" t="s">
        <v>214</v>
      </c>
      <c r="F518" s="341">
        <v>0</v>
      </c>
      <c r="G518" s="339">
        <v>3.8999999999999998E-3</v>
      </c>
      <c r="H518" s="339" t="s">
        <v>231</v>
      </c>
      <c r="I518" s="339" t="s">
        <v>287</v>
      </c>
      <c r="J518" s="85">
        <f>IF(B518="",IF(CONCATENATE(C518,D518,E518,F518,G518,H518,I518)="","",ws3_EU_ID_blank),IF(ISERROR(MATCH(B518,'2. Emissions Units &amp; Activities'!$B$7:$B$193,0)),ws3_matching_error_msg,G518*IF(E518="Y",1,1-F518)*INDEX('2. Emissions Units &amp; Activities'!$G$7:$G$193,MATCH(B518,'2. Emissions Units &amp; Activities'!$B$7:$B$193,0))))</f>
        <v>2.0008872E-2</v>
      </c>
      <c r="K518" s="85">
        <f t="shared" si="18"/>
        <v>2.8779400277481738E-7</v>
      </c>
      <c r="L518" s="85">
        <f>IF(B518="",IF(CONCATENATE(C518,D518,E518,F518,G518,H518,I518)="","",ws3_EU_ID_blank),IF(ISERROR(MATCH(B518,'2. Emissions Units &amp; Activities'!$B$7:$B$193,0)),ws3_matching_error_msg,G518*IF(E518="Y",1,1-F518)*INDEX('2. Emissions Units &amp; Activities'!$J$7:$J$193,MATCH(B518,'2. Emissions Units &amp; Activities'!$B$7:$B$193,0))))</f>
        <v>6.6696239999999999E-3</v>
      </c>
      <c r="M518" s="509">
        <f t="shared" si="19"/>
        <v>3.501493700426945E-5</v>
      </c>
      <c r="N518" s="284"/>
    </row>
    <row r="519" spans="1:14" ht="15.75" x14ac:dyDescent="0.25">
      <c r="A519" s="86"/>
      <c r="B519" s="508" t="s">
        <v>67</v>
      </c>
      <c r="C519" s="339">
        <v>401</v>
      </c>
      <c r="D519" s="340" t="s">
        <v>246</v>
      </c>
      <c r="E519" s="339" t="s">
        <v>214</v>
      </c>
      <c r="F519" s="341">
        <v>0</v>
      </c>
      <c r="G519" s="339">
        <v>4.4499999999999998E-2</v>
      </c>
      <c r="H519" s="339" t="s">
        <v>231</v>
      </c>
      <c r="I519" s="339" t="s">
        <v>287</v>
      </c>
      <c r="J519" s="85">
        <f>IF(B519="",IF(CONCATENATE(C519,D519,E519,F519,G519,H519,I519)="","",ws3_EU_ID_blank),IF(ISERROR(MATCH(B519,'2. Emissions Units &amp; Activities'!$B$7:$B$193,0)),ws3_matching_error_msg,G519*IF(E519="Y",1,1-F519)*INDEX('2. Emissions Units &amp; Activities'!$G$7:$G$193,MATCH(B519,'2. Emissions Units &amp; Activities'!$B$7:$B$193,0))))</f>
        <v>0.22830636000000001</v>
      </c>
      <c r="K519" s="85">
        <f t="shared" si="18"/>
        <v>3.2838033649947112E-6</v>
      </c>
      <c r="L519" s="85">
        <f>IF(B519="",IF(CONCATENATE(C519,D519,E519,F519,G519,H519,I519)="","",ws3_EU_ID_blank),IF(ISERROR(MATCH(B519,'2. Emissions Units &amp; Activities'!$B$7:$B$193,0)),ws3_matching_error_msg,G519*IF(E519="Y",1,1-F519)*INDEX('2. Emissions Units &amp; Activities'!$J$7:$J$193,MATCH(B519,'2. Emissions Units &amp; Activities'!$B$7:$B$193,0))))</f>
        <v>7.6102119999999995E-2</v>
      </c>
      <c r="M519" s="509">
        <f t="shared" si="19"/>
        <v>3.9952940940768985E-4</v>
      </c>
      <c r="N519" s="284"/>
    </row>
    <row r="520" spans="1:14" ht="15.75" x14ac:dyDescent="0.25">
      <c r="A520" s="86"/>
      <c r="B520" s="508" t="s">
        <v>67</v>
      </c>
      <c r="C520" s="339" t="s">
        <v>265</v>
      </c>
      <c r="D520" s="340" t="s">
        <v>266</v>
      </c>
      <c r="E520" s="339" t="s">
        <v>214</v>
      </c>
      <c r="F520" s="341">
        <v>0</v>
      </c>
      <c r="G520" s="339">
        <v>2.2000000000000001E-3</v>
      </c>
      <c r="H520" s="339" t="s">
        <v>231</v>
      </c>
      <c r="I520" s="339" t="s">
        <v>287</v>
      </c>
      <c r="J520" s="85">
        <f>IF(B520="",IF(CONCATENATE(C520,D520,E520,F520,G520,H520,I520)="","",ws3_EU_ID_blank),IF(ISERROR(MATCH(B520,'2. Emissions Units &amp; Activities'!$B$7:$B$193,0)),ws3_matching_error_msg,G520*IF(E520="Y",1,1-F520)*INDEX('2. Emissions Units &amp; Activities'!$G$7:$G$193,MATCH(B520,'2. Emissions Units &amp; Activities'!$B$7:$B$193,0))))</f>
        <v>1.1287056000000002E-2</v>
      </c>
      <c r="K520" s="85">
        <f t="shared" si="18"/>
        <v>1.6234533489861496E-7</v>
      </c>
      <c r="L520" s="85">
        <f>IF(B520="",IF(CONCATENATE(C520,D520,E520,F520,G520,H520,I520)="","",ws3_EU_ID_blank),IF(ISERROR(MATCH(B520,'2. Emissions Units &amp; Activities'!$B$7:$B$193,0)),ws3_matching_error_msg,G520*IF(E520="Y",1,1-F520)*INDEX('2. Emissions Units &amp; Activities'!$J$7:$J$193,MATCH(B520,'2. Emissions Units &amp; Activities'!$B$7:$B$193,0))))</f>
        <v>3.7623520000000005E-3</v>
      </c>
      <c r="M520" s="509">
        <f t="shared" si="19"/>
        <v>1.9752015745998154E-5</v>
      </c>
      <c r="N520" s="284"/>
    </row>
    <row r="521" spans="1:14" ht="15.75" x14ac:dyDescent="0.25">
      <c r="A521" s="86"/>
      <c r="B521" s="508" t="s">
        <v>67</v>
      </c>
      <c r="C521" s="339" t="s">
        <v>267</v>
      </c>
      <c r="D521" s="340" t="s">
        <v>268</v>
      </c>
      <c r="E521" s="339" t="s">
        <v>214</v>
      </c>
      <c r="F521" s="341">
        <v>0</v>
      </c>
      <c r="G521" s="339">
        <v>4.4000000000000003E-3</v>
      </c>
      <c r="H521" s="339" t="s">
        <v>231</v>
      </c>
      <c r="I521" s="339" t="s">
        <v>287</v>
      </c>
      <c r="J521" s="85">
        <f>IF(B521="",IF(CONCATENATE(C521,D521,E521,F521,G521,H521,I521)="","",ws3_EU_ID_blank),IF(ISERROR(MATCH(B521,'2. Emissions Units &amp; Activities'!$B$7:$B$193,0)),ws3_matching_error_msg,G521*IF(E521="Y",1,1-F521)*INDEX('2. Emissions Units &amp; Activities'!$G$7:$G$193,MATCH(B521,'2. Emissions Units &amp; Activities'!$B$7:$B$193,0))))</f>
        <v>2.2574112000000004E-2</v>
      </c>
      <c r="K521" s="85">
        <f t="shared" si="18"/>
        <v>3.2469066979722992E-7</v>
      </c>
      <c r="L521" s="85">
        <f>IF(B521="",IF(CONCATENATE(C521,D521,E521,F521,G521,H521,I521)="","",ws3_EU_ID_blank),IF(ISERROR(MATCH(B521,'2. Emissions Units &amp; Activities'!$B$7:$B$193,0)),ws3_matching_error_msg,G521*IF(E521="Y",1,1-F521)*INDEX('2. Emissions Units &amp; Activities'!$J$7:$J$193,MATCH(B521,'2. Emissions Units &amp; Activities'!$B$7:$B$193,0))))</f>
        <v>7.524704000000001E-3</v>
      </c>
      <c r="M521" s="509">
        <f t="shared" si="19"/>
        <v>3.9504031491996307E-5</v>
      </c>
      <c r="N521" s="284"/>
    </row>
    <row r="522" spans="1:14" ht="15.75" x14ac:dyDescent="0.25">
      <c r="A522" s="86"/>
      <c r="B522" s="508" t="s">
        <v>67</v>
      </c>
      <c r="C522" s="339" t="s">
        <v>269</v>
      </c>
      <c r="D522" s="340" t="s">
        <v>270</v>
      </c>
      <c r="E522" s="339" t="s">
        <v>214</v>
      </c>
      <c r="F522" s="341">
        <v>0</v>
      </c>
      <c r="G522" s="339">
        <v>1.6000000000000001E-3</v>
      </c>
      <c r="H522" s="339" t="s">
        <v>231</v>
      </c>
      <c r="I522" s="339" t="s">
        <v>287</v>
      </c>
      <c r="J522" s="85">
        <f>IF(B522="",IF(CONCATENATE(C522,D522,E522,F522,G522,H522,I522)="","",ws3_EU_ID_blank),IF(ISERROR(MATCH(B522,'2. Emissions Units &amp; Activities'!$B$7:$B$193,0)),ws3_matching_error_msg,G522*IF(E522="Y",1,1-F522)*INDEX('2. Emissions Units &amp; Activities'!$G$7:$G$193,MATCH(B522,'2. Emissions Units &amp; Activities'!$B$7:$B$193,0))))</f>
        <v>8.2087680000000017E-3</v>
      </c>
      <c r="K522" s="85">
        <f t="shared" si="18"/>
        <v>1.1806933447171996E-7</v>
      </c>
      <c r="L522" s="85">
        <f>IF(B522="",IF(CONCATENATE(C522,D522,E522,F522,G522,H522,I522)="","",ws3_EU_ID_blank),IF(ISERROR(MATCH(B522,'2. Emissions Units &amp; Activities'!$B$7:$B$193,0)),ws3_matching_error_msg,G522*IF(E522="Y",1,1-F522)*INDEX('2. Emissions Units &amp; Activities'!$J$7:$J$193,MATCH(B522,'2. Emissions Units &amp; Activities'!$B$7:$B$193,0))))</f>
        <v>2.7362560000000003E-3</v>
      </c>
      <c r="M522" s="509">
        <f t="shared" si="19"/>
        <v>1.4365102360725926E-5</v>
      </c>
      <c r="N522" s="284"/>
    </row>
    <row r="523" spans="1:14" ht="15.75" x14ac:dyDescent="0.25">
      <c r="A523" s="86"/>
      <c r="B523" s="508" t="s">
        <v>68</v>
      </c>
      <c r="C523" s="339" t="s">
        <v>233</v>
      </c>
      <c r="D523" s="340" t="s">
        <v>234</v>
      </c>
      <c r="E523" s="339" t="s">
        <v>214</v>
      </c>
      <c r="F523" s="341">
        <v>0</v>
      </c>
      <c r="G523" s="339">
        <v>1.4800000000000001E-2</v>
      </c>
      <c r="H523" s="339" t="s">
        <v>231</v>
      </c>
      <c r="I523" s="339" t="s">
        <v>287</v>
      </c>
      <c r="J523" s="85">
        <f>IF(B523="",IF(CONCATENATE(C523,D523,E523,F523,G523,H523,I523)="","",ws3_EU_ID_blank),IF(ISERROR(MATCH(B523,'2. Emissions Units &amp; Activities'!$B$7:$B$193,0)),ws3_matching_error_msg,G523*IF(E523="Y",1,1-F523)*INDEX('2. Emissions Units &amp; Activities'!$G$7:$G$193,MATCH(B523,'2. Emissions Units &amp; Activities'!$B$7:$B$193,0))))</f>
        <v>7.5931104000000013E-2</v>
      </c>
      <c r="K523" s="85">
        <f t="shared" ref="K523:K545" si="20">CONVERT(J523,"lbm","g")/8760/3600</f>
        <v>1.0921413438634097E-6</v>
      </c>
      <c r="L523" s="85">
        <f>IF(B523="",IF(CONCATENATE(C523,D523,E523,F523,G523,H523,I523)="","",ws3_EU_ID_blank),IF(ISERROR(MATCH(B523,'2. Emissions Units &amp; Activities'!$B$7:$B$193,0)),ws3_matching_error_msg,G523*IF(E523="Y",1,1-F523)*INDEX('2. Emissions Units &amp; Activities'!$J$7:$J$193,MATCH(B523,'2. Emissions Units &amp; Activities'!$B$7:$B$193,0))))</f>
        <v>2.5310368000000003E-2</v>
      </c>
      <c r="M523" s="509">
        <f t="shared" ref="M523:M545" si="21">CONVERT(L523,"lbm","g")/24/3600</f>
        <v>1.3287719683671484E-4</v>
      </c>
      <c r="N523" s="284"/>
    </row>
    <row r="524" spans="1:14" ht="15.75" x14ac:dyDescent="0.25">
      <c r="A524" s="86"/>
      <c r="B524" s="508" t="s">
        <v>68</v>
      </c>
      <c r="C524" s="339" t="s">
        <v>247</v>
      </c>
      <c r="D524" s="340" t="s">
        <v>248</v>
      </c>
      <c r="E524" s="339" t="s">
        <v>214</v>
      </c>
      <c r="F524" s="341">
        <v>0</v>
      </c>
      <c r="G524" s="339">
        <v>0.35060000000000002</v>
      </c>
      <c r="H524" s="339" t="s">
        <v>231</v>
      </c>
      <c r="I524" s="339" t="s">
        <v>287</v>
      </c>
      <c r="J524" s="85">
        <f>IF(B524="",IF(CONCATENATE(C524,D524,E524,F524,G524,H524,I524)="","",ws3_EU_ID_blank),IF(ISERROR(MATCH(B524,'2. Emissions Units &amp; Activities'!$B$7:$B$193,0)),ws3_matching_error_msg,G524*IF(E524="Y",1,1-F524)*INDEX('2. Emissions Units &amp; Activities'!$G$7:$G$193,MATCH(B524,'2. Emissions Units &amp; Activities'!$B$7:$B$193,0))))</f>
        <v>1.7987462880000002</v>
      </c>
      <c r="K524" s="85">
        <f t="shared" si="20"/>
        <v>2.5871942916115637E-5</v>
      </c>
      <c r="L524" s="85">
        <f>IF(B524="",IF(CONCATENATE(C524,D524,E524,F524,G524,H524,I524)="","",ws3_EU_ID_blank),IF(ISERROR(MATCH(B524,'2. Emissions Units &amp; Activities'!$B$7:$B$193,0)),ws3_matching_error_msg,G524*IF(E524="Y",1,1-F524)*INDEX('2. Emissions Units &amp; Activities'!$J$7:$J$193,MATCH(B524,'2. Emissions Units &amp; Activities'!$B$7:$B$193,0))))</f>
        <v>0.59958209600000012</v>
      </c>
      <c r="M524" s="509">
        <f t="shared" si="21"/>
        <v>3.1477530547940687E-3</v>
      </c>
      <c r="N524" s="284"/>
    </row>
    <row r="525" spans="1:14" ht="15.75" x14ac:dyDescent="0.25">
      <c r="A525" s="86"/>
      <c r="B525" s="508" t="s">
        <v>68</v>
      </c>
      <c r="C525" s="339" t="s">
        <v>249</v>
      </c>
      <c r="D525" s="340" t="s">
        <v>250</v>
      </c>
      <c r="E525" s="339" t="s">
        <v>214</v>
      </c>
      <c r="F525" s="341">
        <v>0</v>
      </c>
      <c r="G525" s="339">
        <v>0.35060000000000002</v>
      </c>
      <c r="H525" s="339" t="s">
        <v>231</v>
      </c>
      <c r="I525" s="339" t="s">
        <v>287</v>
      </c>
      <c r="J525" s="85">
        <f>IF(B525="",IF(CONCATENATE(C525,D525,E525,F525,G525,H525,I525)="","",ws3_EU_ID_blank),IF(ISERROR(MATCH(B525,'2. Emissions Units &amp; Activities'!$B$7:$B$193,0)),ws3_matching_error_msg,G525*IF(E525="Y",1,1-F525)*INDEX('2. Emissions Units &amp; Activities'!$G$7:$G$193,MATCH(B525,'2. Emissions Units &amp; Activities'!$B$7:$B$193,0))))</f>
        <v>1.7987462880000002</v>
      </c>
      <c r="K525" s="85">
        <f t="shared" si="20"/>
        <v>2.5871942916115637E-5</v>
      </c>
      <c r="L525" s="85">
        <f>IF(B525="",IF(CONCATENATE(C525,D525,E525,F525,G525,H525,I525)="","",ws3_EU_ID_blank),IF(ISERROR(MATCH(B525,'2. Emissions Units &amp; Activities'!$B$7:$B$193,0)),ws3_matching_error_msg,G525*IF(E525="Y",1,1-F525)*INDEX('2. Emissions Units &amp; Activities'!$J$7:$J$193,MATCH(B525,'2. Emissions Units &amp; Activities'!$B$7:$B$193,0))))</f>
        <v>0.59958209600000012</v>
      </c>
      <c r="M525" s="509">
        <f t="shared" si="21"/>
        <v>3.1477530547940687E-3</v>
      </c>
      <c r="N525" s="284"/>
    </row>
    <row r="526" spans="1:14" ht="15.75" x14ac:dyDescent="0.25">
      <c r="A526" s="86"/>
      <c r="B526" s="508" t="s">
        <v>68</v>
      </c>
      <c r="C526" s="339" t="s">
        <v>251</v>
      </c>
      <c r="D526" s="340" t="s">
        <v>252</v>
      </c>
      <c r="E526" s="339" t="s">
        <v>214</v>
      </c>
      <c r="F526" s="341">
        <v>0</v>
      </c>
      <c r="G526" s="339">
        <v>0.8</v>
      </c>
      <c r="H526" s="339" t="s">
        <v>231</v>
      </c>
      <c r="I526" s="339" t="s">
        <v>287</v>
      </c>
      <c r="J526" s="85">
        <f>IF(B526="",IF(CONCATENATE(C526,D526,E526,F526,G526,H526,I526)="","",ws3_EU_ID_blank),IF(ISERROR(MATCH(B526,'2. Emissions Units &amp; Activities'!$B$7:$B$193,0)),ws3_matching_error_msg,G526*IF(E526="Y",1,1-F526)*INDEX('2. Emissions Units &amp; Activities'!$G$7:$G$193,MATCH(B526,'2. Emissions Units &amp; Activities'!$B$7:$B$193,0))))</f>
        <v>4.1043840000000005</v>
      </c>
      <c r="K526" s="85">
        <f t="shared" si="20"/>
        <v>5.9034667235859972E-5</v>
      </c>
      <c r="L526" s="85">
        <f>IF(B526="",IF(CONCATENATE(C526,D526,E526,F526,G526,H526,I526)="","",ws3_EU_ID_blank),IF(ISERROR(MATCH(B526,'2. Emissions Units &amp; Activities'!$B$7:$B$193,0)),ws3_matching_error_msg,G526*IF(E526="Y",1,1-F526)*INDEX('2. Emissions Units &amp; Activities'!$J$7:$J$193,MATCH(B526,'2. Emissions Units &amp; Activities'!$B$7:$B$193,0))))</f>
        <v>1.3681280000000002</v>
      </c>
      <c r="M526" s="509">
        <f t="shared" si="21"/>
        <v>7.1825511803629638E-3</v>
      </c>
      <c r="N526" s="284"/>
    </row>
    <row r="527" spans="1:14" ht="15.75" x14ac:dyDescent="0.25">
      <c r="A527" s="86"/>
      <c r="B527" s="508" t="s">
        <v>68</v>
      </c>
      <c r="C527" s="339" t="s">
        <v>218</v>
      </c>
      <c r="D527" s="340" t="s">
        <v>219</v>
      </c>
      <c r="E527" s="339" t="s">
        <v>214</v>
      </c>
      <c r="F527" s="341">
        <v>0</v>
      </c>
      <c r="G527" s="339">
        <v>1.6000000000000001E-3</v>
      </c>
      <c r="H527" s="339" t="s">
        <v>231</v>
      </c>
      <c r="I527" s="339" t="s">
        <v>287</v>
      </c>
      <c r="J527" s="85">
        <f>IF(B527="",IF(CONCATENATE(C527,D527,E527,F527,G527,H527,I527)="","",ws3_EU_ID_blank),IF(ISERROR(MATCH(B527,'2. Emissions Units &amp; Activities'!$B$7:$B$193,0)),ws3_matching_error_msg,G527*IF(E527="Y",1,1-F527)*INDEX('2. Emissions Units &amp; Activities'!$G$7:$G$193,MATCH(B527,'2. Emissions Units &amp; Activities'!$B$7:$B$193,0))))</f>
        <v>8.2087680000000017E-3</v>
      </c>
      <c r="K527" s="85">
        <f t="shared" si="20"/>
        <v>1.1806933447171996E-7</v>
      </c>
      <c r="L527" s="85">
        <f>IF(B527="",IF(CONCATENATE(C527,D527,E527,F527,G527,H527,I527)="","",ws3_EU_ID_blank),IF(ISERROR(MATCH(B527,'2. Emissions Units &amp; Activities'!$B$7:$B$193,0)),ws3_matching_error_msg,G527*IF(E527="Y",1,1-F527)*INDEX('2. Emissions Units &amp; Activities'!$J$7:$J$193,MATCH(B527,'2. Emissions Units &amp; Activities'!$B$7:$B$193,0))))</f>
        <v>2.7362560000000003E-3</v>
      </c>
      <c r="M527" s="509">
        <f t="shared" si="21"/>
        <v>1.4365102360725926E-5</v>
      </c>
      <c r="N527" s="284"/>
    </row>
    <row r="528" spans="1:14" ht="15.75" x14ac:dyDescent="0.25">
      <c r="A528" s="86"/>
      <c r="B528" s="508" t="s">
        <v>68</v>
      </c>
      <c r="C528" s="339" t="s">
        <v>221</v>
      </c>
      <c r="D528" s="340" t="s">
        <v>222</v>
      </c>
      <c r="E528" s="339" t="s">
        <v>214</v>
      </c>
      <c r="F528" s="341">
        <v>0</v>
      </c>
      <c r="G528" s="339">
        <v>4.4000000000000003E-3</v>
      </c>
      <c r="H528" s="339" t="s">
        <v>231</v>
      </c>
      <c r="I528" s="339" t="s">
        <v>287</v>
      </c>
      <c r="J528" s="85">
        <f>IF(B528="",IF(CONCATENATE(C528,D528,E528,F528,G528,H528,I528)="","",ws3_EU_ID_blank),IF(ISERROR(MATCH(B528,'2. Emissions Units &amp; Activities'!$B$7:$B$193,0)),ws3_matching_error_msg,G528*IF(E528="Y",1,1-F528)*INDEX('2. Emissions Units &amp; Activities'!$G$7:$G$193,MATCH(B528,'2. Emissions Units &amp; Activities'!$B$7:$B$193,0))))</f>
        <v>2.2574112000000004E-2</v>
      </c>
      <c r="K528" s="85">
        <f t="shared" si="20"/>
        <v>3.2469066979722992E-7</v>
      </c>
      <c r="L528" s="85">
        <f>IF(B528="",IF(CONCATENATE(C528,D528,E528,F528,G528,H528,I528)="","",ws3_EU_ID_blank),IF(ISERROR(MATCH(B528,'2. Emissions Units &amp; Activities'!$B$7:$B$193,0)),ws3_matching_error_msg,G528*IF(E528="Y",1,1-F528)*INDEX('2. Emissions Units &amp; Activities'!$J$7:$J$193,MATCH(B528,'2. Emissions Units &amp; Activities'!$B$7:$B$193,0))))</f>
        <v>7.524704000000001E-3</v>
      </c>
      <c r="M528" s="509">
        <f t="shared" si="21"/>
        <v>3.9504031491996307E-5</v>
      </c>
      <c r="N528" s="284"/>
    </row>
    <row r="529" spans="1:14" ht="15.75" x14ac:dyDescent="0.25">
      <c r="A529" s="86"/>
      <c r="B529" s="508" t="s">
        <v>68</v>
      </c>
      <c r="C529" s="339" t="s">
        <v>273</v>
      </c>
      <c r="D529" s="340" t="s">
        <v>274</v>
      </c>
      <c r="E529" s="339" t="s">
        <v>214</v>
      </c>
      <c r="F529" s="341">
        <v>0</v>
      </c>
      <c r="G529" s="339">
        <v>3.5200000000000002E-5</v>
      </c>
      <c r="H529" s="339" t="s">
        <v>231</v>
      </c>
      <c r="I529" s="339" t="s">
        <v>287</v>
      </c>
      <c r="J529" s="85">
        <f>IF(B529="",IF(CONCATENATE(C529,D529,E529,F529,G529,H529,I529)="","",ws3_EU_ID_blank),IF(ISERROR(MATCH(B529,'2. Emissions Units &amp; Activities'!$B$7:$B$193,0)),ws3_matching_error_msg,G529*IF(E529="Y",1,1-F529)*INDEX('2. Emissions Units &amp; Activities'!$G$7:$G$193,MATCH(B529,'2. Emissions Units &amp; Activities'!$B$7:$B$193,0))))</f>
        <v>1.8059289600000003E-4</v>
      </c>
      <c r="K529" s="85">
        <f t="shared" si="20"/>
        <v>2.5975253583778395E-9</v>
      </c>
      <c r="L529" s="85">
        <f>IF(B529="",IF(CONCATENATE(C529,D529,E529,F529,G529,H529,I529)="","",ws3_EU_ID_blank),IF(ISERROR(MATCH(B529,'2. Emissions Units &amp; Activities'!$B$7:$B$193,0)),ws3_matching_error_msg,G529*IF(E529="Y",1,1-F529)*INDEX('2. Emissions Units &amp; Activities'!$J$7:$J$193,MATCH(B529,'2. Emissions Units &amp; Activities'!$B$7:$B$193,0))))</f>
        <v>6.0197632000000009E-5</v>
      </c>
      <c r="M529" s="509">
        <f t="shared" si="21"/>
        <v>3.1603225193597042E-7</v>
      </c>
      <c r="N529" s="284"/>
    </row>
    <row r="530" spans="1:14" ht="15.75" x14ac:dyDescent="0.25">
      <c r="A530" s="86"/>
      <c r="B530" s="508" t="s">
        <v>68</v>
      </c>
      <c r="C530" s="339" t="s">
        <v>235</v>
      </c>
      <c r="D530" s="340" t="s">
        <v>236</v>
      </c>
      <c r="E530" s="339" t="s">
        <v>214</v>
      </c>
      <c r="F530" s="341">
        <v>0</v>
      </c>
      <c r="G530" s="339">
        <v>1.5E-3</v>
      </c>
      <c r="H530" s="339" t="s">
        <v>231</v>
      </c>
      <c r="I530" s="339" t="s">
        <v>287</v>
      </c>
      <c r="J530" s="85">
        <f>IF(B530="",IF(CONCATENATE(C530,D530,E530,F530,G530,H530,I530)="","",ws3_EU_ID_blank),IF(ISERROR(MATCH(B530,'2. Emissions Units &amp; Activities'!$B$7:$B$193,0)),ws3_matching_error_msg,G530*IF(E530="Y",1,1-F530)*INDEX('2. Emissions Units &amp; Activities'!$G$7:$G$193,MATCH(B530,'2. Emissions Units &amp; Activities'!$B$7:$B$193,0))))</f>
        <v>7.6957200000000005E-3</v>
      </c>
      <c r="K530" s="85">
        <f t="shared" si="20"/>
        <v>1.1069000106723745E-7</v>
      </c>
      <c r="L530" s="85">
        <f>IF(B530="",IF(CONCATENATE(C530,D530,E530,F530,G530,H530,I530)="","",ws3_EU_ID_blank),IF(ISERROR(MATCH(B530,'2. Emissions Units &amp; Activities'!$B$7:$B$193,0)),ws3_matching_error_msg,G530*IF(E530="Y",1,1-F530)*INDEX('2. Emissions Units &amp; Activities'!$J$7:$J$193,MATCH(B530,'2. Emissions Units &amp; Activities'!$B$7:$B$193,0))))</f>
        <v>2.5652400000000003E-3</v>
      </c>
      <c r="M530" s="509">
        <f t="shared" si="21"/>
        <v>1.3467283463180557E-5</v>
      </c>
      <c r="N530" s="284"/>
    </row>
    <row r="531" spans="1:14" ht="15.75" x14ac:dyDescent="0.25">
      <c r="A531" s="86"/>
      <c r="B531" s="508" t="s">
        <v>68</v>
      </c>
      <c r="C531" s="339" t="s">
        <v>239</v>
      </c>
      <c r="D531" s="340" t="s">
        <v>240</v>
      </c>
      <c r="E531" s="339" t="s">
        <v>214</v>
      </c>
      <c r="F531" s="341">
        <v>0</v>
      </c>
      <c r="G531" s="339">
        <v>1E-4</v>
      </c>
      <c r="H531" s="339" t="s">
        <v>231</v>
      </c>
      <c r="I531" s="339" t="s">
        <v>287</v>
      </c>
      <c r="J531" s="85">
        <f>IF(B531="",IF(CONCATENATE(C531,D531,E531,F531,G531,H531,I531)="","",ws3_EU_ID_blank),IF(ISERROR(MATCH(B531,'2. Emissions Units &amp; Activities'!$B$7:$B$193,0)),ws3_matching_error_msg,G531*IF(E531="Y",1,1-F531)*INDEX('2. Emissions Units &amp; Activities'!$G$7:$G$193,MATCH(B531,'2. Emissions Units &amp; Activities'!$B$7:$B$193,0))))</f>
        <v>5.1304800000000011E-4</v>
      </c>
      <c r="K531" s="85">
        <f t="shared" si="20"/>
        <v>7.3793334044824974E-9</v>
      </c>
      <c r="L531" s="85">
        <f>IF(B531="",IF(CONCATENATE(C531,D531,E531,F531,G531,H531,I531)="","",ws3_EU_ID_blank),IF(ISERROR(MATCH(B531,'2. Emissions Units &amp; Activities'!$B$7:$B$193,0)),ws3_matching_error_msg,G531*IF(E531="Y",1,1-F531)*INDEX('2. Emissions Units &amp; Activities'!$J$7:$J$193,MATCH(B531,'2. Emissions Units &amp; Activities'!$B$7:$B$193,0))))</f>
        <v>1.7101600000000002E-4</v>
      </c>
      <c r="M531" s="509">
        <f t="shared" si="21"/>
        <v>8.9781889754537037E-7</v>
      </c>
      <c r="N531" s="284"/>
    </row>
    <row r="532" spans="1:14" ht="15.75" x14ac:dyDescent="0.25">
      <c r="A532" s="86"/>
      <c r="B532" s="508" t="s">
        <v>68</v>
      </c>
      <c r="C532" s="339" t="s">
        <v>253</v>
      </c>
      <c r="D532" s="340" t="s">
        <v>254</v>
      </c>
      <c r="E532" s="339" t="s">
        <v>214</v>
      </c>
      <c r="F532" s="341">
        <v>0</v>
      </c>
      <c r="G532" s="339">
        <v>4.1000000000000003E-3</v>
      </c>
      <c r="H532" s="339" t="s">
        <v>231</v>
      </c>
      <c r="I532" s="339" t="s">
        <v>287</v>
      </c>
      <c r="J532" s="85">
        <f>IF(B532="",IF(CONCATENATE(C532,D532,E532,F532,G532,H532,I532)="","",ws3_EU_ID_blank),IF(ISERROR(MATCH(B532,'2. Emissions Units &amp; Activities'!$B$7:$B$193,0)),ws3_matching_error_msg,G532*IF(E532="Y",1,1-F532)*INDEX('2. Emissions Units &amp; Activities'!$G$7:$G$193,MATCH(B532,'2. Emissions Units &amp; Activities'!$B$7:$B$193,0))))</f>
        <v>2.1034968000000005E-2</v>
      </c>
      <c r="K532" s="85">
        <f t="shared" si="20"/>
        <v>3.0255266958378243E-7</v>
      </c>
      <c r="L532" s="85">
        <f>IF(B532="",IF(CONCATENATE(C532,D532,E532,F532,G532,H532,I532)="","",ws3_EU_ID_blank),IF(ISERROR(MATCH(B532,'2. Emissions Units &amp; Activities'!$B$7:$B$193,0)),ws3_matching_error_msg,G532*IF(E532="Y",1,1-F532)*INDEX('2. Emissions Units &amp; Activities'!$J$7:$J$193,MATCH(B532,'2. Emissions Units &amp; Activities'!$B$7:$B$193,0))))</f>
        <v>7.0116560000000015E-3</v>
      </c>
      <c r="M532" s="509">
        <f t="shared" si="21"/>
        <v>3.681057479936019E-5</v>
      </c>
      <c r="N532" s="284"/>
    </row>
    <row r="533" spans="1:14" ht="15.75" x14ac:dyDescent="0.25">
      <c r="A533" s="86"/>
      <c r="B533" s="508" t="s">
        <v>68</v>
      </c>
      <c r="C533" s="339" t="s">
        <v>255</v>
      </c>
      <c r="D533" s="340" t="s">
        <v>256</v>
      </c>
      <c r="E533" s="339" t="s">
        <v>214</v>
      </c>
      <c r="F533" s="341">
        <v>0</v>
      </c>
      <c r="G533" s="339">
        <v>2.0000000000000001E-4</v>
      </c>
      <c r="H533" s="339" t="s">
        <v>231</v>
      </c>
      <c r="I533" s="339" t="s">
        <v>287</v>
      </c>
      <c r="J533" s="85">
        <f>IF(B533="",IF(CONCATENATE(C533,D533,E533,F533,G533,H533,I533)="","",ws3_EU_ID_blank),IF(ISERROR(MATCH(B533,'2. Emissions Units &amp; Activities'!$B$7:$B$193,0)),ws3_matching_error_msg,G533*IF(E533="Y",1,1-F533)*INDEX('2. Emissions Units &amp; Activities'!$G$7:$G$193,MATCH(B533,'2. Emissions Units &amp; Activities'!$B$7:$B$193,0))))</f>
        <v>1.0260960000000002E-3</v>
      </c>
      <c r="K533" s="85">
        <f t="shared" si="20"/>
        <v>1.4758666808964995E-8</v>
      </c>
      <c r="L533" s="85">
        <f>IF(B533="",IF(CONCATENATE(C533,D533,E533,F533,G533,H533,I533)="","",ws3_EU_ID_blank),IF(ISERROR(MATCH(B533,'2. Emissions Units &amp; Activities'!$B$7:$B$193,0)),ws3_matching_error_msg,G533*IF(E533="Y",1,1-F533)*INDEX('2. Emissions Units &amp; Activities'!$J$7:$J$193,MATCH(B533,'2. Emissions Units &amp; Activities'!$B$7:$B$193,0))))</f>
        <v>3.4203200000000003E-4</v>
      </c>
      <c r="M533" s="509">
        <f t="shared" si="21"/>
        <v>1.7956377950907407E-6</v>
      </c>
      <c r="N533" s="284"/>
    </row>
    <row r="534" spans="1:14" ht="15.75" x14ac:dyDescent="0.25">
      <c r="A534" s="86"/>
      <c r="B534" s="508" t="s">
        <v>68</v>
      </c>
      <c r="C534" s="339" t="s">
        <v>237</v>
      </c>
      <c r="D534" s="340" t="s">
        <v>238</v>
      </c>
      <c r="E534" s="339" t="s">
        <v>214</v>
      </c>
      <c r="F534" s="341">
        <v>0</v>
      </c>
      <c r="G534" s="339">
        <v>0.35060000000000002</v>
      </c>
      <c r="H534" s="339" t="s">
        <v>231</v>
      </c>
      <c r="I534" s="339" t="s">
        <v>287</v>
      </c>
      <c r="J534" s="85">
        <f>IF(B534="",IF(CONCATENATE(C534,D534,E534,F534,G534,H534,I534)="","",ws3_EU_ID_blank),IF(ISERROR(MATCH(B534,'2. Emissions Units &amp; Activities'!$B$7:$B$193,0)),ws3_matching_error_msg,G534*IF(E534="Y",1,1-F534)*INDEX('2. Emissions Units &amp; Activities'!$G$7:$G$193,MATCH(B534,'2. Emissions Units &amp; Activities'!$B$7:$B$193,0))))</f>
        <v>1.7987462880000002</v>
      </c>
      <c r="K534" s="85">
        <f t="shared" si="20"/>
        <v>2.5871942916115637E-5</v>
      </c>
      <c r="L534" s="85">
        <f>IF(B534="",IF(CONCATENATE(C534,D534,E534,F534,G534,H534,I534)="","",ws3_EU_ID_blank),IF(ISERROR(MATCH(B534,'2. Emissions Units &amp; Activities'!$B$7:$B$193,0)),ws3_matching_error_msg,G534*IF(E534="Y",1,1-F534)*INDEX('2. Emissions Units &amp; Activities'!$J$7:$J$193,MATCH(B534,'2. Emissions Units &amp; Activities'!$B$7:$B$193,0))))</f>
        <v>0.59958209600000012</v>
      </c>
      <c r="M534" s="509">
        <f t="shared" si="21"/>
        <v>3.1477530547940687E-3</v>
      </c>
      <c r="N534" s="284"/>
    </row>
    <row r="535" spans="1:14" ht="15.75" x14ac:dyDescent="0.25">
      <c r="A535" s="86"/>
      <c r="B535" s="508" t="s">
        <v>68</v>
      </c>
      <c r="C535" s="339" t="s">
        <v>257</v>
      </c>
      <c r="D535" s="340" t="s">
        <v>258</v>
      </c>
      <c r="E535" s="339" t="s">
        <v>214</v>
      </c>
      <c r="F535" s="341">
        <v>0</v>
      </c>
      <c r="G535" s="339">
        <v>3.5000000000000001E-3</v>
      </c>
      <c r="H535" s="339" t="s">
        <v>231</v>
      </c>
      <c r="I535" s="339" t="s">
        <v>287</v>
      </c>
      <c r="J535" s="85">
        <f>IF(B535="",IF(CONCATENATE(C535,D535,E535,F535,G535,H535,I535)="","",ws3_EU_ID_blank),IF(ISERROR(MATCH(B535,'2. Emissions Units &amp; Activities'!$B$7:$B$193,0)),ws3_matching_error_msg,G535*IF(E535="Y",1,1-F535)*INDEX('2. Emissions Units &amp; Activities'!$G$7:$G$193,MATCH(B535,'2. Emissions Units &amp; Activities'!$B$7:$B$193,0))))</f>
        <v>1.7956680000000003E-2</v>
      </c>
      <c r="K535" s="85">
        <f t="shared" si="20"/>
        <v>2.5827666915688744E-7</v>
      </c>
      <c r="L535" s="85">
        <f>IF(B535="",IF(CONCATENATE(C535,D535,E535,F535,G535,H535,I535)="","",ws3_EU_ID_blank),IF(ISERROR(MATCH(B535,'2. Emissions Units &amp; Activities'!$B$7:$B$193,0)),ws3_matching_error_msg,G535*IF(E535="Y",1,1-F535)*INDEX('2. Emissions Units &amp; Activities'!$J$7:$J$193,MATCH(B535,'2. Emissions Units &amp; Activities'!$B$7:$B$193,0))))</f>
        <v>5.9855600000000009E-3</v>
      </c>
      <c r="M535" s="509">
        <f t="shared" si="21"/>
        <v>3.1423661414087969E-5</v>
      </c>
      <c r="N535" s="284"/>
    </row>
    <row r="536" spans="1:14" ht="15.75" x14ac:dyDescent="0.25">
      <c r="A536" s="86"/>
      <c r="B536" s="508" t="s">
        <v>68</v>
      </c>
      <c r="C536" s="339" t="s">
        <v>259</v>
      </c>
      <c r="D536" s="340" t="s">
        <v>260</v>
      </c>
      <c r="E536" s="339" t="s">
        <v>214</v>
      </c>
      <c r="F536" s="341">
        <v>0</v>
      </c>
      <c r="G536" s="339">
        <v>0.18629999999999999</v>
      </c>
      <c r="H536" s="339" t="s">
        <v>231</v>
      </c>
      <c r="I536" s="339" t="s">
        <v>287</v>
      </c>
      <c r="J536" s="85">
        <f>IF(B536="",IF(CONCATENATE(C536,D536,E536,F536,G536,H536,I536)="","",ws3_EU_ID_blank),IF(ISERROR(MATCH(B536,'2. Emissions Units &amp; Activities'!$B$7:$B$193,0)),ws3_matching_error_msg,G536*IF(E536="Y",1,1-F536)*INDEX('2. Emissions Units &amp; Activities'!$G$7:$G$193,MATCH(B536,'2. Emissions Units &amp; Activities'!$B$7:$B$193,0))))</f>
        <v>0.95580842399999999</v>
      </c>
      <c r="K536" s="85">
        <f t="shared" si="20"/>
        <v>1.374769813255089E-5</v>
      </c>
      <c r="L536" s="85">
        <f>IF(B536="",IF(CONCATENATE(C536,D536,E536,F536,G536,H536,I536)="","",ws3_EU_ID_blank),IF(ISERROR(MATCH(B536,'2. Emissions Units &amp; Activities'!$B$7:$B$193,0)),ws3_matching_error_msg,G536*IF(E536="Y",1,1-F536)*INDEX('2. Emissions Units &amp; Activities'!$J$7:$J$193,MATCH(B536,'2. Emissions Units &amp; Activities'!$B$7:$B$193,0))))</f>
        <v>0.31860280800000002</v>
      </c>
      <c r="M536" s="509">
        <f t="shared" si="21"/>
        <v>1.672636606127025E-3</v>
      </c>
      <c r="N536" s="284"/>
    </row>
    <row r="537" spans="1:14" ht="15.75" x14ac:dyDescent="0.25">
      <c r="A537" s="86"/>
      <c r="B537" s="508" t="s">
        <v>68</v>
      </c>
      <c r="C537" s="339" t="s">
        <v>241</v>
      </c>
      <c r="D537" s="340" t="s">
        <v>242</v>
      </c>
      <c r="E537" s="339" t="s">
        <v>214</v>
      </c>
      <c r="F537" s="341">
        <v>0</v>
      </c>
      <c r="G537" s="339">
        <v>8.3000000000000001E-3</v>
      </c>
      <c r="H537" s="339" t="s">
        <v>231</v>
      </c>
      <c r="I537" s="339" t="s">
        <v>287</v>
      </c>
      <c r="J537" s="85">
        <f>IF(B537="",IF(CONCATENATE(C537,D537,E537,F537,G537,H537,I537)="","",ws3_EU_ID_blank),IF(ISERROR(MATCH(B537,'2. Emissions Units &amp; Activities'!$B$7:$B$193,0)),ws3_matching_error_msg,G537*IF(E537="Y",1,1-F537)*INDEX('2. Emissions Units &amp; Activities'!$G$7:$G$193,MATCH(B537,'2. Emissions Units &amp; Activities'!$B$7:$B$193,0))))</f>
        <v>4.2582984000000004E-2</v>
      </c>
      <c r="K537" s="85">
        <f t="shared" si="20"/>
        <v>6.1248467257204735E-7</v>
      </c>
      <c r="L537" s="85">
        <f>IF(B537="",IF(CONCATENATE(C537,D537,E537,F537,G537,H537,I537)="","",ws3_EU_ID_blank),IF(ISERROR(MATCH(B537,'2. Emissions Units &amp; Activities'!$B$7:$B$193,0)),ws3_matching_error_msg,G537*IF(E537="Y",1,1-F537)*INDEX('2. Emissions Units &amp; Activities'!$J$7:$J$193,MATCH(B537,'2. Emissions Units &amp; Activities'!$B$7:$B$193,0))))</f>
        <v>1.4194328000000001E-2</v>
      </c>
      <c r="M537" s="509">
        <f t="shared" si="21"/>
        <v>7.451896849626575E-5</v>
      </c>
      <c r="N537" s="284"/>
    </row>
    <row r="538" spans="1:14" ht="15.75" x14ac:dyDescent="0.25">
      <c r="A538" s="86"/>
      <c r="B538" s="508" t="s">
        <v>68</v>
      </c>
      <c r="C538" s="339" t="s">
        <v>261</v>
      </c>
      <c r="D538" s="340" t="s">
        <v>262</v>
      </c>
      <c r="E538" s="339" t="s">
        <v>214</v>
      </c>
      <c r="F538" s="341">
        <v>0</v>
      </c>
      <c r="G538" s="339">
        <v>3.0999999999999999E-3</v>
      </c>
      <c r="H538" s="339" t="s">
        <v>231</v>
      </c>
      <c r="I538" s="339" t="s">
        <v>287</v>
      </c>
      <c r="J538" s="85">
        <f>IF(B538="",IF(CONCATENATE(C538,D538,E538,F538,G538,H538,I538)="","",ws3_EU_ID_blank),IF(ISERROR(MATCH(B538,'2. Emissions Units &amp; Activities'!$B$7:$B$193,0)),ws3_matching_error_msg,G538*IF(E538="Y",1,1-F538)*INDEX('2. Emissions Units &amp; Activities'!$G$7:$G$193,MATCH(B538,'2. Emissions Units &amp; Activities'!$B$7:$B$193,0))))</f>
        <v>1.5904488000000001E-2</v>
      </c>
      <c r="K538" s="85">
        <f t="shared" si="20"/>
        <v>2.2875933553895739E-7</v>
      </c>
      <c r="L538" s="85">
        <f>IF(B538="",IF(CONCATENATE(C538,D538,E538,F538,G538,H538,I538)="","",ws3_EU_ID_blank),IF(ISERROR(MATCH(B538,'2. Emissions Units &amp; Activities'!$B$7:$B$193,0)),ws3_matching_error_msg,G538*IF(E538="Y",1,1-F538)*INDEX('2. Emissions Units &amp; Activities'!$J$7:$J$193,MATCH(B538,'2. Emissions Units &amp; Activities'!$B$7:$B$193,0))))</f>
        <v>5.3014960000000002E-3</v>
      </c>
      <c r="M538" s="509">
        <f t="shared" si="21"/>
        <v>2.7832385823906482E-5</v>
      </c>
      <c r="N538" s="284"/>
    </row>
    <row r="539" spans="1:14" ht="15.75" x14ac:dyDescent="0.25">
      <c r="A539" s="86"/>
      <c r="B539" s="508" t="s">
        <v>68</v>
      </c>
      <c r="C539" s="339" t="s">
        <v>263</v>
      </c>
      <c r="D539" s="340" t="s">
        <v>264</v>
      </c>
      <c r="E539" s="339" t="s">
        <v>214</v>
      </c>
      <c r="F539" s="341">
        <v>0</v>
      </c>
      <c r="G539" s="339">
        <v>2E-3</v>
      </c>
      <c r="H539" s="339" t="s">
        <v>231</v>
      </c>
      <c r="I539" s="339" t="s">
        <v>287</v>
      </c>
      <c r="J539" s="85">
        <f>IF(B539="",IF(CONCATENATE(C539,D539,E539,F539,G539,H539,I539)="","",ws3_EU_ID_blank),IF(ISERROR(MATCH(B539,'2. Emissions Units &amp; Activities'!$B$7:$B$193,0)),ws3_matching_error_msg,G539*IF(E539="Y",1,1-F539)*INDEX('2. Emissions Units &amp; Activities'!$G$7:$G$193,MATCH(B539,'2. Emissions Units &amp; Activities'!$B$7:$B$193,0))))</f>
        <v>1.0260960000000001E-2</v>
      </c>
      <c r="K539" s="85">
        <f t="shared" si="20"/>
        <v>1.4758666808964996E-7</v>
      </c>
      <c r="L539" s="85">
        <f>IF(B539="",IF(CONCATENATE(C539,D539,E539,F539,G539,H539,I539)="","",ws3_EU_ID_blank),IF(ISERROR(MATCH(B539,'2. Emissions Units &amp; Activities'!$B$7:$B$193,0)),ws3_matching_error_msg,G539*IF(E539="Y",1,1-F539)*INDEX('2. Emissions Units &amp; Activities'!$J$7:$J$193,MATCH(B539,'2. Emissions Units &amp; Activities'!$B$7:$B$193,0))))</f>
        <v>3.4203200000000001E-3</v>
      </c>
      <c r="M539" s="509">
        <f t="shared" si="21"/>
        <v>1.795637795090741E-5</v>
      </c>
      <c r="N539" s="284"/>
    </row>
    <row r="540" spans="1:14" ht="15.75" x14ac:dyDescent="0.25">
      <c r="A540" s="86"/>
      <c r="B540" s="508" t="s">
        <v>68</v>
      </c>
      <c r="C540" s="339" t="s">
        <v>244</v>
      </c>
      <c r="D540" s="340" t="s">
        <v>245</v>
      </c>
      <c r="E540" s="339" t="s">
        <v>214</v>
      </c>
      <c r="F540" s="341">
        <v>0</v>
      </c>
      <c r="G540" s="339">
        <v>5.3E-3</v>
      </c>
      <c r="H540" s="339" t="s">
        <v>231</v>
      </c>
      <c r="I540" s="339" t="s">
        <v>287</v>
      </c>
      <c r="J540" s="85">
        <f>IF(B540="",IF(CONCATENATE(C540,D540,E540,F540,G540,H540,I540)="","",ws3_EU_ID_blank),IF(ISERROR(MATCH(B540,'2. Emissions Units &amp; Activities'!$B$7:$B$193,0)),ws3_matching_error_msg,G540*IF(E540="Y",1,1-F540)*INDEX('2. Emissions Units &amp; Activities'!$G$7:$G$193,MATCH(B540,'2. Emissions Units &amp; Activities'!$B$7:$B$193,0))))</f>
        <v>2.7191544000000002E-2</v>
      </c>
      <c r="K540" s="85">
        <f t="shared" si="20"/>
        <v>3.911046704375723E-7</v>
      </c>
      <c r="L540" s="85">
        <f>IF(B540="",IF(CONCATENATE(C540,D540,E540,F540,G540,H540,I540)="","",ws3_EU_ID_blank),IF(ISERROR(MATCH(B540,'2. Emissions Units &amp; Activities'!$B$7:$B$193,0)),ws3_matching_error_msg,G540*IF(E540="Y",1,1-F540)*INDEX('2. Emissions Units &amp; Activities'!$J$7:$J$193,MATCH(B540,'2. Emissions Units &amp; Activities'!$B$7:$B$193,0))))</f>
        <v>9.0638480000000011E-3</v>
      </c>
      <c r="M540" s="509">
        <f t="shared" si="21"/>
        <v>4.7584401569904632E-5</v>
      </c>
      <c r="N540" s="284"/>
    </row>
    <row r="541" spans="1:14" ht="15.75" x14ac:dyDescent="0.25">
      <c r="A541" s="86"/>
      <c r="B541" s="508" t="s">
        <v>68</v>
      </c>
      <c r="C541" s="339">
        <v>365</v>
      </c>
      <c r="D541" s="340" t="s">
        <v>243</v>
      </c>
      <c r="E541" s="339" t="s">
        <v>214</v>
      </c>
      <c r="F541" s="341">
        <v>0</v>
      </c>
      <c r="G541" s="339">
        <v>3.8999999999999998E-3</v>
      </c>
      <c r="H541" s="339" t="s">
        <v>231</v>
      </c>
      <c r="I541" s="339" t="s">
        <v>287</v>
      </c>
      <c r="J541" s="85">
        <f>IF(B541="",IF(CONCATENATE(C541,D541,E541,F541,G541,H541,I541)="","",ws3_EU_ID_blank),IF(ISERROR(MATCH(B541,'2. Emissions Units &amp; Activities'!$B$7:$B$193,0)),ws3_matching_error_msg,G541*IF(E541="Y",1,1-F541)*INDEX('2. Emissions Units &amp; Activities'!$G$7:$G$193,MATCH(B541,'2. Emissions Units &amp; Activities'!$B$7:$B$193,0))))</f>
        <v>2.0008872E-2</v>
      </c>
      <c r="K541" s="85">
        <f t="shared" si="20"/>
        <v>2.8779400277481738E-7</v>
      </c>
      <c r="L541" s="85">
        <f>IF(B541="",IF(CONCATENATE(C541,D541,E541,F541,G541,H541,I541)="","",ws3_EU_ID_blank),IF(ISERROR(MATCH(B541,'2. Emissions Units &amp; Activities'!$B$7:$B$193,0)),ws3_matching_error_msg,G541*IF(E541="Y",1,1-F541)*INDEX('2. Emissions Units &amp; Activities'!$J$7:$J$193,MATCH(B541,'2. Emissions Units &amp; Activities'!$B$7:$B$193,0))))</f>
        <v>6.6696239999999999E-3</v>
      </c>
      <c r="M541" s="509">
        <f t="shared" si="21"/>
        <v>3.501493700426945E-5</v>
      </c>
      <c r="N541" s="284"/>
    </row>
    <row r="542" spans="1:14" ht="15.75" x14ac:dyDescent="0.25">
      <c r="A542" s="86"/>
      <c r="B542" s="508" t="s">
        <v>68</v>
      </c>
      <c r="C542" s="339">
        <v>401</v>
      </c>
      <c r="D542" s="340" t="s">
        <v>246</v>
      </c>
      <c r="E542" s="339" t="s">
        <v>214</v>
      </c>
      <c r="F542" s="341">
        <v>0</v>
      </c>
      <c r="G542" s="339">
        <v>4.4499999999999998E-2</v>
      </c>
      <c r="H542" s="339" t="s">
        <v>231</v>
      </c>
      <c r="I542" s="339" t="s">
        <v>287</v>
      </c>
      <c r="J542" s="85">
        <f>IF(B542="",IF(CONCATENATE(C542,D542,E542,F542,G542,H542,I542)="","",ws3_EU_ID_blank),IF(ISERROR(MATCH(B542,'2. Emissions Units &amp; Activities'!$B$7:$B$193,0)),ws3_matching_error_msg,G542*IF(E542="Y",1,1-F542)*INDEX('2. Emissions Units &amp; Activities'!$G$7:$G$193,MATCH(B542,'2. Emissions Units &amp; Activities'!$B$7:$B$193,0))))</f>
        <v>0.22830636000000001</v>
      </c>
      <c r="K542" s="85">
        <f t="shared" si="20"/>
        <v>3.2838033649947112E-6</v>
      </c>
      <c r="L542" s="85">
        <f>IF(B542="",IF(CONCATENATE(C542,D542,E542,F542,G542,H542,I542)="","",ws3_EU_ID_blank),IF(ISERROR(MATCH(B542,'2. Emissions Units &amp; Activities'!$B$7:$B$193,0)),ws3_matching_error_msg,G542*IF(E542="Y",1,1-F542)*INDEX('2. Emissions Units &amp; Activities'!$J$7:$J$193,MATCH(B542,'2. Emissions Units &amp; Activities'!$B$7:$B$193,0))))</f>
        <v>7.6102119999999995E-2</v>
      </c>
      <c r="M542" s="509">
        <f t="shared" si="21"/>
        <v>3.9952940940768985E-4</v>
      </c>
      <c r="N542" s="284"/>
    </row>
    <row r="543" spans="1:14" ht="15.75" x14ac:dyDescent="0.25">
      <c r="A543" s="86"/>
      <c r="B543" s="508" t="s">
        <v>68</v>
      </c>
      <c r="C543" s="339" t="s">
        <v>265</v>
      </c>
      <c r="D543" s="340" t="s">
        <v>266</v>
      </c>
      <c r="E543" s="339" t="s">
        <v>214</v>
      </c>
      <c r="F543" s="341">
        <v>0</v>
      </c>
      <c r="G543" s="339">
        <v>2.2000000000000001E-3</v>
      </c>
      <c r="H543" s="339" t="s">
        <v>231</v>
      </c>
      <c r="I543" s="339" t="s">
        <v>287</v>
      </c>
      <c r="J543" s="85">
        <f>IF(B543="",IF(CONCATENATE(C543,D543,E543,F543,G543,H543,I543)="","",ws3_EU_ID_blank),IF(ISERROR(MATCH(B543,'2. Emissions Units &amp; Activities'!$B$7:$B$193,0)),ws3_matching_error_msg,G543*IF(E543="Y",1,1-F543)*INDEX('2. Emissions Units &amp; Activities'!$G$7:$G$193,MATCH(B543,'2. Emissions Units &amp; Activities'!$B$7:$B$193,0))))</f>
        <v>1.1287056000000002E-2</v>
      </c>
      <c r="K543" s="85">
        <f t="shared" si="20"/>
        <v>1.6234533489861496E-7</v>
      </c>
      <c r="L543" s="85">
        <f>IF(B543="",IF(CONCATENATE(C543,D543,E543,F543,G543,H543,I543)="","",ws3_EU_ID_blank),IF(ISERROR(MATCH(B543,'2. Emissions Units &amp; Activities'!$B$7:$B$193,0)),ws3_matching_error_msg,G543*IF(E543="Y",1,1-F543)*INDEX('2. Emissions Units &amp; Activities'!$J$7:$J$193,MATCH(B543,'2. Emissions Units &amp; Activities'!$B$7:$B$193,0))))</f>
        <v>3.7623520000000005E-3</v>
      </c>
      <c r="M543" s="509">
        <f t="shared" si="21"/>
        <v>1.9752015745998154E-5</v>
      </c>
      <c r="N543" s="284"/>
    </row>
    <row r="544" spans="1:14" ht="15.75" x14ac:dyDescent="0.25">
      <c r="A544" s="86"/>
      <c r="B544" s="508" t="s">
        <v>68</v>
      </c>
      <c r="C544" s="339" t="s">
        <v>267</v>
      </c>
      <c r="D544" s="340" t="s">
        <v>268</v>
      </c>
      <c r="E544" s="339" t="s">
        <v>214</v>
      </c>
      <c r="F544" s="341">
        <v>0</v>
      </c>
      <c r="G544" s="339">
        <v>4.4000000000000003E-3</v>
      </c>
      <c r="H544" s="339" t="s">
        <v>231</v>
      </c>
      <c r="I544" s="339" t="s">
        <v>287</v>
      </c>
      <c r="J544" s="85">
        <f>IF(B544="",IF(CONCATENATE(C544,D544,E544,F544,G544,H544,I544)="","",ws3_EU_ID_blank),IF(ISERROR(MATCH(B544,'2. Emissions Units &amp; Activities'!$B$7:$B$193,0)),ws3_matching_error_msg,G544*IF(E544="Y",1,1-F544)*INDEX('2. Emissions Units &amp; Activities'!$G$7:$G$193,MATCH(B544,'2. Emissions Units &amp; Activities'!$B$7:$B$193,0))))</f>
        <v>2.2574112000000004E-2</v>
      </c>
      <c r="K544" s="85">
        <f t="shared" si="20"/>
        <v>3.2469066979722992E-7</v>
      </c>
      <c r="L544" s="85">
        <f>IF(B544="",IF(CONCATENATE(C544,D544,E544,F544,G544,H544,I544)="","",ws3_EU_ID_blank),IF(ISERROR(MATCH(B544,'2. Emissions Units &amp; Activities'!$B$7:$B$193,0)),ws3_matching_error_msg,G544*IF(E544="Y",1,1-F544)*INDEX('2. Emissions Units &amp; Activities'!$J$7:$J$193,MATCH(B544,'2. Emissions Units &amp; Activities'!$B$7:$B$193,0))))</f>
        <v>7.524704000000001E-3</v>
      </c>
      <c r="M544" s="509">
        <f t="shared" si="21"/>
        <v>3.9504031491996307E-5</v>
      </c>
      <c r="N544" s="284"/>
    </row>
    <row r="545" spans="1:14" ht="15.75" x14ac:dyDescent="0.25">
      <c r="A545" s="86"/>
      <c r="B545" s="508" t="s">
        <v>68</v>
      </c>
      <c r="C545" s="339" t="s">
        <v>269</v>
      </c>
      <c r="D545" s="340" t="s">
        <v>270</v>
      </c>
      <c r="E545" s="339" t="s">
        <v>214</v>
      </c>
      <c r="F545" s="341">
        <v>0</v>
      </c>
      <c r="G545" s="339">
        <v>1.6000000000000001E-3</v>
      </c>
      <c r="H545" s="339" t="s">
        <v>231</v>
      </c>
      <c r="I545" s="339" t="s">
        <v>287</v>
      </c>
      <c r="J545" s="85">
        <f>IF(B545="",IF(CONCATENATE(C545,D545,E545,F545,G545,H545,I545)="","",ws3_EU_ID_blank),IF(ISERROR(MATCH(B545,'2. Emissions Units &amp; Activities'!$B$7:$B$193,0)),ws3_matching_error_msg,G545*IF(E545="Y",1,1-F545)*INDEX('2. Emissions Units &amp; Activities'!$G$7:$G$193,MATCH(B545,'2. Emissions Units &amp; Activities'!$B$7:$B$193,0))))</f>
        <v>8.2087680000000017E-3</v>
      </c>
      <c r="K545" s="85">
        <f t="shared" si="20"/>
        <v>1.1806933447171996E-7</v>
      </c>
      <c r="L545" s="85">
        <f>IF(B545="",IF(CONCATENATE(C545,D545,E545,F545,G545,H545,I545)="","",ws3_EU_ID_blank),IF(ISERROR(MATCH(B545,'2. Emissions Units &amp; Activities'!$B$7:$B$193,0)),ws3_matching_error_msg,G545*IF(E545="Y",1,1-F545)*INDEX('2. Emissions Units &amp; Activities'!$J$7:$J$193,MATCH(B545,'2. Emissions Units &amp; Activities'!$B$7:$B$193,0))))</f>
        <v>2.7362560000000003E-3</v>
      </c>
      <c r="M545" s="509">
        <f t="shared" si="21"/>
        <v>1.4365102360725926E-5</v>
      </c>
      <c r="N545" s="284"/>
    </row>
    <row r="546" spans="1:14" ht="15.75" x14ac:dyDescent="0.25">
      <c r="A546" s="86"/>
      <c r="B546" s="508" t="s">
        <v>72</v>
      </c>
      <c r="C546" s="339" t="s">
        <v>221</v>
      </c>
      <c r="D546" s="340" t="s">
        <v>222</v>
      </c>
      <c r="E546" s="339" t="s">
        <v>214</v>
      </c>
      <c r="F546" s="341">
        <v>0</v>
      </c>
      <c r="G546" s="339">
        <v>8.0000000000000002E-3</v>
      </c>
      <c r="H546" s="339" t="s">
        <v>223</v>
      </c>
      <c r="I546" s="339" t="s">
        <v>288</v>
      </c>
      <c r="J546" s="85">
        <f>IF(B546="",IF(CONCATENATE(C546,D546,E546,F546,G546,H546,I546)="","",ws3_EU_ID_blank),IF(ISERROR(MATCH(B546,'2. Emissions Units &amp; Activities'!$B$7:$B$193,0)),ws3_matching_error_msg,G546*IF(E546="Y",1,1-F546)*INDEX('2. Emissions Units &amp; Activities'!$G$7:$G$193,MATCH(B546,'2. Emissions Units &amp; Activities'!$B$7:$B$193,0))))</f>
        <v>0.20611764705882354</v>
      </c>
      <c r="K546" s="85">
        <f t="shared" si="10"/>
        <v>2.9646560130718955E-6</v>
      </c>
      <c r="L546" s="85">
        <f>IF(B546="",IF(CONCATENATE(C546,D546,E546,F546,G546,H546,I546)="","",ws3_EU_ID_blank),IF(ISERROR(MATCH(B546,'2. Emissions Units &amp; Activities'!$B$7:$B$193,0)),ws3_matching_error_msg,G546*IF(E546="Y",1,1-F546)*INDEX('2. Emissions Units &amp; Activities'!$J$7:$J$193,MATCH(B546,'2. Emissions Units &amp; Activities'!$B$7:$B$193,0))))</f>
        <v>5.6470588235294113E-4</v>
      </c>
      <c r="M546" s="509">
        <f t="shared" si="11"/>
        <v>2.9646560130718955E-6</v>
      </c>
      <c r="N546" s="284"/>
    </row>
    <row r="547" spans="1:14" ht="15.75" x14ac:dyDescent="0.25">
      <c r="A547" s="86"/>
      <c r="B547" s="508" t="s">
        <v>72</v>
      </c>
      <c r="C547" s="339" t="s">
        <v>237</v>
      </c>
      <c r="D547" s="340" t="s">
        <v>238</v>
      </c>
      <c r="E547" s="339" t="s">
        <v>214</v>
      </c>
      <c r="F547" s="341">
        <v>0</v>
      </c>
      <c r="G547" s="339">
        <v>1.7000000000000001E-2</v>
      </c>
      <c r="H547" s="339" t="s">
        <v>223</v>
      </c>
      <c r="I547" s="339" t="s">
        <v>288</v>
      </c>
      <c r="J547" s="85">
        <f>IF(B547="",IF(CONCATENATE(C547,D547,E547,F547,G547,H547,I547)="","",ws3_EU_ID_blank),IF(ISERROR(MATCH(B547,'2. Emissions Units &amp; Activities'!$B$7:$B$193,0)),ws3_matching_error_msg,G547*IF(E547="Y",1,1-F547)*INDEX('2. Emissions Units &amp; Activities'!$G$7:$G$193,MATCH(B547,'2. Emissions Units &amp; Activities'!$B$7:$B$193,0))))</f>
        <v>0.43800000000000006</v>
      </c>
      <c r="K547" s="85">
        <f t="shared" si="10"/>
        <v>6.2998940277777779E-6</v>
      </c>
      <c r="L547" s="85">
        <f>IF(B547="",IF(CONCATENATE(C547,D547,E547,F547,G547,H547,I547)="","",ws3_EU_ID_blank),IF(ISERROR(MATCH(B547,'2. Emissions Units &amp; Activities'!$B$7:$B$193,0)),ws3_matching_error_msg,G547*IF(E547="Y",1,1-F547)*INDEX('2. Emissions Units &amp; Activities'!$J$7:$J$193,MATCH(B547,'2. Emissions Units &amp; Activities'!$B$7:$B$193,0))))</f>
        <v>1.2000000000000001E-3</v>
      </c>
      <c r="M547" s="509">
        <f t="shared" si="11"/>
        <v>6.2998940277777779E-6</v>
      </c>
      <c r="N547" s="284"/>
    </row>
    <row r="548" spans="1:14" ht="15.75" x14ac:dyDescent="0.25">
      <c r="A548" s="86"/>
      <c r="B548" s="508" t="s">
        <v>72</v>
      </c>
      <c r="C548" s="339">
        <v>401</v>
      </c>
      <c r="D548" s="340" t="s">
        <v>246</v>
      </c>
      <c r="E548" s="339" t="s">
        <v>214</v>
      </c>
      <c r="F548" s="341">
        <v>0</v>
      </c>
      <c r="G548" s="339">
        <v>1E-4</v>
      </c>
      <c r="H548" s="339" t="s">
        <v>223</v>
      </c>
      <c r="I548" s="339" t="s">
        <v>288</v>
      </c>
      <c r="J548" s="85">
        <f>IF(B548="",IF(CONCATENATE(C548,D548,E548,F548,G548,H548,I548)="","",ws3_EU_ID_blank),IF(ISERROR(MATCH(B548,'2. Emissions Units &amp; Activities'!$B$7:$B$193,0)),ws3_matching_error_msg,G548*IF(E548="Y",1,1-F548)*INDEX('2. Emissions Units &amp; Activities'!$G$7:$G$193,MATCH(B548,'2. Emissions Units &amp; Activities'!$B$7:$B$193,0))))</f>
        <v>2.5764705882352942E-3</v>
      </c>
      <c r="K548" s="85">
        <f t="shared" si="10"/>
        <v>3.7058200163398695E-8</v>
      </c>
      <c r="L548" s="85">
        <f>IF(B548="",IF(CONCATENATE(C548,D548,E548,F548,G548,H548,I548)="","",ws3_EU_ID_blank),IF(ISERROR(MATCH(B548,'2. Emissions Units &amp; Activities'!$B$7:$B$193,0)),ws3_matching_error_msg,G548*IF(E548="Y",1,1-F548)*INDEX('2. Emissions Units &amp; Activities'!$J$7:$J$193,MATCH(B548,'2. Emissions Units &amp; Activities'!$B$7:$B$193,0))))</f>
        <v>7.0588235294117649E-6</v>
      </c>
      <c r="M548" s="509">
        <f t="shared" si="11"/>
        <v>3.7058200163398695E-8</v>
      </c>
      <c r="N548" s="284"/>
    </row>
    <row r="549" spans="1:14" ht="15.75" x14ac:dyDescent="0.25">
      <c r="A549" s="86"/>
      <c r="B549" s="508" t="s">
        <v>72</v>
      </c>
      <c r="C549" s="339" t="s">
        <v>244</v>
      </c>
      <c r="D549" s="340" t="s">
        <v>245</v>
      </c>
      <c r="E549" s="339" t="s">
        <v>214</v>
      </c>
      <c r="F549" s="341">
        <v>0</v>
      </c>
      <c r="G549" s="339">
        <v>2.9999999999999997E-4</v>
      </c>
      <c r="H549" s="339" t="s">
        <v>223</v>
      </c>
      <c r="I549" s="339" t="s">
        <v>288</v>
      </c>
      <c r="J549" s="85">
        <f>IF(B549="",IF(CONCATENATE(C549,D549,E549,F549,G549,H549,I549)="","",ws3_EU_ID_blank),IF(ISERROR(MATCH(B549,'2. Emissions Units &amp; Activities'!$B$7:$B$193,0)),ws3_matching_error_msg,G549*IF(E549="Y",1,1-F549)*INDEX('2. Emissions Units &amp; Activities'!$G$7:$G$193,MATCH(B549,'2. Emissions Units &amp; Activities'!$B$7:$B$193,0))))</f>
        <v>7.7294117647058822E-3</v>
      </c>
      <c r="K549" s="85">
        <f t="shared" si="10"/>
        <v>1.1117460049019606E-7</v>
      </c>
      <c r="L549" s="85">
        <f>IF(B549="",IF(CONCATENATE(C549,D549,E549,F549,G549,H549,I549)="","",ws3_EU_ID_blank),IF(ISERROR(MATCH(B549,'2. Emissions Units &amp; Activities'!$B$7:$B$193,0)),ws3_matching_error_msg,G549*IF(E549="Y",1,1-F549)*INDEX('2. Emissions Units &amp; Activities'!$J$7:$J$193,MATCH(B549,'2. Emissions Units &amp; Activities'!$B$7:$B$193,0))))</f>
        <v>2.1176470588235292E-5</v>
      </c>
      <c r="M549" s="509">
        <f t="shared" si="11"/>
        <v>1.1117460049019606E-7</v>
      </c>
      <c r="N549" s="284"/>
    </row>
    <row r="550" spans="1:14" ht="15.75" x14ac:dyDescent="0.25">
      <c r="A550" s="86"/>
      <c r="B550" s="508" t="s">
        <v>72</v>
      </c>
      <c r="C550" s="339" t="s">
        <v>247</v>
      </c>
      <c r="D550" s="340" t="s">
        <v>248</v>
      </c>
      <c r="E550" s="339" t="s">
        <v>214</v>
      </c>
      <c r="F550" s="341">
        <v>0</v>
      </c>
      <c r="G550" s="339">
        <v>4.3E-3</v>
      </c>
      <c r="H550" s="339" t="s">
        <v>223</v>
      </c>
      <c r="I550" s="339" t="s">
        <v>288</v>
      </c>
      <c r="J550" s="85">
        <f>IF(B550="",IF(CONCATENATE(C550,D550,E550,F550,G550,H550,I550)="","",ws3_EU_ID_blank),IF(ISERROR(MATCH(B550,'2. Emissions Units &amp; Activities'!$B$7:$B$193,0)),ws3_matching_error_msg,G550*IF(E550="Y",1,1-F550)*INDEX('2. Emissions Units &amp; Activities'!$G$7:$G$193,MATCH(B550,'2. Emissions Units &amp; Activities'!$B$7:$B$193,0))))</f>
        <v>0.11078823529411765</v>
      </c>
      <c r="K550" s="85">
        <f t="shared" si="10"/>
        <v>1.5935026070261438E-6</v>
      </c>
      <c r="L550" s="85">
        <f>IF(B550="",IF(CONCATENATE(C550,D550,E550,F550,G550,H550,I550)="","",ws3_EU_ID_blank),IF(ISERROR(MATCH(B550,'2. Emissions Units &amp; Activities'!$B$7:$B$193,0)),ws3_matching_error_msg,G550*IF(E550="Y",1,1-F550)*INDEX('2. Emissions Units &amp; Activities'!$J$7:$J$193,MATCH(B550,'2. Emissions Units &amp; Activities'!$B$7:$B$193,0))))</f>
        <v>3.0352941176470586E-4</v>
      </c>
      <c r="M550" s="509">
        <f t="shared" si="11"/>
        <v>1.5935026070261436E-6</v>
      </c>
      <c r="N550" s="284"/>
    </row>
    <row r="551" spans="1:14" ht="15.75" x14ac:dyDescent="0.25">
      <c r="A551" s="86"/>
      <c r="B551" s="508" t="s">
        <v>72</v>
      </c>
      <c r="C551" s="339" t="s">
        <v>249</v>
      </c>
      <c r="D551" s="340" t="s">
        <v>250</v>
      </c>
      <c r="E551" s="339" t="s">
        <v>214</v>
      </c>
      <c r="F551" s="341">
        <v>0</v>
      </c>
      <c r="G551" s="339">
        <v>2.7000000000000001E-3</v>
      </c>
      <c r="H551" s="339" t="s">
        <v>223</v>
      </c>
      <c r="I551" s="339" t="s">
        <v>288</v>
      </c>
      <c r="J551" s="85">
        <f>IF(B551="",IF(CONCATENATE(C551,D551,E551,F551,G551,H551,I551)="","",ws3_EU_ID_blank),IF(ISERROR(MATCH(B551,'2. Emissions Units &amp; Activities'!$B$7:$B$193,0)),ws3_matching_error_msg,G551*IF(E551="Y",1,1-F551)*INDEX('2. Emissions Units &amp; Activities'!$G$7:$G$193,MATCH(B551,'2. Emissions Units &amp; Activities'!$B$7:$B$193,0))))</f>
        <v>6.9564705882352945E-2</v>
      </c>
      <c r="K551" s="85">
        <f t="shared" si="10"/>
        <v>1.0005714044117648E-6</v>
      </c>
      <c r="L551" s="85">
        <f>IF(B551="",IF(CONCATENATE(C551,D551,E551,F551,G551,H551,I551)="","",ws3_EU_ID_blank),IF(ISERROR(MATCH(B551,'2. Emissions Units &amp; Activities'!$B$7:$B$193,0)),ws3_matching_error_msg,G551*IF(E551="Y",1,1-F551)*INDEX('2. Emissions Units &amp; Activities'!$J$7:$J$193,MATCH(B551,'2. Emissions Units &amp; Activities'!$B$7:$B$193,0))))</f>
        <v>1.9058823529411766E-4</v>
      </c>
      <c r="M551" s="509">
        <f t="shared" si="11"/>
        <v>1.0005714044117648E-6</v>
      </c>
      <c r="N551" s="284"/>
    </row>
    <row r="552" spans="1:14" ht="15.75" x14ac:dyDescent="0.25">
      <c r="A552" s="86"/>
      <c r="B552" s="508" t="s">
        <v>72</v>
      </c>
      <c r="C552" s="339" t="s">
        <v>251</v>
      </c>
      <c r="D552" s="340" t="s">
        <v>252</v>
      </c>
      <c r="E552" s="339" t="s">
        <v>214</v>
      </c>
      <c r="F552" s="341">
        <v>0</v>
      </c>
      <c r="G552" s="339">
        <v>3.2</v>
      </c>
      <c r="H552" s="339" t="s">
        <v>223</v>
      </c>
      <c r="I552" s="339" t="s">
        <v>288</v>
      </c>
      <c r="J552" s="85">
        <f>IF(B552="",IF(CONCATENATE(C552,D552,E552,F552,G552,H552,I552)="","",ws3_EU_ID_blank),IF(ISERROR(MATCH(B552,'2. Emissions Units &amp; Activities'!$B$7:$B$193,0)),ws3_matching_error_msg,G552*IF(E552="Y",1,1-F552)*INDEX('2. Emissions Units &amp; Activities'!$G$7:$G$193,MATCH(B552,'2. Emissions Units &amp; Activities'!$B$7:$B$193,0))))</f>
        <v>82.447058823529417</v>
      </c>
      <c r="K552" s="85">
        <f t="shared" si="10"/>
        <v>1.1858624052287583E-3</v>
      </c>
      <c r="L552" s="85">
        <f>IF(B552="",IF(CONCATENATE(C552,D552,E552,F552,G552,H552,I552)="","",ws3_EU_ID_blank),IF(ISERROR(MATCH(B552,'2. Emissions Units &amp; Activities'!$B$7:$B$193,0)),ws3_matching_error_msg,G552*IF(E552="Y",1,1-F552)*INDEX('2. Emissions Units &amp; Activities'!$J$7:$J$193,MATCH(B552,'2. Emissions Units &amp; Activities'!$B$7:$B$193,0))))</f>
        <v>0.22588235294117648</v>
      </c>
      <c r="M552" s="509">
        <f t="shared" si="11"/>
        <v>1.1858624052287583E-3</v>
      </c>
      <c r="N552" s="284"/>
    </row>
    <row r="553" spans="1:14" ht="15.75" x14ac:dyDescent="0.25">
      <c r="A553" s="86"/>
      <c r="B553" s="508" t="s">
        <v>72</v>
      </c>
      <c r="C553" s="339" t="s">
        <v>218</v>
      </c>
      <c r="D553" s="340" t="s">
        <v>219</v>
      </c>
      <c r="E553" s="339" t="s">
        <v>214</v>
      </c>
      <c r="F553" s="341">
        <v>0</v>
      </c>
      <c r="G553" s="339">
        <v>2.0000000000000001E-4</v>
      </c>
      <c r="H553" s="339" t="s">
        <v>223</v>
      </c>
      <c r="I553" s="339" t="s">
        <v>288</v>
      </c>
      <c r="J553" s="85">
        <f>IF(B553="",IF(CONCATENATE(C553,D553,E553,F553,G553,H553,I553)="","",ws3_EU_ID_blank),IF(ISERROR(MATCH(B553,'2. Emissions Units &amp; Activities'!$B$7:$B$193,0)),ws3_matching_error_msg,G553*IF(E553="Y",1,1-F553)*INDEX('2. Emissions Units &amp; Activities'!$G$7:$G$193,MATCH(B553,'2. Emissions Units &amp; Activities'!$B$7:$B$193,0))))</f>
        <v>5.1529411764705884E-3</v>
      </c>
      <c r="K553" s="85">
        <f t="shared" si="10"/>
        <v>7.411640032679739E-8</v>
      </c>
      <c r="L553" s="85">
        <f>IF(B553="",IF(CONCATENATE(C553,D553,E553,F553,G553,H553,I553)="","",ws3_EU_ID_blank),IF(ISERROR(MATCH(B553,'2. Emissions Units &amp; Activities'!$B$7:$B$193,0)),ws3_matching_error_msg,G553*IF(E553="Y",1,1-F553)*INDEX('2. Emissions Units &amp; Activities'!$J$7:$J$193,MATCH(B553,'2. Emissions Units &amp; Activities'!$B$7:$B$193,0))))</f>
        <v>1.411764705882353E-5</v>
      </c>
      <c r="M553" s="509">
        <f t="shared" si="11"/>
        <v>7.411640032679739E-8</v>
      </c>
      <c r="N553" s="284"/>
    </row>
    <row r="554" spans="1:14" ht="15.75" x14ac:dyDescent="0.25">
      <c r="A554" s="86"/>
      <c r="B554" s="508" t="s">
        <v>72</v>
      </c>
      <c r="C554" s="339" t="s">
        <v>275</v>
      </c>
      <c r="D554" s="340" t="s">
        <v>276</v>
      </c>
      <c r="E554" s="339" t="s">
        <v>214</v>
      </c>
      <c r="F554" s="341">
        <v>0</v>
      </c>
      <c r="G554" s="339">
        <v>4.4000000000000003E-3</v>
      </c>
      <c r="H554" s="339" t="s">
        <v>223</v>
      </c>
      <c r="I554" s="339" t="s">
        <v>288</v>
      </c>
      <c r="J554" s="85">
        <f>IF(B554="",IF(CONCATENATE(C554,D554,E554,F554,G554,H554,I554)="","",ws3_EU_ID_blank),IF(ISERROR(MATCH(B554,'2. Emissions Units &amp; Activities'!$B$7:$B$193,0)),ws3_matching_error_msg,G554*IF(E554="Y",1,1-F554)*INDEX('2. Emissions Units &amp; Activities'!$G$7:$G$193,MATCH(B554,'2. Emissions Units &amp; Activities'!$B$7:$B$193,0))))</f>
        <v>0.11336470588235295</v>
      </c>
      <c r="K554" s="85">
        <f t="shared" si="10"/>
        <v>1.6305608071895428E-6</v>
      </c>
      <c r="L554" s="85">
        <f>IF(B554="",IF(CONCATENATE(C554,D554,E554,F554,G554,H554,I554)="","",ws3_EU_ID_blank),IF(ISERROR(MATCH(B554,'2. Emissions Units &amp; Activities'!$B$7:$B$193,0)),ws3_matching_error_msg,G554*IF(E554="Y",1,1-F554)*INDEX('2. Emissions Units &amp; Activities'!$J$7:$J$193,MATCH(B554,'2. Emissions Units &amp; Activities'!$B$7:$B$193,0))))</f>
        <v>3.1058823529411767E-4</v>
      </c>
      <c r="M554" s="509">
        <f t="shared" si="11"/>
        <v>1.6305608071895428E-6</v>
      </c>
      <c r="N554" s="284"/>
    </row>
    <row r="555" spans="1:14" ht="15.75" x14ac:dyDescent="0.25">
      <c r="A555" s="86"/>
      <c r="B555" s="508" t="s">
        <v>72</v>
      </c>
      <c r="C555" s="339" t="s">
        <v>277</v>
      </c>
      <c r="D555" s="340" t="s">
        <v>278</v>
      </c>
      <c r="E555" s="339" t="s">
        <v>214</v>
      </c>
      <c r="F555" s="341">
        <v>0</v>
      </c>
      <c r="G555" s="339">
        <v>1.2E-5</v>
      </c>
      <c r="H555" s="339" t="s">
        <v>223</v>
      </c>
      <c r="I555" s="339" t="s">
        <v>288</v>
      </c>
      <c r="J555" s="85">
        <f>IF(B555="",IF(CONCATENATE(C555,D555,E555,F555,G555,H555,I555)="","",ws3_EU_ID_blank),IF(ISERROR(MATCH(B555,'2. Emissions Units &amp; Activities'!$B$7:$B$193,0)),ws3_matching_error_msg,G555*IF(E555="Y",1,1-F555)*INDEX('2. Emissions Units &amp; Activities'!$G$7:$G$193,MATCH(B555,'2. Emissions Units &amp; Activities'!$B$7:$B$193,0))))</f>
        <v>3.091764705882353E-4</v>
      </c>
      <c r="K555" s="85">
        <f t="shared" si="10"/>
        <v>4.4469840196078432E-9</v>
      </c>
      <c r="L555" s="85">
        <f>IF(B555="",IF(CONCATENATE(C555,D555,E555,F555,G555,H555,I555)="","",ws3_EU_ID_blank),IF(ISERROR(MATCH(B555,'2. Emissions Units &amp; Activities'!$B$7:$B$193,0)),ws3_matching_error_msg,G555*IF(E555="Y",1,1-F555)*INDEX('2. Emissions Units &amp; Activities'!$J$7:$J$193,MATCH(B555,'2. Emissions Units &amp; Activities'!$B$7:$B$193,0))))</f>
        <v>8.4705882352941183E-7</v>
      </c>
      <c r="M555" s="509">
        <f t="shared" si="11"/>
        <v>4.4469840196078432E-9</v>
      </c>
      <c r="N555" s="284"/>
    </row>
    <row r="556" spans="1:14" ht="15.75" x14ac:dyDescent="0.25">
      <c r="A556" s="86"/>
      <c r="B556" s="508" t="s">
        <v>72</v>
      </c>
      <c r="C556" s="339" t="s">
        <v>235</v>
      </c>
      <c r="D556" s="340" t="s">
        <v>236</v>
      </c>
      <c r="E556" s="339" t="s">
        <v>214</v>
      </c>
      <c r="F556" s="341">
        <v>0</v>
      </c>
      <c r="G556" s="339">
        <v>1.1000000000000001E-3</v>
      </c>
      <c r="H556" s="339" t="s">
        <v>223</v>
      </c>
      <c r="I556" s="339" t="s">
        <v>288</v>
      </c>
      <c r="J556" s="85">
        <f>IF(B556="",IF(CONCATENATE(C556,D556,E556,F556,G556,H556,I556)="","",ws3_EU_ID_blank),IF(ISERROR(MATCH(B556,'2. Emissions Units &amp; Activities'!$B$7:$B$193,0)),ws3_matching_error_msg,G556*IF(E556="Y",1,1-F556)*INDEX('2. Emissions Units &amp; Activities'!$G$7:$G$193,MATCH(B556,'2. Emissions Units &amp; Activities'!$B$7:$B$193,0))))</f>
        <v>2.8341176470588238E-2</v>
      </c>
      <c r="K556" s="85">
        <f t="shared" si="10"/>
        <v>4.076402017973857E-7</v>
      </c>
      <c r="L556" s="85">
        <f>IF(B556="",IF(CONCATENATE(C556,D556,E556,F556,G556,H556,I556)="","",ws3_EU_ID_blank),IF(ISERROR(MATCH(B556,'2. Emissions Units &amp; Activities'!$B$7:$B$193,0)),ws3_matching_error_msg,G556*IF(E556="Y",1,1-F556)*INDEX('2. Emissions Units &amp; Activities'!$J$7:$J$193,MATCH(B556,'2. Emissions Units &amp; Activities'!$B$7:$B$193,0))))</f>
        <v>7.7647058823529419E-5</v>
      </c>
      <c r="M556" s="509">
        <f t="shared" si="11"/>
        <v>4.076402017973857E-7</v>
      </c>
      <c r="N556" s="284"/>
    </row>
    <row r="557" spans="1:14" ht="15.75" x14ac:dyDescent="0.25">
      <c r="A557" s="86"/>
      <c r="B557" s="508" t="s">
        <v>72</v>
      </c>
      <c r="C557" s="339" t="s">
        <v>239</v>
      </c>
      <c r="D557" s="340" t="s">
        <v>240</v>
      </c>
      <c r="E557" s="339" t="s">
        <v>214</v>
      </c>
      <c r="F557" s="341">
        <v>0</v>
      </c>
      <c r="G557" s="339">
        <v>1.4E-3</v>
      </c>
      <c r="H557" s="339" t="s">
        <v>223</v>
      </c>
      <c r="I557" s="339" t="s">
        <v>288</v>
      </c>
      <c r="J557" s="85">
        <f>IF(B557="",IF(CONCATENATE(C557,D557,E557,F557,G557,H557,I557)="","",ws3_EU_ID_blank),IF(ISERROR(MATCH(B557,'2. Emissions Units &amp; Activities'!$B$7:$B$193,0)),ws3_matching_error_msg,G557*IF(E557="Y",1,1-F557)*INDEX('2. Emissions Units &amp; Activities'!$G$7:$G$193,MATCH(B557,'2. Emissions Units &amp; Activities'!$B$7:$B$193,0))))</f>
        <v>3.6070588235294118E-2</v>
      </c>
      <c r="K557" s="85">
        <f t="shared" si="10"/>
        <v>5.1881480228758169E-7</v>
      </c>
      <c r="L557" s="85">
        <f>IF(B557="",IF(CONCATENATE(C557,D557,E557,F557,G557,H557,I557)="","",ws3_EU_ID_blank),IF(ISERROR(MATCH(B557,'2. Emissions Units &amp; Activities'!$B$7:$B$193,0)),ws3_matching_error_msg,G557*IF(E557="Y",1,1-F557)*INDEX('2. Emissions Units &amp; Activities'!$J$7:$J$193,MATCH(B557,'2. Emissions Units &amp; Activities'!$B$7:$B$193,0))))</f>
        <v>9.8823529411764697E-5</v>
      </c>
      <c r="M557" s="509">
        <f t="shared" si="11"/>
        <v>5.1881480228758169E-7</v>
      </c>
      <c r="N557" s="284"/>
    </row>
    <row r="558" spans="1:14" ht="15.75" x14ac:dyDescent="0.25">
      <c r="A558" s="86"/>
      <c r="B558" s="508" t="s">
        <v>72</v>
      </c>
      <c r="C558" s="339" t="s">
        <v>279</v>
      </c>
      <c r="D558" s="340" t="s">
        <v>280</v>
      </c>
      <c r="E558" s="339" t="s">
        <v>214</v>
      </c>
      <c r="F558" s="341">
        <v>0</v>
      </c>
      <c r="G558" s="339">
        <v>8.3999999999999995E-5</v>
      </c>
      <c r="H558" s="339" t="s">
        <v>223</v>
      </c>
      <c r="I558" s="339" t="s">
        <v>288</v>
      </c>
      <c r="J558" s="85">
        <f>IF(B558="",IF(CONCATENATE(C558,D558,E558,F558,G558,H558,I558)="","",ws3_EU_ID_blank),IF(ISERROR(MATCH(B558,'2. Emissions Units &amp; Activities'!$B$7:$B$193,0)),ws3_matching_error_msg,G558*IF(E558="Y",1,1-F558)*INDEX('2. Emissions Units &amp; Activities'!$G$7:$G$193,MATCH(B558,'2. Emissions Units &amp; Activities'!$B$7:$B$193,0))))</f>
        <v>2.1642352941176469E-3</v>
      </c>
      <c r="K558" s="85">
        <f t="shared" si="10"/>
        <v>3.1128888137254897E-8</v>
      </c>
      <c r="L558" s="85">
        <f>IF(B558="",IF(CONCATENATE(C558,D558,E558,F558,G558,H558,I558)="","",ws3_EU_ID_blank),IF(ISERROR(MATCH(B558,'2. Emissions Units &amp; Activities'!$B$7:$B$193,0)),ws3_matching_error_msg,G558*IF(E558="Y",1,1-F558)*INDEX('2. Emissions Units &amp; Activities'!$J$7:$J$193,MATCH(B558,'2. Emissions Units &amp; Activities'!$B$7:$B$193,0))))</f>
        <v>5.9294117647058819E-6</v>
      </c>
      <c r="M558" s="509">
        <f t="shared" si="11"/>
        <v>3.1128888137254904E-8</v>
      </c>
      <c r="N558" s="284"/>
    </row>
    <row r="559" spans="1:14" ht="15.75" x14ac:dyDescent="0.25">
      <c r="A559" s="86"/>
      <c r="B559" s="508" t="s">
        <v>72</v>
      </c>
      <c r="C559" s="339" t="s">
        <v>253</v>
      </c>
      <c r="D559" s="340" t="s">
        <v>254</v>
      </c>
      <c r="E559" s="339" t="s">
        <v>214</v>
      </c>
      <c r="F559" s="341">
        <v>0</v>
      </c>
      <c r="G559" s="339">
        <v>8.4999999999999995E-4</v>
      </c>
      <c r="H559" s="339" t="s">
        <v>223</v>
      </c>
      <c r="I559" s="339" t="s">
        <v>288</v>
      </c>
      <c r="J559" s="85">
        <f>IF(B559="",IF(CONCATENATE(C559,D559,E559,F559,G559,H559,I559)="","",ws3_EU_ID_blank),IF(ISERROR(MATCH(B559,'2. Emissions Units &amp; Activities'!$B$7:$B$193,0)),ws3_matching_error_msg,G559*IF(E559="Y",1,1-F559)*INDEX('2. Emissions Units &amp; Activities'!$G$7:$G$193,MATCH(B559,'2. Emissions Units &amp; Activities'!$B$7:$B$193,0))))</f>
        <v>2.1899999999999999E-2</v>
      </c>
      <c r="K559" s="85">
        <f t="shared" si="10"/>
        <v>3.1499470138888886E-7</v>
      </c>
      <c r="L559" s="85">
        <f>IF(B559="",IF(CONCATENATE(C559,D559,E559,F559,G559,H559,I559)="","",ws3_EU_ID_blank),IF(ISERROR(MATCH(B559,'2. Emissions Units &amp; Activities'!$B$7:$B$193,0)),ws3_matching_error_msg,G559*IF(E559="Y",1,1-F559)*INDEX('2. Emissions Units &amp; Activities'!$J$7:$J$193,MATCH(B559,'2. Emissions Units &amp; Activities'!$B$7:$B$193,0))))</f>
        <v>5.9999999999999995E-5</v>
      </c>
      <c r="M559" s="509">
        <f t="shared" si="11"/>
        <v>3.1499470138888886E-7</v>
      </c>
      <c r="N559" s="284"/>
    </row>
    <row r="560" spans="1:14" ht="15.75" x14ac:dyDescent="0.25">
      <c r="A560" s="86"/>
      <c r="B560" s="508" t="s">
        <v>72</v>
      </c>
      <c r="C560" s="339" t="s">
        <v>255</v>
      </c>
      <c r="D560" s="340" t="s">
        <v>256</v>
      </c>
      <c r="E560" s="339" t="s">
        <v>214</v>
      </c>
      <c r="F560" s="341">
        <v>0</v>
      </c>
      <c r="G560" s="339">
        <v>9.4999999999999998E-3</v>
      </c>
      <c r="H560" s="339" t="s">
        <v>223</v>
      </c>
      <c r="I560" s="339" t="s">
        <v>288</v>
      </c>
      <c r="J560" s="85">
        <f>IF(B560="",IF(CONCATENATE(C560,D560,E560,F560,G560,H560,I560)="","",ws3_EU_ID_blank),IF(ISERROR(MATCH(B560,'2. Emissions Units &amp; Activities'!$B$7:$B$193,0)),ws3_matching_error_msg,G560*IF(E560="Y",1,1-F560)*INDEX('2. Emissions Units &amp; Activities'!$G$7:$G$193,MATCH(B560,'2. Emissions Units &amp; Activities'!$B$7:$B$193,0))))</f>
        <v>0.24476470588235294</v>
      </c>
      <c r="K560" s="85">
        <f t="shared" si="10"/>
        <v>3.5205290155228763E-6</v>
      </c>
      <c r="L560" s="85">
        <f>IF(B560="",IF(CONCATENATE(C560,D560,E560,F560,G560,H560,I560)="","",ws3_EU_ID_blank),IF(ISERROR(MATCH(B560,'2. Emissions Units &amp; Activities'!$B$7:$B$193,0)),ws3_matching_error_msg,G560*IF(E560="Y",1,1-F560)*INDEX('2. Emissions Units &amp; Activities'!$J$7:$J$193,MATCH(B560,'2. Emissions Units &amp; Activities'!$B$7:$B$193,0))))</f>
        <v>6.7058823529411759E-4</v>
      </c>
      <c r="M560" s="509">
        <f t="shared" si="11"/>
        <v>3.5205290155228755E-6</v>
      </c>
      <c r="N560" s="284"/>
    </row>
    <row r="561" spans="1:14" ht="15.75" x14ac:dyDescent="0.25">
      <c r="A561" s="86"/>
      <c r="B561" s="508" t="s">
        <v>72</v>
      </c>
      <c r="C561" s="339" t="s">
        <v>257</v>
      </c>
      <c r="D561" s="340" t="s">
        <v>258</v>
      </c>
      <c r="E561" s="339" t="s">
        <v>214</v>
      </c>
      <c r="F561" s="341">
        <v>0</v>
      </c>
      <c r="G561" s="339">
        <v>6.3E-3</v>
      </c>
      <c r="H561" s="339" t="s">
        <v>223</v>
      </c>
      <c r="I561" s="339" t="s">
        <v>288</v>
      </c>
      <c r="J561" s="85">
        <f>IF(B561="",IF(CONCATENATE(C561,D561,E561,F561,G561,H561,I561)="","",ws3_EU_ID_blank),IF(ISERROR(MATCH(B561,'2. Emissions Units &amp; Activities'!$B$7:$B$193,0)),ws3_matching_error_msg,G561*IF(E561="Y",1,1-F561)*INDEX('2. Emissions Units &amp; Activities'!$G$7:$G$193,MATCH(B561,'2. Emissions Units &amp; Activities'!$B$7:$B$193,0))))</f>
        <v>0.16231764705882354</v>
      </c>
      <c r="K561" s="85">
        <f t="shared" si="10"/>
        <v>2.3346666102941179E-6</v>
      </c>
      <c r="L561" s="85">
        <f>IF(B561="",IF(CONCATENATE(C561,D561,E561,F561,G561,H561,I561)="","",ws3_EU_ID_blank),IF(ISERROR(MATCH(B561,'2. Emissions Units &amp; Activities'!$B$7:$B$193,0)),ws3_matching_error_msg,G561*IF(E561="Y",1,1-F561)*INDEX('2. Emissions Units &amp; Activities'!$J$7:$J$193,MATCH(B561,'2. Emissions Units &amp; Activities'!$B$7:$B$193,0))))</f>
        <v>4.4470588235294119E-4</v>
      </c>
      <c r="M561" s="509">
        <f t="shared" si="11"/>
        <v>2.3346666102941179E-6</v>
      </c>
      <c r="N561" s="284"/>
    </row>
    <row r="562" spans="1:14" ht="15.75" x14ac:dyDescent="0.25">
      <c r="A562" s="86"/>
      <c r="B562" s="508" t="s">
        <v>72</v>
      </c>
      <c r="C562" s="339" t="s">
        <v>241</v>
      </c>
      <c r="D562" s="340" t="s">
        <v>242</v>
      </c>
      <c r="E562" s="339" t="s">
        <v>214</v>
      </c>
      <c r="F562" s="341">
        <v>0</v>
      </c>
      <c r="G562" s="339">
        <v>5.0000000000000001E-4</v>
      </c>
      <c r="H562" s="339" t="s">
        <v>223</v>
      </c>
      <c r="I562" s="339" t="s">
        <v>288</v>
      </c>
      <c r="J562" s="85">
        <f>IF(B562="",IF(CONCATENATE(C562,D562,E562,F562,G562,H562,I562)="","",ws3_EU_ID_blank),IF(ISERROR(MATCH(B562,'2. Emissions Units &amp; Activities'!$B$7:$B$193,0)),ws3_matching_error_msg,G562*IF(E562="Y",1,1-F562)*INDEX('2. Emissions Units &amp; Activities'!$G$7:$G$193,MATCH(B562,'2. Emissions Units &amp; Activities'!$B$7:$B$193,0))))</f>
        <v>1.2882352941176472E-2</v>
      </c>
      <c r="K562" s="85">
        <f t="shared" si="10"/>
        <v>1.8529100081699347E-7</v>
      </c>
      <c r="L562" s="85">
        <f>IF(B562="",IF(CONCATENATE(C562,D562,E562,F562,G562,H562,I562)="","",ws3_EU_ID_blank),IF(ISERROR(MATCH(B562,'2. Emissions Units &amp; Activities'!$B$7:$B$193,0)),ws3_matching_error_msg,G562*IF(E562="Y",1,1-F562)*INDEX('2. Emissions Units &amp; Activities'!$J$7:$J$193,MATCH(B562,'2. Emissions Units &amp; Activities'!$B$7:$B$193,0))))</f>
        <v>3.529411764705882E-5</v>
      </c>
      <c r="M562" s="509">
        <f t="shared" si="11"/>
        <v>1.8529100081699347E-7</v>
      </c>
      <c r="N562" s="284"/>
    </row>
    <row r="563" spans="1:14" ht="15.75" x14ac:dyDescent="0.25">
      <c r="A563" s="86"/>
      <c r="B563" s="508" t="s">
        <v>72</v>
      </c>
      <c r="C563" s="339" t="s">
        <v>261</v>
      </c>
      <c r="D563" s="340" t="s">
        <v>262</v>
      </c>
      <c r="E563" s="339" t="s">
        <v>214</v>
      </c>
      <c r="F563" s="341">
        <v>0</v>
      </c>
      <c r="G563" s="339">
        <v>3.8000000000000002E-4</v>
      </c>
      <c r="H563" s="339" t="s">
        <v>223</v>
      </c>
      <c r="I563" s="339" t="s">
        <v>288</v>
      </c>
      <c r="J563" s="85">
        <f>IF(B563="",IF(CONCATENATE(C563,D563,E563,F563,G563,H563,I563)="","",ws3_EU_ID_blank),IF(ISERROR(MATCH(B563,'2. Emissions Units &amp; Activities'!$B$7:$B$193,0)),ws3_matching_error_msg,G563*IF(E563="Y",1,1-F563)*INDEX('2. Emissions Units &amp; Activities'!$G$7:$G$193,MATCH(B563,'2. Emissions Units &amp; Activities'!$B$7:$B$193,0))))</f>
        <v>9.7905882352941186E-3</v>
      </c>
      <c r="K563" s="85">
        <f t="shared" si="10"/>
        <v>1.4082116062091505E-7</v>
      </c>
      <c r="L563" s="85">
        <f>IF(B563="",IF(CONCATENATE(C563,D563,E563,F563,G563,H563,I563)="","",ws3_EU_ID_blank),IF(ISERROR(MATCH(B563,'2. Emissions Units &amp; Activities'!$B$7:$B$193,0)),ws3_matching_error_msg,G563*IF(E563="Y",1,1-F563)*INDEX('2. Emissions Units &amp; Activities'!$J$7:$J$193,MATCH(B563,'2. Emissions Units &amp; Activities'!$B$7:$B$193,0))))</f>
        <v>2.6823529411764706E-5</v>
      </c>
      <c r="M563" s="509">
        <f t="shared" si="11"/>
        <v>1.4082116062091503E-7</v>
      </c>
      <c r="N563" s="284"/>
    </row>
    <row r="564" spans="1:14" ht="15.75" x14ac:dyDescent="0.25">
      <c r="A564" s="86"/>
      <c r="B564" s="508" t="s">
        <v>72</v>
      </c>
      <c r="C564" s="339" t="s">
        <v>263</v>
      </c>
      <c r="D564" s="340" t="s">
        <v>264</v>
      </c>
      <c r="E564" s="339" t="s">
        <v>214</v>
      </c>
      <c r="F564" s="341">
        <v>0</v>
      </c>
      <c r="G564" s="339">
        <v>2.5999999999999998E-4</v>
      </c>
      <c r="H564" s="339" t="s">
        <v>223</v>
      </c>
      <c r="I564" s="339" t="s">
        <v>288</v>
      </c>
      <c r="J564" s="85">
        <f>IF(B564="",IF(CONCATENATE(C564,D564,E564,F564,G564,H564,I564)="","",ws3_EU_ID_blank),IF(ISERROR(MATCH(B564,'2. Emissions Units &amp; Activities'!$B$7:$B$193,0)),ws3_matching_error_msg,G564*IF(E564="Y",1,1-F564)*INDEX('2. Emissions Units &amp; Activities'!$G$7:$G$193,MATCH(B564,'2. Emissions Units &amp; Activities'!$B$7:$B$193,0))))</f>
        <v>6.698823529411764E-3</v>
      </c>
      <c r="K564" s="85">
        <f t="shared" si="10"/>
        <v>9.6351320424836584E-8</v>
      </c>
      <c r="L564" s="85">
        <f>IF(B564="",IF(CONCATENATE(C564,D564,E564,F564,G564,H564,I564)="","",ws3_EU_ID_blank),IF(ISERROR(MATCH(B564,'2. Emissions Units &amp; Activities'!$B$7:$B$193,0)),ws3_matching_error_msg,G564*IF(E564="Y",1,1-F564)*INDEX('2. Emissions Units &amp; Activities'!$J$7:$J$193,MATCH(B564,'2. Emissions Units &amp; Activities'!$B$7:$B$193,0))))</f>
        <v>1.8352941176470587E-5</v>
      </c>
      <c r="M564" s="509">
        <f t="shared" si="11"/>
        <v>9.6351320424836584E-8</v>
      </c>
      <c r="N564" s="284"/>
    </row>
    <row r="565" spans="1:14" ht="15.75" x14ac:dyDescent="0.25">
      <c r="A565" s="86"/>
      <c r="B565" s="508" t="s">
        <v>72</v>
      </c>
      <c r="C565" s="339" t="s">
        <v>281</v>
      </c>
      <c r="D565" s="340" t="s">
        <v>282</v>
      </c>
      <c r="E565" s="339" t="s">
        <v>214</v>
      </c>
      <c r="F565" s="341">
        <v>0</v>
      </c>
      <c r="G565" s="339">
        <v>1.65E-3</v>
      </c>
      <c r="H565" s="339" t="s">
        <v>223</v>
      </c>
      <c r="I565" s="339" t="s">
        <v>288</v>
      </c>
      <c r="J565" s="85">
        <f>IF(B565="",IF(CONCATENATE(C565,D565,E565,F565,G565,H565,I565)="","",ws3_EU_ID_blank),IF(ISERROR(MATCH(B565,'2. Emissions Units &amp; Activities'!$B$7:$B$193,0)),ws3_matching_error_msg,G565*IF(E565="Y",1,1-F565)*INDEX('2. Emissions Units &amp; Activities'!$G$7:$G$193,MATCH(B565,'2. Emissions Units &amp; Activities'!$B$7:$B$193,0))))</f>
        <v>4.2511764705882353E-2</v>
      </c>
      <c r="K565" s="85">
        <f t="shared" si="10"/>
        <v>6.1146030269607842E-7</v>
      </c>
      <c r="L565" s="85">
        <f>IF(B565="",IF(CONCATENATE(C565,D565,E565,F565,G565,H565,I565)="","",ws3_EU_ID_blank),IF(ISERROR(MATCH(B565,'2. Emissions Units &amp; Activities'!$B$7:$B$193,0)),ws3_matching_error_msg,G565*IF(E565="Y",1,1-F565)*INDEX('2. Emissions Units &amp; Activities'!$J$7:$J$193,MATCH(B565,'2. Emissions Units &amp; Activities'!$B$7:$B$193,0))))</f>
        <v>1.1647058823529412E-4</v>
      </c>
      <c r="M565" s="509">
        <f t="shared" si="11"/>
        <v>6.1146030269607853E-7</v>
      </c>
      <c r="N565" s="284"/>
    </row>
    <row r="566" spans="1:14" ht="15.75" x14ac:dyDescent="0.25">
      <c r="A566" s="86"/>
      <c r="B566" s="508" t="s">
        <v>72</v>
      </c>
      <c r="C566" s="339">
        <v>365</v>
      </c>
      <c r="D566" s="340" t="s">
        <v>243</v>
      </c>
      <c r="E566" s="339" t="s">
        <v>214</v>
      </c>
      <c r="F566" s="341">
        <v>0</v>
      </c>
      <c r="G566" s="339">
        <v>2.0999999999999999E-3</v>
      </c>
      <c r="H566" s="339" t="s">
        <v>223</v>
      </c>
      <c r="I566" s="339" t="s">
        <v>288</v>
      </c>
      <c r="J566" s="85">
        <f>IF(B566="",IF(CONCATENATE(C566,D566,E566,F566,G566,H566,I566)="","",ws3_EU_ID_blank),IF(ISERROR(MATCH(B566,'2. Emissions Units &amp; Activities'!$B$7:$B$193,0)),ws3_matching_error_msg,G566*IF(E566="Y",1,1-F566)*INDEX('2. Emissions Units &amp; Activities'!$G$7:$G$193,MATCH(B566,'2. Emissions Units &amp; Activities'!$B$7:$B$193,0))))</f>
        <v>5.4105882352941177E-2</v>
      </c>
      <c r="K566" s="85">
        <f t="shared" si="10"/>
        <v>7.7822220343137259E-7</v>
      </c>
      <c r="L566" s="85">
        <f>IF(B566="",IF(CONCATENATE(C566,D566,E566,F566,G566,H566,I566)="","",ws3_EU_ID_blank),IF(ISERROR(MATCH(B566,'2. Emissions Units &amp; Activities'!$B$7:$B$193,0)),ws3_matching_error_msg,G566*IF(E566="Y",1,1-F566)*INDEX('2. Emissions Units &amp; Activities'!$J$7:$J$193,MATCH(B566,'2. Emissions Units &amp; Activities'!$B$7:$B$193,0))))</f>
        <v>1.4823529411764705E-4</v>
      </c>
      <c r="M566" s="509">
        <f t="shared" si="11"/>
        <v>7.7822220343137248E-7</v>
      </c>
      <c r="N566" s="284"/>
    </row>
    <row r="567" spans="1:14" ht="15.75" x14ac:dyDescent="0.25">
      <c r="A567" s="86"/>
      <c r="B567" s="508" t="s">
        <v>72</v>
      </c>
      <c r="C567" s="339" t="s">
        <v>265</v>
      </c>
      <c r="D567" s="340" t="s">
        <v>266</v>
      </c>
      <c r="E567" s="339" t="s">
        <v>214</v>
      </c>
      <c r="F567" s="341">
        <v>0</v>
      </c>
      <c r="G567" s="339">
        <v>2.4000000000000001E-5</v>
      </c>
      <c r="H567" s="339" t="s">
        <v>223</v>
      </c>
      <c r="I567" s="339" t="s">
        <v>288</v>
      </c>
      <c r="J567" s="85">
        <f>IF(B567="",IF(CONCATENATE(C567,D567,E567,F567,G567,H567,I567)="","",ws3_EU_ID_blank),IF(ISERROR(MATCH(B567,'2. Emissions Units &amp; Activities'!$B$7:$B$193,0)),ws3_matching_error_msg,G567*IF(E567="Y",1,1-F567)*INDEX('2. Emissions Units &amp; Activities'!$G$7:$G$193,MATCH(B567,'2. Emissions Units &amp; Activities'!$B$7:$B$193,0))))</f>
        <v>6.183529411764706E-4</v>
      </c>
      <c r="K567" s="85">
        <f t="shared" si="10"/>
        <v>8.8939680392156864E-9</v>
      </c>
      <c r="L567" s="85">
        <f>IF(B567="",IF(CONCATENATE(C567,D567,E567,F567,G567,H567,I567)="","",ws3_EU_ID_blank),IF(ISERROR(MATCH(B567,'2. Emissions Units &amp; Activities'!$B$7:$B$193,0)),ws3_matching_error_msg,G567*IF(E567="Y",1,1-F567)*INDEX('2. Emissions Units &amp; Activities'!$J$7:$J$193,MATCH(B567,'2. Emissions Units &amp; Activities'!$B$7:$B$193,0))))</f>
        <v>1.6941176470588237E-6</v>
      </c>
      <c r="M567" s="509">
        <f t="shared" si="11"/>
        <v>8.8939680392156864E-9</v>
      </c>
      <c r="N567" s="284"/>
    </row>
    <row r="568" spans="1:14" ht="15.75" x14ac:dyDescent="0.25">
      <c r="A568" s="86"/>
      <c r="B568" s="508" t="s">
        <v>72</v>
      </c>
      <c r="C568" s="339" t="s">
        <v>267</v>
      </c>
      <c r="D568" s="340" t="s">
        <v>268</v>
      </c>
      <c r="E568" s="339" t="s">
        <v>214</v>
      </c>
      <c r="F568" s="341">
        <v>0</v>
      </c>
      <c r="G568" s="339">
        <v>3.6600000000000001E-2</v>
      </c>
      <c r="H568" s="339" t="s">
        <v>223</v>
      </c>
      <c r="I568" s="339" t="s">
        <v>288</v>
      </c>
      <c r="J568" s="85">
        <f>IF(B568="",IF(CONCATENATE(C568,D568,E568,F568,G568,H568,I568)="","",ws3_EU_ID_blank),IF(ISERROR(MATCH(B568,'2. Emissions Units &amp; Activities'!$B$7:$B$193,0)),ws3_matching_error_msg,G568*IF(E568="Y",1,1-F568)*INDEX('2. Emissions Units &amp; Activities'!$G$7:$G$193,MATCH(B568,'2. Emissions Units &amp; Activities'!$B$7:$B$193,0))))</f>
        <v>0.94298823529411768</v>
      </c>
      <c r="K568" s="85">
        <f t="shared" si="10"/>
        <v>1.3563301259803923E-5</v>
      </c>
      <c r="L568" s="85">
        <f>IF(B568="",IF(CONCATENATE(C568,D568,E568,F568,G568,H568,I568)="","",ws3_EU_ID_blank),IF(ISERROR(MATCH(B568,'2. Emissions Units &amp; Activities'!$B$7:$B$193,0)),ws3_matching_error_msg,G568*IF(E568="Y",1,1-F568)*INDEX('2. Emissions Units &amp; Activities'!$J$7:$J$193,MATCH(B568,'2. Emissions Units &amp; Activities'!$B$7:$B$193,0))))</f>
        <v>2.5835294117647059E-3</v>
      </c>
      <c r="M568" s="509">
        <f t="shared" si="11"/>
        <v>1.3563301259803923E-5</v>
      </c>
      <c r="N568" s="284"/>
    </row>
    <row r="569" spans="1:14" ht="15.75" x14ac:dyDescent="0.25">
      <c r="A569" s="86"/>
      <c r="B569" s="508" t="s">
        <v>72</v>
      </c>
      <c r="C569" s="339" t="s">
        <v>283</v>
      </c>
      <c r="D569" s="340" t="s">
        <v>284</v>
      </c>
      <c r="E569" s="339" t="s">
        <v>214</v>
      </c>
      <c r="F569" s="341">
        <v>0</v>
      </c>
      <c r="G569" s="339">
        <v>2.3E-3</v>
      </c>
      <c r="H569" s="339" t="s">
        <v>223</v>
      </c>
      <c r="I569" s="339" t="s">
        <v>288</v>
      </c>
      <c r="J569" s="85">
        <f>IF(B569="",IF(CONCATENATE(C569,D569,E569,F569,G569,H569,I569)="","",ws3_EU_ID_blank),IF(ISERROR(MATCH(B569,'2. Emissions Units &amp; Activities'!$B$7:$B$193,0)),ws3_matching_error_msg,G569*IF(E569="Y",1,1-F569)*INDEX('2. Emissions Units &amp; Activities'!$G$7:$G$193,MATCH(B569,'2. Emissions Units &amp; Activities'!$B$7:$B$193,0))))</f>
        <v>5.9258823529411767E-2</v>
      </c>
      <c r="K569" s="85">
        <f t="shared" si="10"/>
        <v>8.5233860375817002E-7</v>
      </c>
      <c r="L569" s="85">
        <f>IF(B569="",IF(CONCATENATE(C569,D569,E569,F569,G569,H569,I569)="","",ws3_EU_ID_blank),IF(ISERROR(MATCH(B569,'2. Emissions Units &amp; Activities'!$B$7:$B$193,0)),ws3_matching_error_msg,G569*IF(E569="Y",1,1-F569)*INDEX('2. Emissions Units &amp; Activities'!$J$7:$J$193,MATCH(B569,'2. Emissions Units &amp; Activities'!$B$7:$B$193,0))))</f>
        <v>1.6235294117647057E-4</v>
      </c>
      <c r="M569" s="509">
        <f t="shared" si="11"/>
        <v>8.523386037581698E-7</v>
      </c>
      <c r="N569" s="284"/>
    </row>
    <row r="570" spans="1:14" ht="15.75" x14ac:dyDescent="0.25">
      <c r="A570" s="86"/>
      <c r="B570" s="508" t="s">
        <v>72</v>
      </c>
      <c r="C570" s="339" t="s">
        <v>269</v>
      </c>
      <c r="D570" s="340" t="s">
        <v>270</v>
      </c>
      <c r="E570" s="339" t="s">
        <v>214</v>
      </c>
      <c r="F570" s="341">
        <v>0</v>
      </c>
      <c r="G570" s="339">
        <v>2.7199999999999998E-2</v>
      </c>
      <c r="H570" s="339" t="s">
        <v>223</v>
      </c>
      <c r="I570" s="339" t="s">
        <v>288</v>
      </c>
      <c r="J570" s="85">
        <f>IF(B570="",IF(CONCATENATE(C570,D570,E570,F570,G570,H570,I570)="","",ws3_EU_ID_blank),IF(ISERROR(MATCH(B570,'2. Emissions Units &amp; Activities'!$B$7:$B$193,0)),ws3_matching_error_msg,G570*IF(E570="Y",1,1-F570)*INDEX('2. Emissions Units &amp; Activities'!$G$7:$G$193,MATCH(B570,'2. Emissions Units &amp; Activities'!$B$7:$B$193,0))))</f>
        <v>0.70079999999999998</v>
      </c>
      <c r="K570" s="85">
        <f t="shared" si="10"/>
        <v>1.0079830444444444E-5</v>
      </c>
      <c r="L570" s="85">
        <f>IF(B570="",IF(CONCATENATE(C570,D570,E570,F570,G570,H570,I570)="","",ws3_EU_ID_blank),IF(ISERROR(MATCH(B570,'2. Emissions Units &amp; Activities'!$B$7:$B$193,0)),ws3_matching_error_msg,G570*IF(E570="Y",1,1-F570)*INDEX('2. Emissions Units &amp; Activities'!$J$7:$J$193,MATCH(B570,'2. Emissions Units &amp; Activities'!$B$7:$B$193,0))))</f>
        <v>1.9199999999999998E-3</v>
      </c>
      <c r="M570" s="509">
        <f t="shared" si="11"/>
        <v>1.0079830444444444E-5</v>
      </c>
      <c r="N570" s="284"/>
    </row>
    <row r="571" spans="1:14" ht="15.75" x14ac:dyDescent="0.25">
      <c r="A571" s="86"/>
      <c r="B571" s="508" t="s">
        <v>72</v>
      </c>
      <c r="C571" s="339" t="s">
        <v>285</v>
      </c>
      <c r="D571" s="340" t="s">
        <v>286</v>
      </c>
      <c r="E571" s="339" t="s">
        <v>214</v>
      </c>
      <c r="F571" s="341">
        <v>0</v>
      </c>
      <c r="G571" s="339">
        <v>2.9000000000000001E-2</v>
      </c>
      <c r="H571" s="339" t="s">
        <v>223</v>
      </c>
      <c r="I571" s="339" t="s">
        <v>288</v>
      </c>
      <c r="J571" s="85">
        <f>IF(B571="",IF(CONCATENATE(C571,D571,E571,F571,G571,H571,I571)="","",ws3_EU_ID_blank),IF(ISERROR(MATCH(B571,'2. Emissions Units &amp; Activities'!$B$7:$B$193,0)),ws3_matching_error_msg,G571*IF(E571="Y",1,1-F571)*INDEX('2. Emissions Units &amp; Activities'!$G$7:$G$193,MATCH(B571,'2. Emissions Units &amp; Activities'!$B$7:$B$193,0))))</f>
        <v>0.74717647058823533</v>
      </c>
      <c r="K571" s="85">
        <f t="shared" si="10"/>
        <v>1.0746878047385624E-5</v>
      </c>
      <c r="L571" s="85">
        <f>IF(B571="",IF(CONCATENATE(C571,D571,E571,F571,G571,H571,I571)="","",ws3_EU_ID_blank),IF(ISERROR(MATCH(B571,'2. Emissions Units &amp; Activities'!$B$7:$B$193,0)),ws3_matching_error_msg,G571*IF(E571="Y",1,1-F571)*INDEX('2. Emissions Units &amp; Activities'!$J$7:$J$193,MATCH(B571,'2. Emissions Units &amp; Activities'!$B$7:$B$193,0))))</f>
        <v>2.0470588235294118E-3</v>
      </c>
      <c r="M571" s="509">
        <f t="shared" si="11"/>
        <v>1.0746878047385622E-5</v>
      </c>
      <c r="N571" s="284"/>
    </row>
    <row r="572" spans="1:14" ht="15.75" x14ac:dyDescent="0.25">
      <c r="A572" s="86"/>
      <c r="B572" s="508" t="s">
        <v>76</v>
      </c>
      <c r="C572" s="339" t="s">
        <v>221</v>
      </c>
      <c r="D572" s="340" t="s">
        <v>222</v>
      </c>
      <c r="E572" s="339" t="s">
        <v>214</v>
      </c>
      <c r="F572" s="341">
        <v>0</v>
      </c>
      <c r="G572" s="339">
        <v>8.0000000000000002E-3</v>
      </c>
      <c r="H572" s="339" t="s">
        <v>223</v>
      </c>
      <c r="I572" s="339" t="s">
        <v>288</v>
      </c>
      <c r="J572" s="85">
        <f>IF(B572="",IF(CONCATENATE(C572,D572,E572,F572,G572,H572,I572)="","",ws3_EU_ID_blank),IF(ISERROR(MATCH(B572,'2. Emissions Units &amp; Activities'!$B$7:$B$193,0)),ws3_matching_error_msg,G572*IF(E572="Y",1,1-F572)*INDEX('2. Emissions Units &amp; Activities'!$G$7:$G$193,MATCH(B572,'2. Emissions Units &amp; Activities'!$B$7:$B$193,0))))</f>
        <v>0.20611764705882354</v>
      </c>
      <c r="K572" s="85">
        <f t="shared" si="10"/>
        <v>2.9646560130718955E-6</v>
      </c>
      <c r="L572" s="85">
        <f>IF(B572="",IF(CONCATENATE(C572,D572,E572,F572,G572,H572,I572)="","",ws3_EU_ID_blank),IF(ISERROR(MATCH(B572,'2. Emissions Units &amp; Activities'!$B$7:$B$193,0)),ws3_matching_error_msg,G572*IF(E572="Y",1,1-F572)*INDEX('2. Emissions Units &amp; Activities'!$J$7:$J$193,MATCH(B572,'2. Emissions Units &amp; Activities'!$B$7:$B$193,0))))</f>
        <v>5.6470588235294113E-4</v>
      </c>
      <c r="M572" s="509">
        <f t="shared" si="11"/>
        <v>2.9646560130718955E-6</v>
      </c>
      <c r="N572" s="284"/>
    </row>
    <row r="573" spans="1:14" ht="15.75" x14ac:dyDescent="0.25">
      <c r="A573" s="86"/>
      <c r="B573" s="508" t="s">
        <v>76</v>
      </c>
      <c r="C573" s="339" t="s">
        <v>237</v>
      </c>
      <c r="D573" s="340" t="s">
        <v>238</v>
      </c>
      <c r="E573" s="339" t="s">
        <v>214</v>
      </c>
      <c r="F573" s="341">
        <v>0</v>
      </c>
      <c r="G573" s="339">
        <v>1.7000000000000001E-2</v>
      </c>
      <c r="H573" s="339" t="s">
        <v>223</v>
      </c>
      <c r="I573" s="339" t="s">
        <v>288</v>
      </c>
      <c r="J573" s="85">
        <f>IF(B573="",IF(CONCATENATE(C573,D573,E573,F573,G573,H573,I573)="","",ws3_EU_ID_blank),IF(ISERROR(MATCH(B573,'2. Emissions Units &amp; Activities'!$B$7:$B$193,0)),ws3_matching_error_msg,G573*IF(E573="Y",1,1-F573)*INDEX('2. Emissions Units &amp; Activities'!$G$7:$G$193,MATCH(B573,'2. Emissions Units &amp; Activities'!$B$7:$B$193,0))))</f>
        <v>0.43800000000000006</v>
      </c>
      <c r="K573" s="85">
        <f t="shared" si="10"/>
        <v>6.2998940277777779E-6</v>
      </c>
      <c r="L573" s="85">
        <f>IF(B573="",IF(CONCATENATE(C573,D573,E573,F573,G573,H573,I573)="","",ws3_EU_ID_blank),IF(ISERROR(MATCH(B573,'2. Emissions Units &amp; Activities'!$B$7:$B$193,0)),ws3_matching_error_msg,G573*IF(E573="Y",1,1-F573)*INDEX('2. Emissions Units &amp; Activities'!$J$7:$J$193,MATCH(B573,'2. Emissions Units &amp; Activities'!$B$7:$B$193,0))))</f>
        <v>1.2000000000000001E-3</v>
      </c>
      <c r="M573" s="509">
        <f t="shared" si="11"/>
        <v>6.2998940277777779E-6</v>
      </c>
      <c r="N573" s="284"/>
    </row>
    <row r="574" spans="1:14" ht="15.75" x14ac:dyDescent="0.25">
      <c r="A574" s="86"/>
      <c r="B574" s="508" t="s">
        <v>76</v>
      </c>
      <c r="C574" s="339">
        <v>401</v>
      </c>
      <c r="D574" s="340" t="s">
        <v>246</v>
      </c>
      <c r="E574" s="339" t="s">
        <v>214</v>
      </c>
      <c r="F574" s="341">
        <v>0</v>
      </c>
      <c r="G574" s="339">
        <v>1E-4</v>
      </c>
      <c r="H574" s="339" t="s">
        <v>223</v>
      </c>
      <c r="I574" s="339" t="s">
        <v>288</v>
      </c>
      <c r="J574" s="85">
        <f>IF(B574="",IF(CONCATENATE(C574,D574,E574,F574,G574,H574,I574)="","",ws3_EU_ID_blank),IF(ISERROR(MATCH(B574,'2. Emissions Units &amp; Activities'!$B$7:$B$193,0)),ws3_matching_error_msg,G574*IF(E574="Y",1,1-F574)*INDEX('2. Emissions Units &amp; Activities'!$G$7:$G$193,MATCH(B574,'2. Emissions Units &amp; Activities'!$B$7:$B$193,0))))</f>
        <v>2.5764705882352942E-3</v>
      </c>
      <c r="K574" s="85">
        <f t="shared" si="10"/>
        <v>3.7058200163398695E-8</v>
      </c>
      <c r="L574" s="85">
        <f>IF(B574="",IF(CONCATENATE(C574,D574,E574,F574,G574,H574,I574)="","",ws3_EU_ID_blank),IF(ISERROR(MATCH(B574,'2. Emissions Units &amp; Activities'!$B$7:$B$193,0)),ws3_matching_error_msg,G574*IF(E574="Y",1,1-F574)*INDEX('2. Emissions Units &amp; Activities'!$J$7:$J$193,MATCH(B574,'2. Emissions Units &amp; Activities'!$B$7:$B$193,0))))</f>
        <v>7.0588235294117649E-6</v>
      </c>
      <c r="M574" s="509">
        <f t="shared" si="11"/>
        <v>3.7058200163398695E-8</v>
      </c>
      <c r="N574" s="284"/>
    </row>
    <row r="575" spans="1:14" ht="15.75" x14ac:dyDescent="0.25">
      <c r="A575" s="86"/>
      <c r="B575" s="508" t="s">
        <v>76</v>
      </c>
      <c r="C575" s="339" t="s">
        <v>244</v>
      </c>
      <c r="D575" s="340" t="s">
        <v>245</v>
      </c>
      <c r="E575" s="339" t="s">
        <v>214</v>
      </c>
      <c r="F575" s="341">
        <v>0</v>
      </c>
      <c r="G575" s="339">
        <v>2.9999999999999997E-4</v>
      </c>
      <c r="H575" s="339" t="s">
        <v>223</v>
      </c>
      <c r="I575" s="339" t="s">
        <v>288</v>
      </c>
      <c r="J575" s="85">
        <f>IF(B575="",IF(CONCATENATE(C575,D575,E575,F575,G575,H575,I575)="","",ws3_EU_ID_blank),IF(ISERROR(MATCH(B575,'2. Emissions Units &amp; Activities'!$B$7:$B$193,0)),ws3_matching_error_msg,G575*IF(E575="Y",1,1-F575)*INDEX('2. Emissions Units &amp; Activities'!$G$7:$G$193,MATCH(B575,'2. Emissions Units &amp; Activities'!$B$7:$B$193,0))))</f>
        <v>7.7294117647058822E-3</v>
      </c>
      <c r="K575" s="85">
        <f t="shared" ref="K575:K637" si="22">CONVERT(J575,"lbm","g")/8760/3600</f>
        <v>1.1117460049019606E-7</v>
      </c>
      <c r="L575" s="85">
        <f>IF(B575="",IF(CONCATENATE(C575,D575,E575,F575,G575,H575,I575)="","",ws3_EU_ID_blank),IF(ISERROR(MATCH(B575,'2. Emissions Units &amp; Activities'!$B$7:$B$193,0)),ws3_matching_error_msg,G575*IF(E575="Y",1,1-F575)*INDEX('2. Emissions Units &amp; Activities'!$J$7:$J$193,MATCH(B575,'2. Emissions Units &amp; Activities'!$B$7:$B$193,0))))</f>
        <v>2.1176470588235292E-5</v>
      </c>
      <c r="M575" s="509">
        <f t="shared" ref="M575:M637" si="23">CONVERT(L575,"lbm","g")/24/3600</f>
        <v>1.1117460049019606E-7</v>
      </c>
      <c r="N575" s="284"/>
    </row>
    <row r="576" spans="1:14" ht="15.75" x14ac:dyDescent="0.25">
      <c r="A576" s="86"/>
      <c r="B576" s="508" t="s">
        <v>76</v>
      </c>
      <c r="C576" s="339" t="s">
        <v>247</v>
      </c>
      <c r="D576" s="340" t="s">
        <v>248</v>
      </c>
      <c r="E576" s="339" t="s">
        <v>214</v>
      </c>
      <c r="F576" s="341">
        <v>0</v>
      </c>
      <c r="G576" s="339">
        <v>4.3E-3</v>
      </c>
      <c r="H576" s="339" t="s">
        <v>223</v>
      </c>
      <c r="I576" s="339" t="s">
        <v>288</v>
      </c>
      <c r="J576" s="85">
        <f>IF(B576="",IF(CONCATENATE(C576,D576,E576,F576,G576,H576,I576)="","",ws3_EU_ID_blank),IF(ISERROR(MATCH(B576,'2. Emissions Units &amp; Activities'!$B$7:$B$193,0)),ws3_matching_error_msg,G576*IF(E576="Y",1,1-F576)*INDEX('2. Emissions Units &amp; Activities'!$G$7:$G$193,MATCH(B576,'2. Emissions Units &amp; Activities'!$B$7:$B$193,0))))</f>
        <v>0.11078823529411765</v>
      </c>
      <c r="K576" s="85">
        <f t="shared" si="22"/>
        <v>1.5935026070261438E-6</v>
      </c>
      <c r="L576" s="85">
        <f>IF(B576="",IF(CONCATENATE(C576,D576,E576,F576,G576,H576,I576)="","",ws3_EU_ID_blank),IF(ISERROR(MATCH(B576,'2. Emissions Units &amp; Activities'!$B$7:$B$193,0)),ws3_matching_error_msg,G576*IF(E576="Y",1,1-F576)*INDEX('2. Emissions Units &amp; Activities'!$J$7:$J$193,MATCH(B576,'2. Emissions Units &amp; Activities'!$B$7:$B$193,0))))</f>
        <v>3.0352941176470586E-4</v>
      </c>
      <c r="M576" s="509">
        <f t="shared" si="23"/>
        <v>1.5935026070261436E-6</v>
      </c>
      <c r="N576" s="284"/>
    </row>
    <row r="577" spans="1:14" ht="15.75" x14ac:dyDescent="0.25">
      <c r="A577" s="86"/>
      <c r="B577" s="508" t="s">
        <v>76</v>
      </c>
      <c r="C577" s="339" t="s">
        <v>249</v>
      </c>
      <c r="D577" s="340" t="s">
        <v>250</v>
      </c>
      <c r="E577" s="339" t="s">
        <v>214</v>
      </c>
      <c r="F577" s="341">
        <v>0</v>
      </c>
      <c r="G577" s="339">
        <v>2.7000000000000001E-3</v>
      </c>
      <c r="H577" s="339" t="s">
        <v>223</v>
      </c>
      <c r="I577" s="339" t="s">
        <v>288</v>
      </c>
      <c r="J577" s="85">
        <f>IF(B577="",IF(CONCATENATE(C577,D577,E577,F577,G577,H577,I577)="","",ws3_EU_ID_blank),IF(ISERROR(MATCH(B577,'2. Emissions Units &amp; Activities'!$B$7:$B$193,0)),ws3_matching_error_msg,G577*IF(E577="Y",1,1-F577)*INDEX('2. Emissions Units &amp; Activities'!$G$7:$G$193,MATCH(B577,'2. Emissions Units &amp; Activities'!$B$7:$B$193,0))))</f>
        <v>6.9564705882352945E-2</v>
      </c>
      <c r="K577" s="85">
        <f t="shared" si="22"/>
        <v>1.0005714044117648E-6</v>
      </c>
      <c r="L577" s="85">
        <f>IF(B577="",IF(CONCATENATE(C577,D577,E577,F577,G577,H577,I577)="","",ws3_EU_ID_blank),IF(ISERROR(MATCH(B577,'2. Emissions Units &amp; Activities'!$B$7:$B$193,0)),ws3_matching_error_msg,G577*IF(E577="Y",1,1-F577)*INDEX('2. Emissions Units &amp; Activities'!$J$7:$J$193,MATCH(B577,'2. Emissions Units &amp; Activities'!$B$7:$B$193,0))))</f>
        <v>1.9058823529411766E-4</v>
      </c>
      <c r="M577" s="509">
        <f t="shared" si="23"/>
        <v>1.0005714044117648E-6</v>
      </c>
      <c r="N577" s="284"/>
    </row>
    <row r="578" spans="1:14" ht="15.75" x14ac:dyDescent="0.25">
      <c r="A578" s="86"/>
      <c r="B578" s="508" t="s">
        <v>76</v>
      </c>
      <c r="C578" s="339" t="s">
        <v>251</v>
      </c>
      <c r="D578" s="340" t="s">
        <v>252</v>
      </c>
      <c r="E578" s="339" t="s">
        <v>214</v>
      </c>
      <c r="F578" s="341">
        <v>0</v>
      </c>
      <c r="G578" s="339">
        <v>3.2</v>
      </c>
      <c r="H578" s="339" t="s">
        <v>223</v>
      </c>
      <c r="I578" s="339" t="s">
        <v>288</v>
      </c>
      <c r="J578" s="85">
        <f>IF(B578="",IF(CONCATENATE(C578,D578,E578,F578,G578,H578,I578)="","",ws3_EU_ID_blank),IF(ISERROR(MATCH(B578,'2. Emissions Units &amp; Activities'!$B$7:$B$193,0)),ws3_matching_error_msg,G578*IF(E578="Y",1,1-F578)*INDEX('2. Emissions Units &amp; Activities'!$G$7:$G$193,MATCH(B578,'2. Emissions Units &amp; Activities'!$B$7:$B$193,0))))</f>
        <v>82.447058823529417</v>
      </c>
      <c r="K578" s="85">
        <f t="shared" si="22"/>
        <v>1.1858624052287583E-3</v>
      </c>
      <c r="L578" s="85">
        <f>IF(B578="",IF(CONCATENATE(C578,D578,E578,F578,G578,H578,I578)="","",ws3_EU_ID_blank),IF(ISERROR(MATCH(B578,'2. Emissions Units &amp; Activities'!$B$7:$B$193,0)),ws3_matching_error_msg,G578*IF(E578="Y",1,1-F578)*INDEX('2. Emissions Units &amp; Activities'!$J$7:$J$193,MATCH(B578,'2. Emissions Units &amp; Activities'!$B$7:$B$193,0))))</f>
        <v>0.22588235294117648</v>
      </c>
      <c r="M578" s="509">
        <f t="shared" si="23"/>
        <v>1.1858624052287583E-3</v>
      </c>
      <c r="N578" s="284"/>
    </row>
    <row r="579" spans="1:14" ht="15.75" x14ac:dyDescent="0.25">
      <c r="A579" s="86"/>
      <c r="B579" s="508" t="s">
        <v>76</v>
      </c>
      <c r="C579" s="339" t="s">
        <v>218</v>
      </c>
      <c r="D579" s="340" t="s">
        <v>219</v>
      </c>
      <c r="E579" s="339" t="s">
        <v>214</v>
      </c>
      <c r="F579" s="341">
        <v>0</v>
      </c>
      <c r="G579" s="339">
        <v>2.0000000000000001E-4</v>
      </c>
      <c r="H579" s="339" t="s">
        <v>223</v>
      </c>
      <c r="I579" s="339" t="s">
        <v>288</v>
      </c>
      <c r="J579" s="85">
        <f>IF(B579="",IF(CONCATENATE(C579,D579,E579,F579,G579,H579,I579)="","",ws3_EU_ID_blank),IF(ISERROR(MATCH(B579,'2. Emissions Units &amp; Activities'!$B$7:$B$193,0)),ws3_matching_error_msg,G579*IF(E579="Y",1,1-F579)*INDEX('2. Emissions Units &amp; Activities'!$G$7:$G$193,MATCH(B579,'2. Emissions Units &amp; Activities'!$B$7:$B$193,0))))</f>
        <v>5.1529411764705884E-3</v>
      </c>
      <c r="K579" s="85">
        <f t="shared" si="22"/>
        <v>7.411640032679739E-8</v>
      </c>
      <c r="L579" s="85">
        <f>IF(B579="",IF(CONCATENATE(C579,D579,E579,F579,G579,H579,I579)="","",ws3_EU_ID_blank),IF(ISERROR(MATCH(B579,'2. Emissions Units &amp; Activities'!$B$7:$B$193,0)),ws3_matching_error_msg,G579*IF(E579="Y",1,1-F579)*INDEX('2. Emissions Units &amp; Activities'!$J$7:$J$193,MATCH(B579,'2. Emissions Units &amp; Activities'!$B$7:$B$193,0))))</f>
        <v>1.411764705882353E-5</v>
      </c>
      <c r="M579" s="509">
        <f t="shared" si="23"/>
        <v>7.411640032679739E-8</v>
      </c>
      <c r="N579" s="284"/>
    </row>
    <row r="580" spans="1:14" ht="15.75" x14ac:dyDescent="0.25">
      <c r="A580" s="86"/>
      <c r="B580" s="508" t="s">
        <v>76</v>
      </c>
      <c r="C580" s="339" t="s">
        <v>275</v>
      </c>
      <c r="D580" s="340" t="s">
        <v>276</v>
      </c>
      <c r="E580" s="339" t="s">
        <v>214</v>
      </c>
      <c r="F580" s="341">
        <v>0</v>
      </c>
      <c r="G580" s="339">
        <v>4.4000000000000003E-3</v>
      </c>
      <c r="H580" s="339" t="s">
        <v>223</v>
      </c>
      <c r="I580" s="339" t="s">
        <v>288</v>
      </c>
      <c r="J580" s="85">
        <f>IF(B580="",IF(CONCATENATE(C580,D580,E580,F580,G580,H580,I580)="","",ws3_EU_ID_blank),IF(ISERROR(MATCH(B580,'2. Emissions Units &amp; Activities'!$B$7:$B$193,0)),ws3_matching_error_msg,G580*IF(E580="Y",1,1-F580)*INDEX('2. Emissions Units &amp; Activities'!$G$7:$G$193,MATCH(B580,'2. Emissions Units &amp; Activities'!$B$7:$B$193,0))))</f>
        <v>0.11336470588235295</v>
      </c>
      <c r="K580" s="85">
        <f t="shared" si="22"/>
        <v>1.6305608071895428E-6</v>
      </c>
      <c r="L580" s="85">
        <f>IF(B580="",IF(CONCATENATE(C580,D580,E580,F580,G580,H580,I580)="","",ws3_EU_ID_blank),IF(ISERROR(MATCH(B580,'2. Emissions Units &amp; Activities'!$B$7:$B$193,0)),ws3_matching_error_msg,G580*IF(E580="Y",1,1-F580)*INDEX('2. Emissions Units &amp; Activities'!$J$7:$J$193,MATCH(B580,'2. Emissions Units &amp; Activities'!$B$7:$B$193,0))))</f>
        <v>3.1058823529411767E-4</v>
      </c>
      <c r="M580" s="509">
        <f t="shared" si="23"/>
        <v>1.6305608071895428E-6</v>
      </c>
      <c r="N580" s="284"/>
    </row>
    <row r="581" spans="1:14" ht="15.75" x14ac:dyDescent="0.25">
      <c r="A581" s="86"/>
      <c r="B581" s="508" t="s">
        <v>76</v>
      </c>
      <c r="C581" s="339" t="s">
        <v>277</v>
      </c>
      <c r="D581" s="340" t="s">
        <v>278</v>
      </c>
      <c r="E581" s="339" t="s">
        <v>214</v>
      </c>
      <c r="F581" s="341">
        <v>0</v>
      </c>
      <c r="G581" s="339">
        <v>1.2E-5</v>
      </c>
      <c r="H581" s="339" t="s">
        <v>223</v>
      </c>
      <c r="I581" s="339" t="s">
        <v>288</v>
      </c>
      <c r="J581" s="85">
        <f>IF(B581="",IF(CONCATENATE(C581,D581,E581,F581,G581,H581,I581)="","",ws3_EU_ID_blank),IF(ISERROR(MATCH(B581,'2. Emissions Units &amp; Activities'!$B$7:$B$193,0)),ws3_matching_error_msg,G581*IF(E581="Y",1,1-F581)*INDEX('2. Emissions Units &amp; Activities'!$G$7:$G$193,MATCH(B581,'2. Emissions Units &amp; Activities'!$B$7:$B$193,0))))</f>
        <v>3.091764705882353E-4</v>
      </c>
      <c r="K581" s="85">
        <f t="shared" si="22"/>
        <v>4.4469840196078432E-9</v>
      </c>
      <c r="L581" s="85">
        <f>IF(B581="",IF(CONCATENATE(C581,D581,E581,F581,G581,H581,I581)="","",ws3_EU_ID_blank),IF(ISERROR(MATCH(B581,'2. Emissions Units &amp; Activities'!$B$7:$B$193,0)),ws3_matching_error_msg,G581*IF(E581="Y",1,1-F581)*INDEX('2. Emissions Units &amp; Activities'!$J$7:$J$193,MATCH(B581,'2. Emissions Units &amp; Activities'!$B$7:$B$193,0))))</f>
        <v>8.4705882352941183E-7</v>
      </c>
      <c r="M581" s="509">
        <f t="shared" si="23"/>
        <v>4.4469840196078432E-9</v>
      </c>
      <c r="N581" s="284"/>
    </row>
    <row r="582" spans="1:14" ht="15.75" x14ac:dyDescent="0.25">
      <c r="A582" s="86"/>
      <c r="B582" s="508" t="s">
        <v>76</v>
      </c>
      <c r="C582" s="339" t="s">
        <v>235</v>
      </c>
      <c r="D582" s="340" t="s">
        <v>236</v>
      </c>
      <c r="E582" s="339" t="s">
        <v>214</v>
      </c>
      <c r="F582" s="341">
        <v>0</v>
      </c>
      <c r="G582" s="339">
        <v>1.1000000000000001E-3</v>
      </c>
      <c r="H582" s="339" t="s">
        <v>223</v>
      </c>
      <c r="I582" s="339" t="s">
        <v>288</v>
      </c>
      <c r="J582" s="85">
        <f>IF(B582="",IF(CONCATENATE(C582,D582,E582,F582,G582,H582,I582)="","",ws3_EU_ID_blank),IF(ISERROR(MATCH(B582,'2. Emissions Units &amp; Activities'!$B$7:$B$193,0)),ws3_matching_error_msg,G582*IF(E582="Y",1,1-F582)*INDEX('2. Emissions Units &amp; Activities'!$G$7:$G$193,MATCH(B582,'2. Emissions Units &amp; Activities'!$B$7:$B$193,0))))</f>
        <v>2.8341176470588238E-2</v>
      </c>
      <c r="K582" s="85">
        <f t="shared" si="22"/>
        <v>4.076402017973857E-7</v>
      </c>
      <c r="L582" s="85">
        <f>IF(B582="",IF(CONCATENATE(C582,D582,E582,F582,G582,H582,I582)="","",ws3_EU_ID_blank),IF(ISERROR(MATCH(B582,'2. Emissions Units &amp; Activities'!$B$7:$B$193,0)),ws3_matching_error_msg,G582*IF(E582="Y",1,1-F582)*INDEX('2. Emissions Units &amp; Activities'!$J$7:$J$193,MATCH(B582,'2. Emissions Units &amp; Activities'!$B$7:$B$193,0))))</f>
        <v>7.7647058823529419E-5</v>
      </c>
      <c r="M582" s="509">
        <f t="shared" si="23"/>
        <v>4.076402017973857E-7</v>
      </c>
      <c r="N582" s="284"/>
    </row>
    <row r="583" spans="1:14" ht="15.75" x14ac:dyDescent="0.25">
      <c r="A583" s="86"/>
      <c r="B583" s="508" t="s">
        <v>76</v>
      </c>
      <c r="C583" s="339" t="s">
        <v>239</v>
      </c>
      <c r="D583" s="340" t="s">
        <v>240</v>
      </c>
      <c r="E583" s="339" t="s">
        <v>214</v>
      </c>
      <c r="F583" s="341">
        <v>0</v>
      </c>
      <c r="G583" s="339">
        <v>1.4E-3</v>
      </c>
      <c r="H583" s="339" t="s">
        <v>223</v>
      </c>
      <c r="I583" s="339" t="s">
        <v>288</v>
      </c>
      <c r="J583" s="85">
        <f>IF(B583="",IF(CONCATENATE(C583,D583,E583,F583,G583,H583,I583)="","",ws3_EU_ID_blank),IF(ISERROR(MATCH(B583,'2. Emissions Units &amp; Activities'!$B$7:$B$193,0)),ws3_matching_error_msg,G583*IF(E583="Y",1,1-F583)*INDEX('2. Emissions Units &amp; Activities'!$G$7:$G$193,MATCH(B583,'2. Emissions Units &amp; Activities'!$B$7:$B$193,0))))</f>
        <v>3.6070588235294118E-2</v>
      </c>
      <c r="K583" s="85">
        <f t="shared" si="22"/>
        <v>5.1881480228758169E-7</v>
      </c>
      <c r="L583" s="85">
        <f>IF(B583="",IF(CONCATENATE(C583,D583,E583,F583,G583,H583,I583)="","",ws3_EU_ID_blank),IF(ISERROR(MATCH(B583,'2. Emissions Units &amp; Activities'!$B$7:$B$193,0)),ws3_matching_error_msg,G583*IF(E583="Y",1,1-F583)*INDEX('2. Emissions Units &amp; Activities'!$J$7:$J$193,MATCH(B583,'2. Emissions Units &amp; Activities'!$B$7:$B$193,0))))</f>
        <v>9.8823529411764697E-5</v>
      </c>
      <c r="M583" s="509">
        <f t="shared" si="23"/>
        <v>5.1881480228758169E-7</v>
      </c>
      <c r="N583" s="284"/>
    </row>
    <row r="584" spans="1:14" ht="15.75" x14ac:dyDescent="0.25">
      <c r="A584" s="86"/>
      <c r="B584" s="508" t="s">
        <v>76</v>
      </c>
      <c r="C584" s="339" t="s">
        <v>279</v>
      </c>
      <c r="D584" s="340" t="s">
        <v>280</v>
      </c>
      <c r="E584" s="339" t="s">
        <v>214</v>
      </c>
      <c r="F584" s="341">
        <v>0</v>
      </c>
      <c r="G584" s="339">
        <v>8.3999999999999995E-5</v>
      </c>
      <c r="H584" s="339" t="s">
        <v>223</v>
      </c>
      <c r="I584" s="339" t="s">
        <v>288</v>
      </c>
      <c r="J584" s="85">
        <f>IF(B584="",IF(CONCATENATE(C584,D584,E584,F584,G584,H584,I584)="","",ws3_EU_ID_blank),IF(ISERROR(MATCH(B584,'2. Emissions Units &amp; Activities'!$B$7:$B$193,0)),ws3_matching_error_msg,G584*IF(E584="Y",1,1-F584)*INDEX('2. Emissions Units &amp; Activities'!$G$7:$G$193,MATCH(B584,'2. Emissions Units &amp; Activities'!$B$7:$B$193,0))))</f>
        <v>2.1642352941176469E-3</v>
      </c>
      <c r="K584" s="85">
        <f t="shared" si="22"/>
        <v>3.1128888137254897E-8</v>
      </c>
      <c r="L584" s="85">
        <f>IF(B584="",IF(CONCATENATE(C584,D584,E584,F584,G584,H584,I584)="","",ws3_EU_ID_blank),IF(ISERROR(MATCH(B584,'2. Emissions Units &amp; Activities'!$B$7:$B$193,0)),ws3_matching_error_msg,G584*IF(E584="Y",1,1-F584)*INDEX('2. Emissions Units &amp; Activities'!$J$7:$J$193,MATCH(B584,'2. Emissions Units &amp; Activities'!$B$7:$B$193,0))))</f>
        <v>5.9294117647058819E-6</v>
      </c>
      <c r="M584" s="509">
        <f t="shared" si="23"/>
        <v>3.1128888137254904E-8</v>
      </c>
      <c r="N584" s="284"/>
    </row>
    <row r="585" spans="1:14" ht="15.75" x14ac:dyDescent="0.25">
      <c r="A585" s="86"/>
      <c r="B585" s="508" t="s">
        <v>76</v>
      </c>
      <c r="C585" s="339" t="s">
        <v>253</v>
      </c>
      <c r="D585" s="340" t="s">
        <v>254</v>
      </c>
      <c r="E585" s="339" t="s">
        <v>214</v>
      </c>
      <c r="F585" s="341">
        <v>0</v>
      </c>
      <c r="G585" s="339">
        <v>8.4999999999999995E-4</v>
      </c>
      <c r="H585" s="339" t="s">
        <v>223</v>
      </c>
      <c r="I585" s="339" t="s">
        <v>288</v>
      </c>
      <c r="J585" s="85">
        <f>IF(B585="",IF(CONCATENATE(C585,D585,E585,F585,G585,H585,I585)="","",ws3_EU_ID_blank),IF(ISERROR(MATCH(B585,'2. Emissions Units &amp; Activities'!$B$7:$B$193,0)),ws3_matching_error_msg,G585*IF(E585="Y",1,1-F585)*INDEX('2. Emissions Units &amp; Activities'!$G$7:$G$193,MATCH(B585,'2. Emissions Units &amp; Activities'!$B$7:$B$193,0))))</f>
        <v>2.1899999999999999E-2</v>
      </c>
      <c r="K585" s="85">
        <f t="shared" si="22"/>
        <v>3.1499470138888886E-7</v>
      </c>
      <c r="L585" s="85">
        <f>IF(B585="",IF(CONCATENATE(C585,D585,E585,F585,G585,H585,I585)="","",ws3_EU_ID_blank),IF(ISERROR(MATCH(B585,'2. Emissions Units &amp; Activities'!$B$7:$B$193,0)),ws3_matching_error_msg,G585*IF(E585="Y",1,1-F585)*INDEX('2. Emissions Units &amp; Activities'!$J$7:$J$193,MATCH(B585,'2. Emissions Units &amp; Activities'!$B$7:$B$193,0))))</f>
        <v>5.9999999999999995E-5</v>
      </c>
      <c r="M585" s="509">
        <f t="shared" si="23"/>
        <v>3.1499470138888886E-7</v>
      </c>
      <c r="N585" s="284"/>
    </row>
    <row r="586" spans="1:14" ht="15.75" x14ac:dyDescent="0.25">
      <c r="A586" s="86"/>
      <c r="B586" s="508" t="s">
        <v>76</v>
      </c>
      <c r="C586" s="339" t="s">
        <v>255</v>
      </c>
      <c r="D586" s="340" t="s">
        <v>256</v>
      </c>
      <c r="E586" s="339" t="s">
        <v>214</v>
      </c>
      <c r="F586" s="341">
        <v>0</v>
      </c>
      <c r="G586" s="339">
        <v>9.4999999999999998E-3</v>
      </c>
      <c r="H586" s="339" t="s">
        <v>223</v>
      </c>
      <c r="I586" s="339" t="s">
        <v>288</v>
      </c>
      <c r="J586" s="85">
        <f>IF(B586="",IF(CONCATENATE(C586,D586,E586,F586,G586,H586,I586)="","",ws3_EU_ID_blank),IF(ISERROR(MATCH(B586,'2. Emissions Units &amp; Activities'!$B$7:$B$193,0)),ws3_matching_error_msg,G586*IF(E586="Y",1,1-F586)*INDEX('2. Emissions Units &amp; Activities'!$G$7:$G$193,MATCH(B586,'2. Emissions Units &amp; Activities'!$B$7:$B$193,0))))</f>
        <v>0.24476470588235294</v>
      </c>
      <c r="K586" s="85">
        <f t="shared" si="22"/>
        <v>3.5205290155228763E-6</v>
      </c>
      <c r="L586" s="85">
        <f>IF(B586="",IF(CONCATENATE(C586,D586,E586,F586,G586,H586,I586)="","",ws3_EU_ID_blank),IF(ISERROR(MATCH(B586,'2. Emissions Units &amp; Activities'!$B$7:$B$193,0)),ws3_matching_error_msg,G586*IF(E586="Y",1,1-F586)*INDEX('2. Emissions Units &amp; Activities'!$J$7:$J$193,MATCH(B586,'2. Emissions Units &amp; Activities'!$B$7:$B$193,0))))</f>
        <v>6.7058823529411759E-4</v>
      </c>
      <c r="M586" s="509">
        <f t="shared" si="23"/>
        <v>3.5205290155228755E-6</v>
      </c>
      <c r="N586" s="284"/>
    </row>
    <row r="587" spans="1:14" ht="15.75" x14ac:dyDescent="0.25">
      <c r="A587" s="86"/>
      <c r="B587" s="508" t="s">
        <v>76</v>
      </c>
      <c r="C587" s="339" t="s">
        <v>257</v>
      </c>
      <c r="D587" s="340" t="s">
        <v>258</v>
      </c>
      <c r="E587" s="339" t="s">
        <v>214</v>
      </c>
      <c r="F587" s="341">
        <v>0</v>
      </c>
      <c r="G587" s="339">
        <v>6.3E-3</v>
      </c>
      <c r="H587" s="339" t="s">
        <v>223</v>
      </c>
      <c r="I587" s="339" t="s">
        <v>288</v>
      </c>
      <c r="J587" s="85">
        <f>IF(B587="",IF(CONCATENATE(C587,D587,E587,F587,G587,H587,I587)="","",ws3_EU_ID_blank),IF(ISERROR(MATCH(B587,'2. Emissions Units &amp; Activities'!$B$7:$B$193,0)),ws3_matching_error_msg,G587*IF(E587="Y",1,1-F587)*INDEX('2. Emissions Units &amp; Activities'!$G$7:$G$193,MATCH(B587,'2. Emissions Units &amp; Activities'!$B$7:$B$193,0))))</f>
        <v>0.16231764705882354</v>
      </c>
      <c r="K587" s="85">
        <f t="shared" si="22"/>
        <v>2.3346666102941179E-6</v>
      </c>
      <c r="L587" s="85">
        <f>IF(B587="",IF(CONCATENATE(C587,D587,E587,F587,G587,H587,I587)="","",ws3_EU_ID_blank),IF(ISERROR(MATCH(B587,'2. Emissions Units &amp; Activities'!$B$7:$B$193,0)),ws3_matching_error_msg,G587*IF(E587="Y",1,1-F587)*INDEX('2. Emissions Units &amp; Activities'!$J$7:$J$193,MATCH(B587,'2. Emissions Units &amp; Activities'!$B$7:$B$193,0))))</f>
        <v>4.4470588235294119E-4</v>
      </c>
      <c r="M587" s="509">
        <f t="shared" si="23"/>
        <v>2.3346666102941179E-6</v>
      </c>
      <c r="N587" s="284"/>
    </row>
    <row r="588" spans="1:14" ht="15.75" x14ac:dyDescent="0.25">
      <c r="A588" s="86"/>
      <c r="B588" s="508" t="s">
        <v>76</v>
      </c>
      <c r="C588" s="339" t="s">
        <v>241</v>
      </c>
      <c r="D588" s="340" t="s">
        <v>242</v>
      </c>
      <c r="E588" s="339" t="s">
        <v>214</v>
      </c>
      <c r="F588" s="341">
        <v>0</v>
      </c>
      <c r="G588" s="339">
        <v>5.0000000000000001E-4</v>
      </c>
      <c r="H588" s="339" t="s">
        <v>223</v>
      </c>
      <c r="I588" s="339" t="s">
        <v>288</v>
      </c>
      <c r="J588" s="85">
        <f>IF(B588="",IF(CONCATENATE(C588,D588,E588,F588,G588,H588,I588)="","",ws3_EU_ID_blank),IF(ISERROR(MATCH(B588,'2. Emissions Units &amp; Activities'!$B$7:$B$193,0)),ws3_matching_error_msg,G588*IF(E588="Y",1,1-F588)*INDEX('2. Emissions Units &amp; Activities'!$G$7:$G$193,MATCH(B588,'2. Emissions Units &amp; Activities'!$B$7:$B$193,0))))</f>
        <v>1.2882352941176472E-2</v>
      </c>
      <c r="K588" s="85">
        <f t="shared" si="22"/>
        <v>1.8529100081699347E-7</v>
      </c>
      <c r="L588" s="85">
        <f>IF(B588="",IF(CONCATENATE(C588,D588,E588,F588,G588,H588,I588)="","",ws3_EU_ID_blank),IF(ISERROR(MATCH(B588,'2. Emissions Units &amp; Activities'!$B$7:$B$193,0)),ws3_matching_error_msg,G588*IF(E588="Y",1,1-F588)*INDEX('2. Emissions Units &amp; Activities'!$J$7:$J$193,MATCH(B588,'2. Emissions Units &amp; Activities'!$B$7:$B$193,0))))</f>
        <v>3.529411764705882E-5</v>
      </c>
      <c r="M588" s="509">
        <f t="shared" si="23"/>
        <v>1.8529100081699347E-7</v>
      </c>
      <c r="N588" s="284"/>
    </row>
    <row r="589" spans="1:14" ht="15.75" x14ac:dyDescent="0.25">
      <c r="A589" s="86"/>
      <c r="B589" s="508" t="s">
        <v>76</v>
      </c>
      <c r="C589" s="339" t="s">
        <v>261</v>
      </c>
      <c r="D589" s="340" t="s">
        <v>262</v>
      </c>
      <c r="E589" s="339" t="s">
        <v>214</v>
      </c>
      <c r="F589" s="341">
        <v>0</v>
      </c>
      <c r="G589" s="339">
        <v>3.8000000000000002E-4</v>
      </c>
      <c r="H589" s="339" t="s">
        <v>223</v>
      </c>
      <c r="I589" s="339" t="s">
        <v>288</v>
      </c>
      <c r="J589" s="85">
        <f>IF(B589="",IF(CONCATENATE(C589,D589,E589,F589,G589,H589,I589)="","",ws3_EU_ID_blank),IF(ISERROR(MATCH(B589,'2. Emissions Units &amp; Activities'!$B$7:$B$193,0)),ws3_matching_error_msg,G589*IF(E589="Y",1,1-F589)*INDEX('2. Emissions Units &amp; Activities'!$G$7:$G$193,MATCH(B589,'2. Emissions Units &amp; Activities'!$B$7:$B$193,0))))</f>
        <v>9.7905882352941186E-3</v>
      </c>
      <c r="K589" s="85">
        <f t="shared" si="22"/>
        <v>1.4082116062091505E-7</v>
      </c>
      <c r="L589" s="85">
        <f>IF(B589="",IF(CONCATENATE(C589,D589,E589,F589,G589,H589,I589)="","",ws3_EU_ID_blank),IF(ISERROR(MATCH(B589,'2. Emissions Units &amp; Activities'!$B$7:$B$193,0)),ws3_matching_error_msg,G589*IF(E589="Y",1,1-F589)*INDEX('2. Emissions Units &amp; Activities'!$J$7:$J$193,MATCH(B589,'2. Emissions Units &amp; Activities'!$B$7:$B$193,0))))</f>
        <v>2.6823529411764706E-5</v>
      </c>
      <c r="M589" s="509">
        <f t="shared" si="23"/>
        <v>1.4082116062091503E-7</v>
      </c>
      <c r="N589" s="284"/>
    </row>
    <row r="590" spans="1:14" ht="15.75" x14ac:dyDescent="0.25">
      <c r="A590" s="86"/>
      <c r="B590" s="508" t="s">
        <v>76</v>
      </c>
      <c r="C590" s="339" t="s">
        <v>263</v>
      </c>
      <c r="D590" s="340" t="s">
        <v>264</v>
      </c>
      <c r="E590" s="339" t="s">
        <v>214</v>
      </c>
      <c r="F590" s="341">
        <v>0</v>
      </c>
      <c r="G590" s="339">
        <v>2.5999999999999998E-4</v>
      </c>
      <c r="H590" s="339" t="s">
        <v>223</v>
      </c>
      <c r="I590" s="339" t="s">
        <v>288</v>
      </c>
      <c r="J590" s="85">
        <f>IF(B590="",IF(CONCATENATE(C590,D590,E590,F590,G590,H590,I590)="","",ws3_EU_ID_blank),IF(ISERROR(MATCH(B590,'2. Emissions Units &amp; Activities'!$B$7:$B$193,0)),ws3_matching_error_msg,G590*IF(E590="Y",1,1-F590)*INDEX('2. Emissions Units &amp; Activities'!$G$7:$G$193,MATCH(B590,'2. Emissions Units &amp; Activities'!$B$7:$B$193,0))))</f>
        <v>6.698823529411764E-3</v>
      </c>
      <c r="K590" s="85">
        <f t="shared" si="22"/>
        <v>9.6351320424836584E-8</v>
      </c>
      <c r="L590" s="85">
        <f>IF(B590="",IF(CONCATENATE(C590,D590,E590,F590,G590,H590,I590)="","",ws3_EU_ID_blank),IF(ISERROR(MATCH(B590,'2. Emissions Units &amp; Activities'!$B$7:$B$193,0)),ws3_matching_error_msg,G590*IF(E590="Y",1,1-F590)*INDEX('2. Emissions Units &amp; Activities'!$J$7:$J$193,MATCH(B590,'2. Emissions Units &amp; Activities'!$B$7:$B$193,0))))</f>
        <v>1.8352941176470587E-5</v>
      </c>
      <c r="M590" s="509">
        <f t="shared" si="23"/>
        <v>9.6351320424836584E-8</v>
      </c>
      <c r="N590" s="284"/>
    </row>
    <row r="591" spans="1:14" ht="15.75" x14ac:dyDescent="0.25">
      <c r="A591" s="86"/>
      <c r="B591" s="508" t="s">
        <v>76</v>
      </c>
      <c r="C591" s="339" t="s">
        <v>281</v>
      </c>
      <c r="D591" s="340" t="s">
        <v>282</v>
      </c>
      <c r="E591" s="339" t="s">
        <v>214</v>
      </c>
      <c r="F591" s="341">
        <v>0</v>
      </c>
      <c r="G591" s="339">
        <v>1.65E-3</v>
      </c>
      <c r="H591" s="339" t="s">
        <v>223</v>
      </c>
      <c r="I591" s="339" t="s">
        <v>288</v>
      </c>
      <c r="J591" s="85">
        <f>IF(B591="",IF(CONCATENATE(C591,D591,E591,F591,G591,H591,I591)="","",ws3_EU_ID_blank),IF(ISERROR(MATCH(B591,'2. Emissions Units &amp; Activities'!$B$7:$B$193,0)),ws3_matching_error_msg,G591*IF(E591="Y",1,1-F591)*INDEX('2. Emissions Units &amp; Activities'!$G$7:$G$193,MATCH(B591,'2. Emissions Units &amp; Activities'!$B$7:$B$193,0))))</f>
        <v>4.2511764705882353E-2</v>
      </c>
      <c r="K591" s="85">
        <f t="shared" si="22"/>
        <v>6.1146030269607842E-7</v>
      </c>
      <c r="L591" s="85">
        <f>IF(B591="",IF(CONCATENATE(C591,D591,E591,F591,G591,H591,I591)="","",ws3_EU_ID_blank),IF(ISERROR(MATCH(B591,'2. Emissions Units &amp; Activities'!$B$7:$B$193,0)),ws3_matching_error_msg,G591*IF(E591="Y",1,1-F591)*INDEX('2. Emissions Units &amp; Activities'!$J$7:$J$193,MATCH(B591,'2. Emissions Units &amp; Activities'!$B$7:$B$193,0))))</f>
        <v>1.1647058823529412E-4</v>
      </c>
      <c r="M591" s="509">
        <f t="shared" si="23"/>
        <v>6.1146030269607853E-7</v>
      </c>
      <c r="N591" s="284"/>
    </row>
    <row r="592" spans="1:14" ht="15.75" x14ac:dyDescent="0.25">
      <c r="A592" s="86"/>
      <c r="B592" s="508" t="s">
        <v>76</v>
      </c>
      <c r="C592" s="339">
        <v>365</v>
      </c>
      <c r="D592" s="340" t="s">
        <v>243</v>
      </c>
      <c r="E592" s="339" t="s">
        <v>214</v>
      </c>
      <c r="F592" s="341">
        <v>0</v>
      </c>
      <c r="G592" s="339">
        <v>2.0999999999999999E-3</v>
      </c>
      <c r="H592" s="339" t="s">
        <v>223</v>
      </c>
      <c r="I592" s="339" t="s">
        <v>288</v>
      </c>
      <c r="J592" s="85">
        <f>IF(B592="",IF(CONCATENATE(C592,D592,E592,F592,G592,H592,I592)="","",ws3_EU_ID_blank),IF(ISERROR(MATCH(B592,'2. Emissions Units &amp; Activities'!$B$7:$B$193,0)),ws3_matching_error_msg,G592*IF(E592="Y",1,1-F592)*INDEX('2. Emissions Units &amp; Activities'!$G$7:$G$193,MATCH(B592,'2. Emissions Units &amp; Activities'!$B$7:$B$193,0))))</f>
        <v>5.4105882352941177E-2</v>
      </c>
      <c r="K592" s="85">
        <f t="shared" si="22"/>
        <v>7.7822220343137259E-7</v>
      </c>
      <c r="L592" s="85">
        <f>IF(B592="",IF(CONCATENATE(C592,D592,E592,F592,G592,H592,I592)="","",ws3_EU_ID_blank),IF(ISERROR(MATCH(B592,'2. Emissions Units &amp; Activities'!$B$7:$B$193,0)),ws3_matching_error_msg,G592*IF(E592="Y",1,1-F592)*INDEX('2. Emissions Units &amp; Activities'!$J$7:$J$193,MATCH(B592,'2. Emissions Units &amp; Activities'!$B$7:$B$193,0))))</f>
        <v>1.4823529411764705E-4</v>
      </c>
      <c r="M592" s="509">
        <f t="shared" si="23"/>
        <v>7.7822220343137248E-7</v>
      </c>
      <c r="N592" s="284"/>
    </row>
    <row r="593" spans="1:14" ht="15.75" x14ac:dyDescent="0.25">
      <c r="A593" s="86"/>
      <c r="B593" s="508" t="s">
        <v>76</v>
      </c>
      <c r="C593" s="339" t="s">
        <v>265</v>
      </c>
      <c r="D593" s="340" t="s">
        <v>266</v>
      </c>
      <c r="E593" s="339" t="s">
        <v>214</v>
      </c>
      <c r="F593" s="341">
        <v>0</v>
      </c>
      <c r="G593" s="339">
        <v>2.4000000000000001E-5</v>
      </c>
      <c r="H593" s="339" t="s">
        <v>223</v>
      </c>
      <c r="I593" s="339" t="s">
        <v>288</v>
      </c>
      <c r="J593" s="85">
        <f>IF(B593="",IF(CONCATENATE(C593,D593,E593,F593,G593,H593,I593)="","",ws3_EU_ID_blank),IF(ISERROR(MATCH(B593,'2. Emissions Units &amp; Activities'!$B$7:$B$193,0)),ws3_matching_error_msg,G593*IF(E593="Y",1,1-F593)*INDEX('2. Emissions Units &amp; Activities'!$G$7:$G$193,MATCH(B593,'2. Emissions Units &amp; Activities'!$B$7:$B$193,0))))</f>
        <v>6.183529411764706E-4</v>
      </c>
      <c r="K593" s="85">
        <f t="shared" si="22"/>
        <v>8.8939680392156864E-9</v>
      </c>
      <c r="L593" s="85">
        <f>IF(B593="",IF(CONCATENATE(C593,D593,E593,F593,G593,H593,I593)="","",ws3_EU_ID_blank),IF(ISERROR(MATCH(B593,'2. Emissions Units &amp; Activities'!$B$7:$B$193,0)),ws3_matching_error_msg,G593*IF(E593="Y",1,1-F593)*INDEX('2. Emissions Units &amp; Activities'!$J$7:$J$193,MATCH(B593,'2. Emissions Units &amp; Activities'!$B$7:$B$193,0))))</f>
        <v>1.6941176470588237E-6</v>
      </c>
      <c r="M593" s="509">
        <f t="shared" si="23"/>
        <v>8.8939680392156864E-9</v>
      </c>
      <c r="N593" s="284"/>
    </row>
    <row r="594" spans="1:14" ht="15.75" x14ac:dyDescent="0.25">
      <c r="A594" s="86"/>
      <c r="B594" s="508" t="s">
        <v>76</v>
      </c>
      <c r="C594" s="339" t="s">
        <v>267</v>
      </c>
      <c r="D594" s="340" t="s">
        <v>268</v>
      </c>
      <c r="E594" s="339" t="s">
        <v>214</v>
      </c>
      <c r="F594" s="341">
        <v>0</v>
      </c>
      <c r="G594" s="339">
        <v>3.6600000000000001E-2</v>
      </c>
      <c r="H594" s="339" t="s">
        <v>223</v>
      </c>
      <c r="I594" s="339" t="s">
        <v>288</v>
      </c>
      <c r="J594" s="85">
        <f>IF(B594="",IF(CONCATENATE(C594,D594,E594,F594,G594,H594,I594)="","",ws3_EU_ID_blank),IF(ISERROR(MATCH(B594,'2. Emissions Units &amp; Activities'!$B$7:$B$193,0)),ws3_matching_error_msg,G594*IF(E594="Y",1,1-F594)*INDEX('2. Emissions Units &amp; Activities'!$G$7:$G$193,MATCH(B594,'2. Emissions Units &amp; Activities'!$B$7:$B$193,0))))</f>
        <v>0.94298823529411768</v>
      </c>
      <c r="K594" s="85">
        <f t="shared" si="22"/>
        <v>1.3563301259803923E-5</v>
      </c>
      <c r="L594" s="85">
        <f>IF(B594="",IF(CONCATENATE(C594,D594,E594,F594,G594,H594,I594)="","",ws3_EU_ID_blank),IF(ISERROR(MATCH(B594,'2. Emissions Units &amp; Activities'!$B$7:$B$193,0)),ws3_matching_error_msg,G594*IF(E594="Y",1,1-F594)*INDEX('2. Emissions Units &amp; Activities'!$J$7:$J$193,MATCH(B594,'2. Emissions Units &amp; Activities'!$B$7:$B$193,0))))</f>
        <v>2.5835294117647059E-3</v>
      </c>
      <c r="M594" s="509">
        <f t="shared" si="23"/>
        <v>1.3563301259803923E-5</v>
      </c>
      <c r="N594" s="284"/>
    </row>
    <row r="595" spans="1:14" ht="15.75" x14ac:dyDescent="0.25">
      <c r="A595" s="86"/>
      <c r="B595" s="508" t="s">
        <v>76</v>
      </c>
      <c r="C595" s="339" t="s">
        <v>283</v>
      </c>
      <c r="D595" s="340" t="s">
        <v>284</v>
      </c>
      <c r="E595" s="339" t="s">
        <v>214</v>
      </c>
      <c r="F595" s="341">
        <v>0</v>
      </c>
      <c r="G595" s="339">
        <v>2.3E-3</v>
      </c>
      <c r="H595" s="339" t="s">
        <v>223</v>
      </c>
      <c r="I595" s="339" t="s">
        <v>288</v>
      </c>
      <c r="J595" s="85">
        <f>IF(B595="",IF(CONCATENATE(C595,D595,E595,F595,G595,H595,I595)="","",ws3_EU_ID_blank),IF(ISERROR(MATCH(B595,'2. Emissions Units &amp; Activities'!$B$7:$B$193,0)),ws3_matching_error_msg,G595*IF(E595="Y",1,1-F595)*INDEX('2. Emissions Units &amp; Activities'!$G$7:$G$193,MATCH(B595,'2. Emissions Units &amp; Activities'!$B$7:$B$193,0))))</f>
        <v>5.9258823529411767E-2</v>
      </c>
      <c r="K595" s="85">
        <f t="shared" si="22"/>
        <v>8.5233860375817002E-7</v>
      </c>
      <c r="L595" s="85">
        <f>IF(B595="",IF(CONCATENATE(C595,D595,E595,F595,G595,H595,I595)="","",ws3_EU_ID_blank),IF(ISERROR(MATCH(B595,'2. Emissions Units &amp; Activities'!$B$7:$B$193,0)),ws3_matching_error_msg,G595*IF(E595="Y",1,1-F595)*INDEX('2. Emissions Units &amp; Activities'!$J$7:$J$193,MATCH(B595,'2. Emissions Units &amp; Activities'!$B$7:$B$193,0))))</f>
        <v>1.6235294117647057E-4</v>
      </c>
      <c r="M595" s="509">
        <f t="shared" si="23"/>
        <v>8.523386037581698E-7</v>
      </c>
      <c r="N595" s="284"/>
    </row>
    <row r="596" spans="1:14" ht="15.75" x14ac:dyDescent="0.25">
      <c r="A596" s="86"/>
      <c r="B596" s="508" t="s">
        <v>76</v>
      </c>
      <c r="C596" s="339" t="s">
        <v>269</v>
      </c>
      <c r="D596" s="340" t="s">
        <v>270</v>
      </c>
      <c r="E596" s="339" t="s">
        <v>214</v>
      </c>
      <c r="F596" s="341">
        <v>0</v>
      </c>
      <c r="G596" s="339">
        <v>2.7199999999999998E-2</v>
      </c>
      <c r="H596" s="339" t="s">
        <v>223</v>
      </c>
      <c r="I596" s="339" t="s">
        <v>288</v>
      </c>
      <c r="J596" s="85">
        <f>IF(B596="",IF(CONCATENATE(C596,D596,E596,F596,G596,H596,I596)="","",ws3_EU_ID_blank),IF(ISERROR(MATCH(B596,'2. Emissions Units &amp; Activities'!$B$7:$B$193,0)),ws3_matching_error_msg,G596*IF(E596="Y",1,1-F596)*INDEX('2. Emissions Units &amp; Activities'!$G$7:$G$193,MATCH(B596,'2. Emissions Units &amp; Activities'!$B$7:$B$193,0))))</f>
        <v>0.70079999999999998</v>
      </c>
      <c r="K596" s="85">
        <f t="shared" si="22"/>
        <v>1.0079830444444444E-5</v>
      </c>
      <c r="L596" s="85">
        <f>IF(B596="",IF(CONCATENATE(C596,D596,E596,F596,G596,H596,I596)="","",ws3_EU_ID_blank),IF(ISERROR(MATCH(B596,'2. Emissions Units &amp; Activities'!$B$7:$B$193,0)),ws3_matching_error_msg,G596*IF(E596="Y",1,1-F596)*INDEX('2. Emissions Units &amp; Activities'!$J$7:$J$193,MATCH(B596,'2. Emissions Units &amp; Activities'!$B$7:$B$193,0))))</f>
        <v>1.9199999999999998E-3</v>
      </c>
      <c r="M596" s="509">
        <f t="shared" si="23"/>
        <v>1.0079830444444444E-5</v>
      </c>
      <c r="N596" s="284"/>
    </row>
    <row r="597" spans="1:14" ht="15.75" x14ac:dyDescent="0.25">
      <c r="A597" s="86"/>
      <c r="B597" s="508" t="s">
        <v>76</v>
      </c>
      <c r="C597" s="339" t="s">
        <v>285</v>
      </c>
      <c r="D597" s="340" t="s">
        <v>286</v>
      </c>
      <c r="E597" s="339" t="s">
        <v>214</v>
      </c>
      <c r="F597" s="341">
        <v>0</v>
      </c>
      <c r="G597" s="339">
        <v>2.9000000000000001E-2</v>
      </c>
      <c r="H597" s="339" t="s">
        <v>223</v>
      </c>
      <c r="I597" s="339" t="s">
        <v>288</v>
      </c>
      <c r="J597" s="85">
        <f>IF(B597="",IF(CONCATENATE(C597,D597,E597,F597,G597,H597,I597)="","",ws3_EU_ID_blank),IF(ISERROR(MATCH(B597,'2. Emissions Units &amp; Activities'!$B$7:$B$193,0)),ws3_matching_error_msg,G597*IF(E597="Y",1,1-F597)*INDEX('2. Emissions Units &amp; Activities'!$G$7:$G$193,MATCH(B597,'2. Emissions Units &amp; Activities'!$B$7:$B$193,0))))</f>
        <v>0.74717647058823533</v>
      </c>
      <c r="K597" s="85">
        <f t="shared" si="22"/>
        <v>1.0746878047385624E-5</v>
      </c>
      <c r="L597" s="85">
        <f>IF(B597="",IF(CONCATENATE(C597,D597,E597,F597,G597,H597,I597)="","",ws3_EU_ID_blank),IF(ISERROR(MATCH(B597,'2. Emissions Units &amp; Activities'!$B$7:$B$193,0)),ws3_matching_error_msg,G597*IF(E597="Y",1,1-F597)*INDEX('2. Emissions Units &amp; Activities'!$J$7:$J$193,MATCH(B597,'2. Emissions Units &amp; Activities'!$B$7:$B$193,0))))</f>
        <v>2.0470588235294118E-3</v>
      </c>
      <c r="M597" s="509">
        <f t="shared" si="23"/>
        <v>1.0746878047385622E-5</v>
      </c>
      <c r="N597" s="284"/>
    </row>
    <row r="598" spans="1:14" ht="15.75" x14ac:dyDescent="0.25">
      <c r="A598" s="86"/>
      <c r="B598" s="508" t="s">
        <v>77</v>
      </c>
      <c r="C598" s="339" t="s">
        <v>221</v>
      </c>
      <c r="D598" s="340" t="s">
        <v>222</v>
      </c>
      <c r="E598" s="339" t="s">
        <v>214</v>
      </c>
      <c r="F598" s="341">
        <v>0</v>
      </c>
      <c r="G598" s="339">
        <v>8.0000000000000002E-3</v>
      </c>
      <c r="H598" s="339" t="s">
        <v>223</v>
      </c>
      <c r="I598" s="339" t="s">
        <v>288</v>
      </c>
      <c r="J598" s="85">
        <f>IF(B598="",IF(CONCATENATE(C598,D598,E598,F598,G598,H598,I598)="","",ws3_EU_ID_blank),IF(ISERROR(MATCH(B598,'2. Emissions Units &amp; Activities'!$B$7:$B$193,0)),ws3_matching_error_msg,G598*IF(E598="Y",1,1-F598)*INDEX('2. Emissions Units &amp; Activities'!$G$7:$G$193,MATCH(B598,'2. Emissions Units &amp; Activities'!$B$7:$B$193,0))))</f>
        <v>0.20611764705882354</v>
      </c>
      <c r="K598" s="85">
        <f t="shared" si="22"/>
        <v>2.9646560130718955E-6</v>
      </c>
      <c r="L598" s="85">
        <f>IF(B598="",IF(CONCATENATE(C598,D598,E598,F598,G598,H598,I598)="","",ws3_EU_ID_blank),IF(ISERROR(MATCH(B598,'2. Emissions Units &amp; Activities'!$B$7:$B$193,0)),ws3_matching_error_msg,G598*IF(E598="Y",1,1-F598)*INDEX('2. Emissions Units &amp; Activities'!$J$7:$J$193,MATCH(B598,'2. Emissions Units &amp; Activities'!$B$7:$B$193,0))))</f>
        <v>5.6470588235294113E-4</v>
      </c>
      <c r="M598" s="509">
        <f t="shared" si="23"/>
        <v>2.9646560130718955E-6</v>
      </c>
      <c r="N598" s="284"/>
    </row>
    <row r="599" spans="1:14" ht="15.75" x14ac:dyDescent="0.25">
      <c r="A599" s="86"/>
      <c r="B599" s="508" t="s">
        <v>77</v>
      </c>
      <c r="C599" s="339" t="s">
        <v>237</v>
      </c>
      <c r="D599" s="340" t="s">
        <v>238</v>
      </c>
      <c r="E599" s="339" t="s">
        <v>214</v>
      </c>
      <c r="F599" s="341">
        <v>0</v>
      </c>
      <c r="G599" s="339">
        <v>1.7000000000000001E-2</v>
      </c>
      <c r="H599" s="339" t="s">
        <v>223</v>
      </c>
      <c r="I599" s="339" t="s">
        <v>288</v>
      </c>
      <c r="J599" s="85">
        <f>IF(B599="",IF(CONCATENATE(C599,D599,E599,F599,G599,H599,I599)="","",ws3_EU_ID_blank),IF(ISERROR(MATCH(B599,'2. Emissions Units &amp; Activities'!$B$7:$B$193,0)),ws3_matching_error_msg,G599*IF(E599="Y",1,1-F599)*INDEX('2. Emissions Units &amp; Activities'!$G$7:$G$193,MATCH(B599,'2. Emissions Units &amp; Activities'!$B$7:$B$193,0))))</f>
        <v>0.43800000000000006</v>
      </c>
      <c r="K599" s="85">
        <f t="shared" si="22"/>
        <v>6.2998940277777779E-6</v>
      </c>
      <c r="L599" s="85">
        <f>IF(B599="",IF(CONCATENATE(C599,D599,E599,F599,G599,H599,I599)="","",ws3_EU_ID_blank),IF(ISERROR(MATCH(B599,'2. Emissions Units &amp; Activities'!$B$7:$B$193,0)),ws3_matching_error_msg,G599*IF(E599="Y",1,1-F599)*INDEX('2. Emissions Units &amp; Activities'!$J$7:$J$193,MATCH(B599,'2. Emissions Units &amp; Activities'!$B$7:$B$193,0))))</f>
        <v>1.2000000000000001E-3</v>
      </c>
      <c r="M599" s="509">
        <f t="shared" si="23"/>
        <v>6.2998940277777779E-6</v>
      </c>
      <c r="N599" s="284"/>
    </row>
    <row r="600" spans="1:14" ht="15.75" x14ac:dyDescent="0.25">
      <c r="A600" s="86"/>
      <c r="B600" s="508" t="s">
        <v>77</v>
      </c>
      <c r="C600" s="339">
        <v>401</v>
      </c>
      <c r="D600" s="340" t="s">
        <v>246</v>
      </c>
      <c r="E600" s="339" t="s">
        <v>214</v>
      </c>
      <c r="F600" s="341">
        <v>0</v>
      </c>
      <c r="G600" s="339">
        <v>1E-4</v>
      </c>
      <c r="H600" s="339" t="s">
        <v>223</v>
      </c>
      <c r="I600" s="339" t="s">
        <v>288</v>
      </c>
      <c r="J600" s="85">
        <f>IF(B600="",IF(CONCATENATE(C600,D600,E600,F600,G600,H600,I600)="","",ws3_EU_ID_blank),IF(ISERROR(MATCH(B600,'2. Emissions Units &amp; Activities'!$B$7:$B$193,0)),ws3_matching_error_msg,G600*IF(E600="Y",1,1-F600)*INDEX('2. Emissions Units &amp; Activities'!$G$7:$G$193,MATCH(B600,'2. Emissions Units &amp; Activities'!$B$7:$B$193,0))))</f>
        <v>2.5764705882352942E-3</v>
      </c>
      <c r="K600" s="85">
        <f t="shared" si="22"/>
        <v>3.7058200163398695E-8</v>
      </c>
      <c r="L600" s="85">
        <f>IF(B600="",IF(CONCATENATE(C600,D600,E600,F600,G600,H600,I600)="","",ws3_EU_ID_blank),IF(ISERROR(MATCH(B600,'2. Emissions Units &amp; Activities'!$B$7:$B$193,0)),ws3_matching_error_msg,G600*IF(E600="Y",1,1-F600)*INDEX('2. Emissions Units &amp; Activities'!$J$7:$J$193,MATCH(B600,'2. Emissions Units &amp; Activities'!$B$7:$B$193,0))))</f>
        <v>7.0588235294117649E-6</v>
      </c>
      <c r="M600" s="509">
        <f t="shared" si="23"/>
        <v>3.7058200163398695E-8</v>
      </c>
      <c r="N600" s="284"/>
    </row>
    <row r="601" spans="1:14" ht="15.75" x14ac:dyDescent="0.25">
      <c r="A601" s="86"/>
      <c r="B601" s="508" t="s">
        <v>77</v>
      </c>
      <c r="C601" s="339" t="s">
        <v>244</v>
      </c>
      <c r="D601" s="340" t="s">
        <v>245</v>
      </c>
      <c r="E601" s="339" t="s">
        <v>214</v>
      </c>
      <c r="F601" s="341">
        <v>0</v>
      </c>
      <c r="G601" s="339">
        <v>2.9999999999999997E-4</v>
      </c>
      <c r="H601" s="339" t="s">
        <v>223</v>
      </c>
      <c r="I601" s="339" t="s">
        <v>288</v>
      </c>
      <c r="J601" s="85">
        <f>IF(B601="",IF(CONCATENATE(C601,D601,E601,F601,G601,H601,I601)="","",ws3_EU_ID_blank),IF(ISERROR(MATCH(B601,'2. Emissions Units &amp; Activities'!$B$7:$B$193,0)),ws3_matching_error_msg,G601*IF(E601="Y",1,1-F601)*INDEX('2. Emissions Units &amp; Activities'!$G$7:$G$193,MATCH(B601,'2. Emissions Units &amp; Activities'!$B$7:$B$193,0))))</f>
        <v>7.7294117647058822E-3</v>
      </c>
      <c r="K601" s="85">
        <f t="shared" si="22"/>
        <v>1.1117460049019606E-7</v>
      </c>
      <c r="L601" s="85">
        <f>IF(B601="",IF(CONCATENATE(C601,D601,E601,F601,G601,H601,I601)="","",ws3_EU_ID_blank),IF(ISERROR(MATCH(B601,'2. Emissions Units &amp; Activities'!$B$7:$B$193,0)),ws3_matching_error_msg,G601*IF(E601="Y",1,1-F601)*INDEX('2. Emissions Units &amp; Activities'!$J$7:$J$193,MATCH(B601,'2. Emissions Units &amp; Activities'!$B$7:$B$193,0))))</f>
        <v>2.1176470588235292E-5</v>
      </c>
      <c r="M601" s="509">
        <f t="shared" si="23"/>
        <v>1.1117460049019606E-7</v>
      </c>
      <c r="N601" s="284"/>
    </row>
    <row r="602" spans="1:14" ht="15.75" x14ac:dyDescent="0.25">
      <c r="A602" s="86"/>
      <c r="B602" s="508" t="s">
        <v>77</v>
      </c>
      <c r="C602" s="339" t="s">
        <v>247</v>
      </c>
      <c r="D602" s="340" t="s">
        <v>248</v>
      </c>
      <c r="E602" s="339" t="s">
        <v>214</v>
      </c>
      <c r="F602" s="341">
        <v>0</v>
      </c>
      <c r="G602" s="339">
        <v>4.3E-3</v>
      </c>
      <c r="H602" s="339" t="s">
        <v>223</v>
      </c>
      <c r="I602" s="339" t="s">
        <v>288</v>
      </c>
      <c r="J602" s="85">
        <f>IF(B602="",IF(CONCATENATE(C602,D602,E602,F602,G602,H602,I602)="","",ws3_EU_ID_blank),IF(ISERROR(MATCH(B602,'2. Emissions Units &amp; Activities'!$B$7:$B$193,0)),ws3_matching_error_msg,G602*IF(E602="Y",1,1-F602)*INDEX('2. Emissions Units &amp; Activities'!$G$7:$G$193,MATCH(B602,'2. Emissions Units &amp; Activities'!$B$7:$B$193,0))))</f>
        <v>0.11078823529411765</v>
      </c>
      <c r="K602" s="85">
        <f t="shared" si="22"/>
        <v>1.5935026070261438E-6</v>
      </c>
      <c r="L602" s="85">
        <f>IF(B602="",IF(CONCATENATE(C602,D602,E602,F602,G602,H602,I602)="","",ws3_EU_ID_blank),IF(ISERROR(MATCH(B602,'2. Emissions Units &amp; Activities'!$B$7:$B$193,0)),ws3_matching_error_msg,G602*IF(E602="Y",1,1-F602)*INDEX('2. Emissions Units &amp; Activities'!$J$7:$J$193,MATCH(B602,'2. Emissions Units &amp; Activities'!$B$7:$B$193,0))))</f>
        <v>3.0352941176470586E-4</v>
      </c>
      <c r="M602" s="509">
        <f t="shared" si="23"/>
        <v>1.5935026070261436E-6</v>
      </c>
      <c r="N602" s="284"/>
    </row>
    <row r="603" spans="1:14" ht="15.75" x14ac:dyDescent="0.25">
      <c r="A603" s="86"/>
      <c r="B603" s="508" t="s">
        <v>77</v>
      </c>
      <c r="C603" s="339" t="s">
        <v>249</v>
      </c>
      <c r="D603" s="340" t="s">
        <v>250</v>
      </c>
      <c r="E603" s="339" t="s">
        <v>214</v>
      </c>
      <c r="F603" s="341">
        <v>0</v>
      </c>
      <c r="G603" s="339">
        <v>2.7000000000000001E-3</v>
      </c>
      <c r="H603" s="339" t="s">
        <v>223</v>
      </c>
      <c r="I603" s="339" t="s">
        <v>288</v>
      </c>
      <c r="J603" s="85">
        <f>IF(B603="",IF(CONCATENATE(C603,D603,E603,F603,G603,H603,I603)="","",ws3_EU_ID_blank),IF(ISERROR(MATCH(B603,'2. Emissions Units &amp; Activities'!$B$7:$B$193,0)),ws3_matching_error_msg,G603*IF(E603="Y",1,1-F603)*INDEX('2. Emissions Units &amp; Activities'!$G$7:$G$193,MATCH(B603,'2. Emissions Units &amp; Activities'!$B$7:$B$193,0))))</f>
        <v>6.9564705882352945E-2</v>
      </c>
      <c r="K603" s="85">
        <f t="shared" si="22"/>
        <v>1.0005714044117648E-6</v>
      </c>
      <c r="L603" s="85">
        <f>IF(B603="",IF(CONCATENATE(C603,D603,E603,F603,G603,H603,I603)="","",ws3_EU_ID_blank),IF(ISERROR(MATCH(B603,'2. Emissions Units &amp; Activities'!$B$7:$B$193,0)),ws3_matching_error_msg,G603*IF(E603="Y",1,1-F603)*INDEX('2. Emissions Units &amp; Activities'!$J$7:$J$193,MATCH(B603,'2. Emissions Units &amp; Activities'!$B$7:$B$193,0))))</f>
        <v>1.9058823529411766E-4</v>
      </c>
      <c r="M603" s="509">
        <f t="shared" si="23"/>
        <v>1.0005714044117648E-6</v>
      </c>
      <c r="N603" s="284"/>
    </row>
    <row r="604" spans="1:14" ht="15.75" x14ac:dyDescent="0.25">
      <c r="A604" s="86"/>
      <c r="B604" s="508" t="s">
        <v>77</v>
      </c>
      <c r="C604" s="339" t="s">
        <v>251</v>
      </c>
      <c r="D604" s="340" t="s">
        <v>252</v>
      </c>
      <c r="E604" s="339" t="s">
        <v>214</v>
      </c>
      <c r="F604" s="341">
        <v>0</v>
      </c>
      <c r="G604" s="339">
        <v>3.2</v>
      </c>
      <c r="H604" s="339" t="s">
        <v>223</v>
      </c>
      <c r="I604" s="339" t="s">
        <v>288</v>
      </c>
      <c r="J604" s="85">
        <f>IF(B604="",IF(CONCATENATE(C604,D604,E604,F604,G604,H604,I604)="","",ws3_EU_ID_blank),IF(ISERROR(MATCH(B604,'2. Emissions Units &amp; Activities'!$B$7:$B$193,0)),ws3_matching_error_msg,G604*IF(E604="Y",1,1-F604)*INDEX('2. Emissions Units &amp; Activities'!$G$7:$G$193,MATCH(B604,'2. Emissions Units &amp; Activities'!$B$7:$B$193,0))))</f>
        <v>82.447058823529417</v>
      </c>
      <c r="K604" s="85">
        <f t="shared" si="22"/>
        <v>1.1858624052287583E-3</v>
      </c>
      <c r="L604" s="85">
        <f>IF(B604="",IF(CONCATENATE(C604,D604,E604,F604,G604,H604,I604)="","",ws3_EU_ID_blank),IF(ISERROR(MATCH(B604,'2. Emissions Units &amp; Activities'!$B$7:$B$193,0)),ws3_matching_error_msg,G604*IF(E604="Y",1,1-F604)*INDEX('2. Emissions Units &amp; Activities'!$J$7:$J$193,MATCH(B604,'2. Emissions Units &amp; Activities'!$B$7:$B$193,0))))</f>
        <v>0.22588235294117648</v>
      </c>
      <c r="M604" s="509">
        <f t="shared" si="23"/>
        <v>1.1858624052287583E-3</v>
      </c>
      <c r="N604" s="284"/>
    </row>
    <row r="605" spans="1:14" ht="15.75" x14ac:dyDescent="0.25">
      <c r="A605" s="86"/>
      <c r="B605" s="508" t="s">
        <v>77</v>
      </c>
      <c r="C605" s="339" t="s">
        <v>218</v>
      </c>
      <c r="D605" s="340" t="s">
        <v>219</v>
      </c>
      <c r="E605" s="339" t="s">
        <v>214</v>
      </c>
      <c r="F605" s="341">
        <v>0</v>
      </c>
      <c r="G605" s="339">
        <v>2.0000000000000001E-4</v>
      </c>
      <c r="H605" s="339" t="s">
        <v>223</v>
      </c>
      <c r="I605" s="339" t="s">
        <v>288</v>
      </c>
      <c r="J605" s="85">
        <f>IF(B605="",IF(CONCATENATE(C605,D605,E605,F605,G605,H605,I605)="","",ws3_EU_ID_blank),IF(ISERROR(MATCH(B605,'2. Emissions Units &amp; Activities'!$B$7:$B$193,0)),ws3_matching_error_msg,G605*IF(E605="Y",1,1-F605)*INDEX('2. Emissions Units &amp; Activities'!$G$7:$G$193,MATCH(B605,'2. Emissions Units &amp; Activities'!$B$7:$B$193,0))))</f>
        <v>5.1529411764705884E-3</v>
      </c>
      <c r="K605" s="85">
        <f t="shared" si="22"/>
        <v>7.411640032679739E-8</v>
      </c>
      <c r="L605" s="85">
        <f>IF(B605="",IF(CONCATENATE(C605,D605,E605,F605,G605,H605,I605)="","",ws3_EU_ID_blank),IF(ISERROR(MATCH(B605,'2. Emissions Units &amp; Activities'!$B$7:$B$193,0)),ws3_matching_error_msg,G605*IF(E605="Y",1,1-F605)*INDEX('2. Emissions Units &amp; Activities'!$J$7:$J$193,MATCH(B605,'2. Emissions Units &amp; Activities'!$B$7:$B$193,0))))</f>
        <v>1.411764705882353E-5</v>
      </c>
      <c r="M605" s="509">
        <f t="shared" si="23"/>
        <v>7.411640032679739E-8</v>
      </c>
      <c r="N605" s="284"/>
    </row>
    <row r="606" spans="1:14" ht="15.75" x14ac:dyDescent="0.25">
      <c r="A606" s="86"/>
      <c r="B606" s="508" t="s">
        <v>77</v>
      </c>
      <c r="C606" s="339" t="s">
        <v>275</v>
      </c>
      <c r="D606" s="340" t="s">
        <v>276</v>
      </c>
      <c r="E606" s="339" t="s">
        <v>214</v>
      </c>
      <c r="F606" s="341">
        <v>0</v>
      </c>
      <c r="G606" s="339">
        <v>4.4000000000000003E-3</v>
      </c>
      <c r="H606" s="339" t="s">
        <v>223</v>
      </c>
      <c r="I606" s="339" t="s">
        <v>288</v>
      </c>
      <c r="J606" s="85">
        <f>IF(B606="",IF(CONCATENATE(C606,D606,E606,F606,G606,H606,I606)="","",ws3_EU_ID_blank),IF(ISERROR(MATCH(B606,'2. Emissions Units &amp; Activities'!$B$7:$B$193,0)),ws3_matching_error_msg,G606*IF(E606="Y",1,1-F606)*INDEX('2. Emissions Units &amp; Activities'!$G$7:$G$193,MATCH(B606,'2. Emissions Units &amp; Activities'!$B$7:$B$193,0))))</f>
        <v>0.11336470588235295</v>
      </c>
      <c r="K606" s="85">
        <f t="shared" si="22"/>
        <v>1.6305608071895428E-6</v>
      </c>
      <c r="L606" s="85">
        <f>IF(B606="",IF(CONCATENATE(C606,D606,E606,F606,G606,H606,I606)="","",ws3_EU_ID_blank),IF(ISERROR(MATCH(B606,'2. Emissions Units &amp; Activities'!$B$7:$B$193,0)),ws3_matching_error_msg,G606*IF(E606="Y",1,1-F606)*INDEX('2. Emissions Units &amp; Activities'!$J$7:$J$193,MATCH(B606,'2. Emissions Units &amp; Activities'!$B$7:$B$193,0))))</f>
        <v>3.1058823529411767E-4</v>
      </c>
      <c r="M606" s="509">
        <f t="shared" si="23"/>
        <v>1.6305608071895428E-6</v>
      </c>
      <c r="N606" s="284"/>
    </row>
    <row r="607" spans="1:14" ht="15.75" x14ac:dyDescent="0.25">
      <c r="A607" s="86"/>
      <c r="B607" s="508" t="s">
        <v>77</v>
      </c>
      <c r="C607" s="339" t="s">
        <v>277</v>
      </c>
      <c r="D607" s="340" t="s">
        <v>278</v>
      </c>
      <c r="E607" s="339" t="s">
        <v>214</v>
      </c>
      <c r="F607" s="341">
        <v>0</v>
      </c>
      <c r="G607" s="339">
        <v>1.2E-5</v>
      </c>
      <c r="H607" s="339" t="s">
        <v>223</v>
      </c>
      <c r="I607" s="339" t="s">
        <v>288</v>
      </c>
      <c r="J607" s="85">
        <f>IF(B607="",IF(CONCATENATE(C607,D607,E607,F607,G607,H607,I607)="","",ws3_EU_ID_blank),IF(ISERROR(MATCH(B607,'2. Emissions Units &amp; Activities'!$B$7:$B$193,0)),ws3_matching_error_msg,G607*IF(E607="Y",1,1-F607)*INDEX('2. Emissions Units &amp; Activities'!$G$7:$G$193,MATCH(B607,'2. Emissions Units &amp; Activities'!$B$7:$B$193,0))))</f>
        <v>3.091764705882353E-4</v>
      </c>
      <c r="K607" s="85">
        <f t="shared" si="22"/>
        <v>4.4469840196078432E-9</v>
      </c>
      <c r="L607" s="85">
        <f>IF(B607="",IF(CONCATENATE(C607,D607,E607,F607,G607,H607,I607)="","",ws3_EU_ID_blank),IF(ISERROR(MATCH(B607,'2. Emissions Units &amp; Activities'!$B$7:$B$193,0)),ws3_matching_error_msg,G607*IF(E607="Y",1,1-F607)*INDEX('2. Emissions Units &amp; Activities'!$J$7:$J$193,MATCH(B607,'2. Emissions Units &amp; Activities'!$B$7:$B$193,0))))</f>
        <v>8.4705882352941183E-7</v>
      </c>
      <c r="M607" s="509">
        <f t="shared" si="23"/>
        <v>4.4469840196078432E-9</v>
      </c>
      <c r="N607" s="284"/>
    </row>
    <row r="608" spans="1:14" ht="15.75" x14ac:dyDescent="0.25">
      <c r="A608" s="86"/>
      <c r="B608" s="508" t="s">
        <v>77</v>
      </c>
      <c r="C608" s="339" t="s">
        <v>235</v>
      </c>
      <c r="D608" s="340" t="s">
        <v>236</v>
      </c>
      <c r="E608" s="339" t="s">
        <v>214</v>
      </c>
      <c r="F608" s="341">
        <v>0</v>
      </c>
      <c r="G608" s="339">
        <v>1.1000000000000001E-3</v>
      </c>
      <c r="H608" s="339" t="s">
        <v>223</v>
      </c>
      <c r="I608" s="339" t="s">
        <v>288</v>
      </c>
      <c r="J608" s="85">
        <f>IF(B608="",IF(CONCATENATE(C608,D608,E608,F608,G608,H608,I608)="","",ws3_EU_ID_blank),IF(ISERROR(MATCH(B608,'2. Emissions Units &amp; Activities'!$B$7:$B$193,0)),ws3_matching_error_msg,G608*IF(E608="Y",1,1-F608)*INDEX('2. Emissions Units &amp; Activities'!$G$7:$G$193,MATCH(B608,'2. Emissions Units &amp; Activities'!$B$7:$B$193,0))))</f>
        <v>2.8341176470588238E-2</v>
      </c>
      <c r="K608" s="85">
        <f t="shared" si="22"/>
        <v>4.076402017973857E-7</v>
      </c>
      <c r="L608" s="85">
        <f>IF(B608="",IF(CONCATENATE(C608,D608,E608,F608,G608,H608,I608)="","",ws3_EU_ID_blank),IF(ISERROR(MATCH(B608,'2. Emissions Units &amp; Activities'!$B$7:$B$193,0)),ws3_matching_error_msg,G608*IF(E608="Y",1,1-F608)*INDEX('2. Emissions Units &amp; Activities'!$J$7:$J$193,MATCH(B608,'2. Emissions Units &amp; Activities'!$B$7:$B$193,0))))</f>
        <v>7.7647058823529419E-5</v>
      </c>
      <c r="M608" s="509">
        <f t="shared" si="23"/>
        <v>4.076402017973857E-7</v>
      </c>
      <c r="N608" s="284"/>
    </row>
    <row r="609" spans="1:14" ht="15.75" x14ac:dyDescent="0.25">
      <c r="A609" s="86"/>
      <c r="B609" s="508" t="s">
        <v>77</v>
      </c>
      <c r="C609" s="339" t="s">
        <v>239</v>
      </c>
      <c r="D609" s="340" t="s">
        <v>240</v>
      </c>
      <c r="E609" s="339" t="s">
        <v>214</v>
      </c>
      <c r="F609" s="341">
        <v>0</v>
      </c>
      <c r="G609" s="339">
        <v>1.4E-3</v>
      </c>
      <c r="H609" s="339" t="s">
        <v>223</v>
      </c>
      <c r="I609" s="339" t="s">
        <v>288</v>
      </c>
      <c r="J609" s="85">
        <f>IF(B609="",IF(CONCATENATE(C609,D609,E609,F609,G609,H609,I609)="","",ws3_EU_ID_blank),IF(ISERROR(MATCH(B609,'2. Emissions Units &amp; Activities'!$B$7:$B$193,0)),ws3_matching_error_msg,G609*IF(E609="Y",1,1-F609)*INDEX('2. Emissions Units &amp; Activities'!$G$7:$G$193,MATCH(B609,'2. Emissions Units &amp; Activities'!$B$7:$B$193,0))))</f>
        <v>3.6070588235294118E-2</v>
      </c>
      <c r="K609" s="85">
        <f t="shared" si="22"/>
        <v>5.1881480228758169E-7</v>
      </c>
      <c r="L609" s="85">
        <f>IF(B609="",IF(CONCATENATE(C609,D609,E609,F609,G609,H609,I609)="","",ws3_EU_ID_blank),IF(ISERROR(MATCH(B609,'2. Emissions Units &amp; Activities'!$B$7:$B$193,0)),ws3_matching_error_msg,G609*IF(E609="Y",1,1-F609)*INDEX('2. Emissions Units &amp; Activities'!$J$7:$J$193,MATCH(B609,'2. Emissions Units &amp; Activities'!$B$7:$B$193,0))))</f>
        <v>9.8823529411764697E-5</v>
      </c>
      <c r="M609" s="509">
        <f t="shared" si="23"/>
        <v>5.1881480228758169E-7</v>
      </c>
      <c r="N609" s="284"/>
    </row>
    <row r="610" spans="1:14" ht="15.75" x14ac:dyDescent="0.25">
      <c r="A610" s="86"/>
      <c r="B610" s="508" t="s">
        <v>77</v>
      </c>
      <c r="C610" s="339" t="s">
        <v>279</v>
      </c>
      <c r="D610" s="340" t="s">
        <v>280</v>
      </c>
      <c r="E610" s="339" t="s">
        <v>214</v>
      </c>
      <c r="F610" s="341">
        <v>0</v>
      </c>
      <c r="G610" s="339">
        <v>8.3999999999999995E-5</v>
      </c>
      <c r="H610" s="339" t="s">
        <v>223</v>
      </c>
      <c r="I610" s="339" t="s">
        <v>288</v>
      </c>
      <c r="J610" s="85">
        <f>IF(B610="",IF(CONCATENATE(C610,D610,E610,F610,G610,H610,I610)="","",ws3_EU_ID_blank),IF(ISERROR(MATCH(B610,'2. Emissions Units &amp; Activities'!$B$7:$B$193,0)),ws3_matching_error_msg,G610*IF(E610="Y",1,1-F610)*INDEX('2. Emissions Units &amp; Activities'!$G$7:$G$193,MATCH(B610,'2. Emissions Units &amp; Activities'!$B$7:$B$193,0))))</f>
        <v>2.1642352941176469E-3</v>
      </c>
      <c r="K610" s="85">
        <f t="shared" si="22"/>
        <v>3.1128888137254897E-8</v>
      </c>
      <c r="L610" s="85">
        <f>IF(B610="",IF(CONCATENATE(C610,D610,E610,F610,G610,H610,I610)="","",ws3_EU_ID_blank),IF(ISERROR(MATCH(B610,'2. Emissions Units &amp; Activities'!$B$7:$B$193,0)),ws3_matching_error_msg,G610*IF(E610="Y",1,1-F610)*INDEX('2. Emissions Units &amp; Activities'!$J$7:$J$193,MATCH(B610,'2. Emissions Units &amp; Activities'!$B$7:$B$193,0))))</f>
        <v>5.9294117647058819E-6</v>
      </c>
      <c r="M610" s="509">
        <f t="shared" si="23"/>
        <v>3.1128888137254904E-8</v>
      </c>
      <c r="N610" s="284"/>
    </row>
    <row r="611" spans="1:14" ht="15.75" x14ac:dyDescent="0.25">
      <c r="A611" s="86"/>
      <c r="B611" s="508" t="s">
        <v>77</v>
      </c>
      <c r="C611" s="339" t="s">
        <v>253</v>
      </c>
      <c r="D611" s="340" t="s">
        <v>254</v>
      </c>
      <c r="E611" s="339" t="s">
        <v>214</v>
      </c>
      <c r="F611" s="341">
        <v>0</v>
      </c>
      <c r="G611" s="339">
        <v>8.4999999999999995E-4</v>
      </c>
      <c r="H611" s="339" t="s">
        <v>223</v>
      </c>
      <c r="I611" s="339" t="s">
        <v>288</v>
      </c>
      <c r="J611" s="85">
        <f>IF(B611="",IF(CONCATENATE(C611,D611,E611,F611,G611,H611,I611)="","",ws3_EU_ID_blank),IF(ISERROR(MATCH(B611,'2. Emissions Units &amp; Activities'!$B$7:$B$193,0)),ws3_matching_error_msg,G611*IF(E611="Y",1,1-F611)*INDEX('2. Emissions Units &amp; Activities'!$G$7:$G$193,MATCH(B611,'2. Emissions Units &amp; Activities'!$B$7:$B$193,0))))</f>
        <v>2.1899999999999999E-2</v>
      </c>
      <c r="K611" s="85">
        <f t="shared" si="22"/>
        <v>3.1499470138888886E-7</v>
      </c>
      <c r="L611" s="85">
        <f>IF(B611="",IF(CONCATENATE(C611,D611,E611,F611,G611,H611,I611)="","",ws3_EU_ID_blank),IF(ISERROR(MATCH(B611,'2. Emissions Units &amp; Activities'!$B$7:$B$193,0)),ws3_matching_error_msg,G611*IF(E611="Y",1,1-F611)*INDEX('2. Emissions Units &amp; Activities'!$J$7:$J$193,MATCH(B611,'2. Emissions Units &amp; Activities'!$B$7:$B$193,0))))</f>
        <v>5.9999999999999995E-5</v>
      </c>
      <c r="M611" s="509">
        <f t="shared" si="23"/>
        <v>3.1499470138888886E-7</v>
      </c>
      <c r="N611" s="284"/>
    </row>
    <row r="612" spans="1:14" ht="15.75" x14ac:dyDescent="0.25">
      <c r="A612" s="86"/>
      <c r="B612" s="508" t="s">
        <v>77</v>
      </c>
      <c r="C612" s="339" t="s">
        <v>255</v>
      </c>
      <c r="D612" s="340" t="s">
        <v>256</v>
      </c>
      <c r="E612" s="339" t="s">
        <v>214</v>
      </c>
      <c r="F612" s="341">
        <v>0</v>
      </c>
      <c r="G612" s="339">
        <v>9.4999999999999998E-3</v>
      </c>
      <c r="H612" s="339" t="s">
        <v>223</v>
      </c>
      <c r="I612" s="339" t="s">
        <v>288</v>
      </c>
      <c r="J612" s="85">
        <f>IF(B612="",IF(CONCATENATE(C612,D612,E612,F612,G612,H612,I612)="","",ws3_EU_ID_blank),IF(ISERROR(MATCH(B612,'2. Emissions Units &amp; Activities'!$B$7:$B$193,0)),ws3_matching_error_msg,G612*IF(E612="Y",1,1-F612)*INDEX('2. Emissions Units &amp; Activities'!$G$7:$G$193,MATCH(B612,'2. Emissions Units &amp; Activities'!$B$7:$B$193,0))))</f>
        <v>0.24476470588235294</v>
      </c>
      <c r="K612" s="85">
        <f t="shared" si="22"/>
        <v>3.5205290155228763E-6</v>
      </c>
      <c r="L612" s="85">
        <f>IF(B612="",IF(CONCATENATE(C612,D612,E612,F612,G612,H612,I612)="","",ws3_EU_ID_blank),IF(ISERROR(MATCH(B612,'2. Emissions Units &amp; Activities'!$B$7:$B$193,0)),ws3_matching_error_msg,G612*IF(E612="Y",1,1-F612)*INDEX('2. Emissions Units &amp; Activities'!$J$7:$J$193,MATCH(B612,'2. Emissions Units &amp; Activities'!$B$7:$B$193,0))))</f>
        <v>6.7058823529411759E-4</v>
      </c>
      <c r="M612" s="509">
        <f t="shared" si="23"/>
        <v>3.5205290155228755E-6</v>
      </c>
      <c r="N612" s="284"/>
    </row>
    <row r="613" spans="1:14" ht="15.75" x14ac:dyDescent="0.25">
      <c r="A613" s="86"/>
      <c r="B613" s="508" t="s">
        <v>77</v>
      </c>
      <c r="C613" s="339" t="s">
        <v>257</v>
      </c>
      <c r="D613" s="340" t="s">
        <v>258</v>
      </c>
      <c r="E613" s="339" t="s">
        <v>214</v>
      </c>
      <c r="F613" s="341">
        <v>0</v>
      </c>
      <c r="G613" s="339">
        <v>6.3E-3</v>
      </c>
      <c r="H613" s="339" t="s">
        <v>223</v>
      </c>
      <c r="I613" s="339" t="s">
        <v>288</v>
      </c>
      <c r="J613" s="85">
        <f>IF(B613="",IF(CONCATENATE(C613,D613,E613,F613,G613,H613,I613)="","",ws3_EU_ID_blank),IF(ISERROR(MATCH(B613,'2. Emissions Units &amp; Activities'!$B$7:$B$193,0)),ws3_matching_error_msg,G613*IF(E613="Y",1,1-F613)*INDEX('2. Emissions Units &amp; Activities'!$G$7:$G$193,MATCH(B613,'2. Emissions Units &amp; Activities'!$B$7:$B$193,0))))</f>
        <v>0.16231764705882354</v>
      </c>
      <c r="K613" s="85">
        <f t="shared" si="22"/>
        <v>2.3346666102941179E-6</v>
      </c>
      <c r="L613" s="85">
        <f>IF(B613="",IF(CONCATENATE(C613,D613,E613,F613,G613,H613,I613)="","",ws3_EU_ID_blank),IF(ISERROR(MATCH(B613,'2. Emissions Units &amp; Activities'!$B$7:$B$193,0)),ws3_matching_error_msg,G613*IF(E613="Y",1,1-F613)*INDEX('2. Emissions Units &amp; Activities'!$J$7:$J$193,MATCH(B613,'2. Emissions Units &amp; Activities'!$B$7:$B$193,0))))</f>
        <v>4.4470588235294119E-4</v>
      </c>
      <c r="M613" s="509">
        <f t="shared" si="23"/>
        <v>2.3346666102941179E-6</v>
      </c>
      <c r="N613" s="284"/>
    </row>
    <row r="614" spans="1:14" ht="15.75" x14ac:dyDescent="0.25">
      <c r="A614" s="86"/>
      <c r="B614" s="508" t="s">
        <v>77</v>
      </c>
      <c r="C614" s="339" t="s">
        <v>241</v>
      </c>
      <c r="D614" s="340" t="s">
        <v>242</v>
      </c>
      <c r="E614" s="339" t="s">
        <v>214</v>
      </c>
      <c r="F614" s="341">
        <v>0</v>
      </c>
      <c r="G614" s="339">
        <v>5.0000000000000001E-4</v>
      </c>
      <c r="H614" s="339" t="s">
        <v>223</v>
      </c>
      <c r="I614" s="339" t="s">
        <v>288</v>
      </c>
      <c r="J614" s="85">
        <f>IF(B614="",IF(CONCATENATE(C614,D614,E614,F614,G614,H614,I614)="","",ws3_EU_ID_blank),IF(ISERROR(MATCH(B614,'2. Emissions Units &amp; Activities'!$B$7:$B$193,0)),ws3_matching_error_msg,G614*IF(E614="Y",1,1-F614)*INDEX('2. Emissions Units &amp; Activities'!$G$7:$G$193,MATCH(B614,'2. Emissions Units &amp; Activities'!$B$7:$B$193,0))))</f>
        <v>1.2882352941176472E-2</v>
      </c>
      <c r="K614" s="85">
        <f t="shared" si="22"/>
        <v>1.8529100081699347E-7</v>
      </c>
      <c r="L614" s="85">
        <f>IF(B614="",IF(CONCATENATE(C614,D614,E614,F614,G614,H614,I614)="","",ws3_EU_ID_blank),IF(ISERROR(MATCH(B614,'2. Emissions Units &amp; Activities'!$B$7:$B$193,0)),ws3_matching_error_msg,G614*IF(E614="Y",1,1-F614)*INDEX('2. Emissions Units &amp; Activities'!$J$7:$J$193,MATCH(B614,'2. Emissions Units &amp; Activities'!$B$7:$B$193,0))))</f>
        <v>3.529411764705882E-5</v>
      </c>
      <c r="M614" s="509">
        <f t="shared" si="23"/>
        <v>1.8529100081699347E-7</v>
      </c>
      <c r="N614" s="284"/>
    </row>
    <row r="615" spans="1:14" ht="15.75" x14ac:dyDescent="0.25">
      <c r="A615" s="86"/>
      <c r="B615" s="508" t="s">
        <v>77</v>
      </c>
      <c r="C615" s="339" t="s">
        <v>261</v>
      </c>
      <c r="D615" s="340" t="s">
        <v>262</v>
      </c>
      <c r="E615" s="339" t="s">
        <v>214</v>
      </c>
      <c r="F615" s="341">
        <v>0</v>
      </c>
      <c r="G615" s="339">
        <v>3.8000000000000002E-4</v>
      </c>
      <c r="H615" s="339" t="s">
        <v>223</v>
      </c>
      <c r="I615" s="339" t="s">
        <v>288</v>
      </c>
      <c r="J615" s="85">
        <f>IF(B615="",IF(CONCATENATE(C615,D615,E615,F615,G615,H615,I615)="","",ws3_EU_ID_blank),IF(ISERROR(MATCH(B615,'2. Emissions Units &amp; Activities'!$B$7:$B$193,0)),ws3_matching_error_msg,G615*IF(E615="Y",1,1-F615)*INDEX('2. Emissions Units &amp; Activities'!$G$7:$G$193,MATCH(B615,'2. Emissions Units &amp; Activities'!$B$7:$B$193,0))))</f>
        <v>9.7905882352941186E-3</v>
      </c>
      <c r="K615" s="85">
        <f t="shared" si="22"/>
        <v>1.4082116062091505E-7</v>
      </c>
      <c r="L615" s="85">
        <f>IF(B615="",IF(CONCATENATE(C615,D615,E615,F615,G615,H615,I615)="","",ws3_EU_ID_blank),IF(ISERROR(MATCH(B615,'2. Emissions Units &amp; Activities'!$B$7:$B$193,0)),ws3_matching_error_msg,G615*IF(E615="Y",1,1-F615)*INDEX('2. Emissions Units &amp; Activities'!$J$7:$J$193,MATCH(B615,'2. Emissions Units &amp; Activities'!$B$7:$B$193,0))))</f>
        <v>2.6823529411764706E-5</v>
      </c>
      <c r="M615" s="509">
        <f t="shared" si="23"/>
        <v>1.4082116062091503E-7</v>
      </c>
      <c r="N615" s="284"/>
    </row>
    <row r="616" spans="1:14" ht="15.75" x14ac:dyDescent="0.25">
      <c r="A616" s="86"/>
      <c r="B616" s="508" t="s">
        <v>77</v>
      </c>
      <c r="C616" s="339" t="s">
        <v>263</v>
      </c>
      <c r="D616" s="340" t="s">
        <v>264</v>
      </c>
      <c r="E616" s="339" t="s">
        <v>214</v>
      </c>
      <c r="F616" s="341">
        <v>0</v>
      </c>
      <c r="G616" s="339">
        <v>2.5999999999999998E-4</v>
      </c>
      <c r="H616" s="339" t="s">
        <v>223</v>
      </c>
      <c r="I616" s="339" t="s">
        <v>288</v>
      </c>
      <c r="J616" s="85">
        <f>IF(B616="",IF(CONCATENATE(C616,D616,E616,F616,G616,H616,I616)="","",ws3_EU_ID_blank),IF(ISERROR(MATCH(B616,'2. Emissions Units &amp; Activities'!$B$7:$B$193,0)),ws3_matching_error_msg,G616*IF(E616="Y",1,1-F616)*INDEX('2. Emissions Units &amp; Activities'!$G$7:$G$193,MATCH(B616,'2. Emissions Units &amp; Activities'!$B$7:$B$193,0))))</f>
        <v>6.698823529411764E-3</v>
      </c>
      <c r="K616" s="85">
        <f t="shared" si="22"/>
        <v>9.6351320424836584E-8</v>
      </c>
      <c r="L616" s="85">
        <f>IF(B616="",IF(CONCATENATE(C616,D616,E616,F616,G616,H616,I616)="","",ws3_EU_ID_blank),IF(ISERROR(MATCH(B616,'2. Emissions Units &amp; Activities'!$B$7:$B$193,0)),ws3_matching_error_msg,G616*IF(E616="Y",1,1-F616)*INDEX('2. Emissions Units &amp; Activities'!$J$7:$J$193,MATCH(B616,'2. Emissions Units &amp; Activities'!$B$7:$B$193,0))))</f>
        <v>1.8352941176470587E-5</v>
      </c>
      <c r="M616" s="509">
        <f t="shared" si="23"/>
        <v>9.6351320424836584E-8</v>
      </c>
      <c r="N616" s="284"/>
    </row>
    <row r="617" spans="1:14" ht="15.75" x14ac:dyDescent="0.25">
      <c r="A617" s="86"/>
      <c r="B617" s="508" t="s">
        <v>77</v>
      </c>
      <c r="C617" s="339" t="s">
        <v>281</v>
      </c>
      <c r="D617" s="340" t="s">
        <v>282</v>
      </c>
      <c r="E617" s="339" t="s">
        <v>214</v>
      </c>
      <c r="F617" s="341">
        <v>0</v>
      </c>
      <c r="G617" s="339">
        <v>1.65E-3</v>
      </c>
      <c r="H617" s="339" t="s">
        <v>223</v>
      </c>
      <c r="I617" s="339" t="s">
        <v>288</v>
      </c>
      <c r="J617" s="85">
        <f>IF(B617="",IF(CONCATENATE(C617,D617,E617,F617,G617,H617,I617)="","",ws3_EU_ID_blank),IF(ISERROR(MATCH(B617,'2. Emissions Units &amp; Activities'!$B$7:$B$193,0)),ws3_matching_error_msg,G617*IF(E617="Y",1,1-F617)*INDEX('2. Emissions Units &amp; Activities'!$G$7:$G$193,MATCH(B617,'2. Emissions Units &amp; Activities'!$B$7:$B$193,0))))</f>
        <v>4.2511764705882353E-2</v>
      </c>
      <c r="K617" s="85">
        <f t="shared" si="22"/>
        <v>6.1146030269607842E-7</v>
      </c>
      <c r="L617" s="85">
        <f>IF(B617="",IF(CONCATENATE(C617,D617,E617,F617,G617,H617,I617)="","",ws3_EU_ID_blank),IF(ISERROR(MATCH(B617,'2. Emissions Units &amp; Activities'!$B$7:$B$193,0)),ws3_matching_error_msg,G617*IF(E617="Y",1,1-F617)*INDEX('2. Emissions Units &amp; Activities'!$J$7:$J$193,MATCH(B617,'2. Emissions Units &amp; Activities'!$B$7:$B$193,0))))</f>
        <v>1.1647058823529412E-4</v>
      </c>
      <c r="M617" s="509">
        <f t="shared" si="23"/>
        <v>6.1146030269607853E-7</v>
      </c>
      <c r="N617" s="284"/>
    </row>
    <row r="618" spans="1:14" ht="15.75" x14ac:dyDescent="0.25">
      <c r="A618" s="86"/>
      <c r="B618" s="508" t="s">
        <v>77</v>
      </c>
      <c r="C618" s="339">
        <v>365</v>
      </c>
      <c r="D618" s="340" t="s">
        <v>243</v>
      </c>
      <c r="E618" s="339" t="s">
        <v>214</v>
      </c>
      <c r="F618" s="341">
        <v>0</v>
      </c>
      <c r="G618" s="339">
        <v>2.0999999999999999E-3</v>
      </c>
      <c r="H618" s="339" t="s">
        <v>223</v>
      </c>
      <c r="I618" s="339" t="s">
        <v>288</v>
      </c>
      <c r="J618" s="85">
        <f>IF(B618="",IF(CONCATENATE(C618,D618,E618,F618,G618,H618,I618)="","",ws3_EU_ID_blank),IF(ISERROR(MATCH(B618,'2. Emissions Units &amp; Activities'!$B$7:$B$193,0)),ws3_matching_error_msg,G618*IF(E618="Y",1,1-F618)*INDEX('2. Emissions Units &amp; Activities'!$G$7:$G$193,MATCH(B618,'2. Emissions Units &amp; Activities'!$B$7:$B$193,0))))</f>
        <v>5.4105882352941177E-2</v>
      </c>
      <c r="K618" s="85">
        <f t="shared" si="22"/>
        <v>7.7822220343137259E-7</v>
      </c>
      <c r="L618" s="85">
        <f>IF(B618="",IF(CONCATENATE(C618,D618,E618,F618,G618,H618,I618)="","",ws3_EU_ID_blank),IF(ISERROR(MATCH(B618,'2. Emissions Units &amp; Activities'!$B$7:$B$193,0)),ws3_matching_error_msg,G618*IF(E618="Y",1,1-F618)*INDEX('2. Emissions Units &amp; Activities'!$J$7:$J$193,MATCH(B618,'2. Emissions Units &amp; Activities'!$B$7:$B$193,0))))</f>
        <v>1.4823529411764705E-4</v>
      </c>
      <c r="M618" s="509">
        <f t="shared" si="23"/>
        <v>7.7822220343137248E-7</v>
      </c>
      <c r="N618" s="284"/>
    </row>
    <row r="619" spans="1:14" ht="15.75" x14ac:dyDescent="0.25">
      <c r="A619" s="86"/>
      <c r="B619" s="508" t="s">
        <v>77</v>
      </c>
      <c r="C619" s="339" t="s">
        <v>265</v>
      </c>
      <c r="D619" s="340" t="s">
        <v>266</v>
      </c>
      <c r="E619" s="339" t="s">
        <v>214</v>
      </c>
      <c r="F619" s="341">
        <v>0</v>
      </c>
      <c r="G619" s="339">
        <v>2.4000000000000001E-5</v>
      </c>
      <c r="H619" s="339" t="s">
        <v>223</v>
      </c>
      <c r="I619" s="339" t="s">
        <v>288</v>
      </c>
      <c r="J619" s="85">
        <f>IF(B619="",IF(CONCATENATE(C619,D619,E619,F619,G619,H619,I619)="","",ws3_EU_ID_blank),IF(ISERROR(MATCH(B619,'2. Emissions Units &amp; Activities'!$B$7:$B$193,0)),ws3_matching_error_msg,G619*IF(E619="Y",1,1-F619)*INDEX('2. Emissions Units &amp; Activities'!$G$7:$G$193,MATCH(B619,'2. Emissions Units &amp; Activities'!$B$7:$B$193,0))))</f>
        <v>6.183529411764706E-4</v>
      </c>
      <c r="K619" s="85">
        <f t="shared" si="22"/>
        <v>8.8939680392156864E-9</v>
      </c>
      <c r="L619" s="85">
        <f>IF(B619="",IF(CONCATENATE(C619,D619,E619,F619,G619,H619,I619)="","",ws3_EU_ID_blank),IF(ISERROR(MATCH(B619,'2. Emissions Units &amp; Activities'!$B$7:$B$193,0)),ws3_matching_error_msg,G619*IF(E619="Y",1,1-F619)*INDEX('2. Emissions Units &amp; Activities'!$J$7:$J$193,MATCH(B619,'2. Emissions Units &amp; Activities'!$B$7:$B$193,0))))</f>
        <v>1.6941176470588237E-6</v>
      </c>
      <c r="M619" s="509">
        <f t="shared" si="23"/>
        <v>8.8939680392156864E-9</v>
      </c>
      <c r="N619" s="284"/>
    </row>
    <row r="620" spans="1:14" ht="15.75" x14ac:dyDescent="0.25">
      <c r="A620" s="86"/>
      <c r="B620" s="508" t="s">
        <v>77</v>
      </c>
      <c r="C620" s="339" t="s">
        <v>267</v>
      </c>
      <c r="D620" s="340" t="s">
        <v>268</v>
      </c>
      <c r="E620" s="339" t="s">
        <v>214</v>
      </c>
      <c r="F620" s="341">
        <v>0</v>
      </c>
      <c r="G620" s="339">
        <v>3.6600000000000001E-2</v>
      </c>
      <c r="H620" s="339" t="s">
        <v>223</v>
      </c>
      <c r="I620" s="339" t="s">
        <v>288</v>
      </c>
      <c r="J620" s="85">
        <f>IF(B620="",IF(CONCATENATE(C620,D620,E620,F620,G620,H620,I620)="","",ws3_EU_ID_blank),IF(ISERROR(MATCH(B620,'2. Emissions Units &amp; Activities'!$B$7:$B$193,0)),ws3_matching_error_msg,G620*IF(E620="Y",1,1-F620)*INDEX('2. Emissions Units &amp; Activities'!$G$7:$G$193,MATCH(B620,'2. Emissions Units &amp; Activities'!$B$7:$B$193,0))))</f>
        <v>0.94298823529411768</v>
      </c>
      <c r="K620" s="85">
        <f t="shared" si="22"/>
        <v>1.3563301259803923E-5</v>
      </c>
      <c r="L620" s="85">
        <f>IF(B620="",IF(CONCATENATE(C620,D620,E620,F620,G620,H620,I620)="","",ws3_EU_ID_blank),IF(ISERROR(MATCH(B620,'2. Emissions Units &amp; Activities'!$B$7:$B$193,0)),ws3_matching_error_msg,G620*IF(E620="Y",1,1-F620)*INDEX('2. Emissions Units &amp; Activities'!$J$7:$J$193,MATCH(B620,'2. Emissions Units &amp; Activities'!$B$7:$B$193,0))))</f>
        <v>2.5835294117647059E-3</v>
      </c>
      <c r="M620" s="509">
        <f t="shared" si="23"/>
        <v>1.3563301259803923E-5</v>
      </c>
      <c r="N620" s="284"/>
    </row>
    <row r="621" spans="1:14" ht="15.75" x14ac:dyDescent="0.25">
      <c r="A621" s="86"/>
      <c r="B621" s="508" t="s">
        <v>77</v>
      </c>
      <c r="C621" s="339" t="s">
        <v>283</v>
      </c>
      <c r="D621" s="340" t="s">
        <v>284</v>
      </c>
      <c r="E621" s="339" t="s">
        <v>214</v>
      </c>
      <c r="F621" s="341">
        <v>0</v>
      </c>
      <c r="G621" s="339">
        <v>2.3E-3</v>
      </c>
      <c r="H621" s="339" t="s">
        <v>223</v>
      </c>
      <c r="I621" s="339" t="s">
        <v>288</v>
      </c>
      <c r="J621" s="85">
        <f>IF(B621="",IF(CONCATENATE(C621,D621,E621,F621,G621,H621,I621)="","",ws3_EU_ID_blank),IF(ISERROR(MATCH(B621,'2. Emissions Units &amp; Activities'!$B$7:$B$193,0)),ws3_matching_error_msg,G621*IF(E621="Y",1,1-F621)*INDEX('2. Emissions Units &amp; Activities'!$G$7:$G$193,MATCH(B621,'2. Emissions Units &amp; Activities'!$B$7:$B$193,0))))</f>
        <v>5.9258823529411767E-2</v>
      </c>
      <c r="K621" s="85">
        <f t="shared" si="22"/>
        <v>8.5233860375817002E-7</v>
      </c>
      <c r="L621" s="85">
        <f>IF(B621="",IF(CONCATENATE(C621,D621,E621,F621,G621,H621,I621)="","",ws3_EU_ID_blank),IF(ISERROR(MATCH(B621,'2. Emissions Units &amp; Activities'!$B$7:$B$193,0)),ws3_matching_error_msg,G621*IF(E621="Y",1,1-F621)*INDEX('2. Emissions Units &amp; Activities'!$J$7:$J$193,MATCH(B621,'2. Emissions Units &amp; Activities'!$B$7:$B$193,0))))</f>
        <v>1.6235294117647057E-4</v>
      </c>
      <c r="M621" s="509">
        <f t="shared" si="23"/>
        <v>8.523386037581698E-7</v>
      </c>
      <c r="N621" s="284"/>
    </row>
    <row r="622" spans="1:14" ht="15.75" x14ac:dyDescent="0.25">
      <c r="A622" s="86"/>
      <c r="B622" s="508" t="s">
        <v>77</v>
      </c>
      <c r="C622" s="339" t="s">
        <v>269</v>
      </c>
      <c r="D622" s="340" t="s">
        <v>270</v>
      </c>
      <c r="E622" s="339" t="s">
        <v>214</v>
      </c>
      <c r="F622" s="341">
        <v>0</v>
      </c>
      <c r="G622" s="339">
        <v>2.7199999999999998E-2</v>
      </c>
      <c r="H622" s="339" t="s">
        <v>223</v>
      </c>
      <c r="I622" s="339" t="s">
        <v>288</v>
      </c>
      <c r="J622" s="85">
        <f>IF(B622="",IF(CONCATENATE(C622,D622,E622,F622,G622,H622,I622)="","",ws3_EU_ID_blank),IF(ISERROR(MATCH(B622,'2. Emissions Units &amp; Activities'!$B$7:$B$193,0)),ws3_matching_error_msg,G622*IF(E622="Y",1,1-F622)*INDEX('2. Emissions Units &amp; Activities'!$G$7:$G$193,MATCH(B622,'2. Emissions Units &amp; Activities'!$B$7:$B$193,0))))</f>
        <v>0.70079999999999998</v>
      </c>
      <c r="K622" s="85">
        <f t="shared" si="22"/>
        <v>1.0079830444444444E-5</v>
      </c>
      <c r="L622" s="85">
        <f>IF(B622="",IF(CONCATENATE(C622,D622,E622,F622,G622,H622,I622)="","",ws3_EU_ID_blank),IF(ISERROR(MATCH(B622,'2. Emissions Units &amp; Activities'!$B$7:$B$193,0)),ws3_matching_error_msg,G622*IF(E622="Y",1,1-F622)*INDEX('2. Emissions Units &amp; Activities'!$J$7:$J$193,MATCH(B622,'2. Emissions Units &amp; Activities'!$B$7:$B$193,0))))</f>
        <v>1.9199999999999998E-3</v>
      </c>
      <c r="M622" s="509">
        <f t="shared" si="23"/>
        <v>1.0079830444444444E-5</v>
      </c>
      <c r="N622" s="284"/>
    </row>
    <row r="623" spans="1:14" ht="15.75" x14ac:dyDescent="0.25">
      <c r="A623" s="86"/>
      <c r="B623" s="508" t="s">
        <v>77</v>
      </c>
      <c r="C623" s="339" t="s">
        <v>285</v>
      </c>
      <c r="D623" s="340" t="s">
        <v>286</v>
      </c>
      <c r="E623" s="339" t="s">
        <v>214</v>
      </c>
      <c r="F623" s="341">
        <v>0</v>
      </c>
      <c r="G623" s="339">
        <v>2.9000000000000001E-2</v>
      </c>
      <c r="H623" s="339" t="s">
        <v>223</v>
      </c>
      <c r="I623" s="339" t="s">
        <v>288</v>
      </c>
      <c r="J623" s="85">
        <f>IF(B623="",IF(CONCATENATE(C623,D623,E623,F623,G623,H623,I623)="","",ws3_EU_ID_blank),IF(ISERROR(MATCH(B623,'2. Emissions Units &amp; Activities'!$B$7:$B$193,0)),ws3_matching_error_msg,G623*IF(E623="Y",1,1-F623)*INDEX('2. Emissions Units &amp; Activities'!$G$7:$G$193,MATCH(B623,'2. Emissions Units &amp; Activities'!$B$7:$B$193,0))))</f>
        <v>0.74717647058823533</v>
      </c>
      <c r="K623" s="85">
        <f t="shared" si="22"/>
        <v>1.0746878047385624E-5</v>
      </c>
      <c r="L623" s="85">
        <f>IF(B623="",IF(CONCATENATE(C623,D623,E623,F623,G623,H623,I623)="","",ws3_EU_ID_blank),IF(ISERROR(MATCH(B623,'2. Emissions Units &amp; Activities'!$B$7:$B$193,0)),ws3_matching_error_msg,G623*IF(E623="Y",1,1-F623)*INDEX('2. Emissions Units &amp; Activities'!$J$7:$J$193,MATCH(B623,'2. Emissions Units &amp; Activities'!$B$7:$B$193,0))))</f>
        <v>2.0470588235294118E-3</v>
      </c>
      <c r="M623" s="509">
        <f t="shared" si="23"/>
        <v>1.0746878047385622E-5</v>
      </c>
      <c r="N623" s="284"/>
    </row>
    <row r="624" spans="1:14" ht="15.75" x14ac:dyDescent="0.25">
      <c r="A624" s="86"/>
      <c r="B624" s="513" t="s">
        <v>78</v>
      </c>
      <c r="C624" s="339" t="s">
        <v>251</v>
      </c>
      <c r="D624" s="345" t="s">
        <v>252</v>
      </c>
      <c r="E624" s="346" t="s">
        <v>214</v>
      </c>
      <c r="F624" s="341">
        <v>0</v>
      </c>
      <c r="G624" s="347">
        <f>'Acids Bases Plating CMP PTE'!I49/'Acids Bases Plating CMP PTE'!D47</f>
        <v>1.2644500000000001E-3</v>
      </c>
      <c r="H624" s="346" t="s">
        <v>289</v>
      </c>
      <c r="I624" s="346" t="s">
        <v>290</v>
      </c>
      <c r="J624" s="85">
        <f>IF(B624="",IF(CONCATENATE(C624,D624,E624,F624,G624,H624,I624)="","",ws3_EU_ID_blank),IF(ISERROR(MATCH(B624,'2. Emissions Units &amp; Activities'!$B$7:$B$193,0)),ws3_matching_error_msg,G624*IF(E624="Y",1,1-F624)*INDEX('2. Emissions Units &amp; Activities'!$G$7:$G$193,MATCH(B624,'2. Emissions Units &amp; Activities'!$B$7:$B$193,0))))</f>
        <v>270.10736178040366</v>
      </c>
      <c r="K624" s="85">
        <f t="shared" si="22"/>
        <v>3.8850405373040565E-3</v>
      </c>
      <c r="L624" s="85">
        <f>IF(B624="",IF(CONCATENATE(C624,D624,E624,F624,G624,H624,I624)="","",ws3_EU_ID_blank),IF(ISERROR(MATCH(B624,'2. Emissions Units &amp; Activities'!$B$7:$B$193,0)),ws3_matching_error_msg,G624*IF(E624="Y",1,1-F624)*INDEX('2. Emissions Units &amp; Activities'!$J$7:$J$193,MATCH(B624,'2. Emissions Units &amp; Activities'!$B$7:$B$193,0))))</f>
        <v>0.74002016926137992</v>
      </c>
      <c r="M624" s="509">
        <f t="shared" si="23"/>
        <v>3.8850405373040565E-3</v>
      </c>
      <c r="N624" s="284"/>
    </row>
    <row r="625" spans="1:14" ht="15.75" x14ac:dyDescent="0.25">
      <c r="A625" s="86"/>
      <c r="B625" s="513" t="s">
        <v>83</v>
      </c>
      <c r="C625" s="339" t="s">
        <v>251</v>
      </c>
      <c r="D625" s="345" t="s">
        <v>252</v>
      </c>
      <c r="E625" s="346" t="s">
        <v>214</v>
      </c>
      <c r="F625" s="341">
        <v>0</v>
      </c>
      <c r="G625" s="346">
        <f>'Acids Bases Plating CMP PTE'!I46/'Acids Bases Plating CMP PTE'!D44</f>
        <v>1.8392000000000003E-3</v>
      </c>
      <c r="H625" s="346" t="s">
        <v>289</v>
      </c>
      <c r="I625" s="346" t="s">
        <v>290</v>
      </c>
      <c r="J625" s="85">
        <f>IF(B625="",IF(CONCATENATE(C625,D625,E625,F625,G625,H625,I625)="","",ws3_EU_ID_blank),IF(ISERROR(MATCH(B625,'2. Emissions Units &amp; Activities'!$B$7:$B$193,0)),ws3_matching_error_msg,G625*IF(E625="Y",1,1-F625)*INDEX('2. Emissions Units &amp; Activities'!$G$7:$G$193,MATCH(B625,'2. Emissions Units &amp; Activities'!$B$7:$B$193,0))))</f>
        <v>40.856706088000003</v>
      </c>
      <c r="K625" s="85">
        <f t="shared" si="22"/>
        <v>5.8765506547594332E-4</v>
      </c>
      <c r="L625" s="85">
        <f>IF(B625="",IF(CONCATENATE(C625,D625,E625,F625,G625,H625,I625)="","",ws3_EU_ID_blank),IF(ISERROR(MATCH(B625,'2. Emissions Units &amp; Activities'!$B$7:$B$193,0)),ws3_matching_error_msg,G625*IF(E625="Y",1,1-F625)*INDEX('2. Emissions Units &amp; Activities'!$J$7:$J$193,MATCH(B625,'2. Emissions Units &amp; Activities'!$B$7:$B$193,0))))</f>
        <v>0.11193618106301371</v>
      </c>
      <c r="M625" s="509">
        <f t="shared" si="23"/>
        <v>5.8765506547594343E-4</v>
      </c>
      <c r="N625" s="284"/>
    </row>
    <row r="626" spans="1:14" ht="15.75" x14ac:dyDescent="0.25">
      <c r="A626" s="86"/>
      <c r="B626" s="513" t="s">
        <v>85</v>
      </c>
      <c r="C626" s="339" t="s">
        <v>292</v>
      </c>
      <c r="D626" s="345" t="s">
        <v>293</v>
      </c>
      <c r="E626" s="346" t="s">
        <v>214</v>
      </c>
      <c r="F626" s="341">
        <v>0.6</v>
      </c>
      <c r="G626" s="346">
        <f>SUM('Acids Bases Plating CMP PTE'!I47:I48)/'Acids Bases Plating CMP PTE'!D47</f>
        <v>2.2593000000000005E-3</v>
      </c>
      <c r="H626" s="346" t="s">
        <v>289</v>
      </c>
      <c r="I626" s="346" t="s">
        <v>290</v>
      </c>
      <c r="J626" s="85">
        <f>IF(B626="",IF(CONCATENATE(C626,D626,E626,F626,G626,H626,I626)="","",ws3_EU_ID_blank),IF(ISERROR(MATCH(B626,'2. Emissions Units &amp; Activities'!$B$7:$B$193,0)),ws3_matching_error_msg,G626*IF(E626="Y",1,1-F626)*INDEX('2. Emissions Units &amp; Activities'!$G$7:$G$193,MATCH(B626,'2. Emissions Units &amp; Activities'!$B$7:$B$193,0))))</f>
        <v>193.04948791030603</v>
      </c>
      <c r="K626" s="85">
        <f t="shared" si="22"/>
        <v>2.7766925021728206E-3</v>
      </c>
      <c r="L626" s="85">
        <f>IF(B626="",IF(CONCATENATE(C626,D626,E626,F626,G626,H626,I626)="","",ws3_EU_ID_blank),IF(ISERROR(MATCH(B626,'2. Emissions Units &amp; Activities'!$B$7:$B$193,0)),ws3_matching_error_msg,G626*IF(E626="Y",1,1-F626)*INDEX('2. Emissions Units &amp; Activities'!$J$7:$J$193,MATCH(B626,'2. Emissions Units &amp; Activities'!$B$7:$B$193,0))))</f>
        <v>0.52890270660357808</v>
      </c>
      <c r="M626" s="509">
        <f t="shared" si="23"/>
        <v>2.7766925021728201E-3</v>
      </c>
      <c r="N626" s="284"/>
    </row>
    <row r="627" spans="1:14" ht="15.75" x14ac:dyDescent="0.25">
      <c r="A627" s="86"/>
      <c r="B627" s="513" t="s">
        <v>86</v>
      </c>
      <c r="C627" s="339" t="s">
        <v>292</v>
      </c>
      <c r="D627" s="345" t="s">
        <v>293</v>
      </c>
      <c r="E627" s="346" t="s">
        <v>214</v>
      </c>
      <c r="F627" s="341">
        <v>0.6</v>
      </c>
      <c r="G627" s="346">
        <f>SUM('Acids Bases Plating CMP PTE'!I44:I45)/'Acids Bases Plating CMP PTE'!D44</f>
        <v>4.7108000000000002E-3</v>
      </c>
      <c r="H627" s="346" t="s">
        <v>289</v>
      </c>
      <c r="I627" s="346" t="s">
        <v>290</v>
      </c>
      <c r="J627" s="85">
        <f>IF(B627="",IF(CONCATENATE(C627,D627,E627,F627,G627,H627,I627)="","",ws3_EU_ID_blank),IF(ISERROR(MATCH(B627,'2. Emissions Units &amp; Activities'!$B$7:$B$193,0)),ws3_matching_error_msg,G627*IF(E627="Y",1,1-F627)*INDEX('2. Emissions Units &amp; Activities'!$G$7:$G$193,MATCH(B627,'2. Emissions Units &amp; Activities'!$B$7:$B$193,0))))</f>
        <v>41.859019364799998</v>
      </c>
      <c r="K627" s="85">
        <f t="shared" si="22"/>
        <v>6.0207165777383066E-4</v>
      </c>
      <c r="L627" s="85">
        <f>IF(B627="",IF(CONCATENATE(C627,D627,E627,F627,G627,H627,I627)="","",ws3_EU_ID_blank),IF(ISERROR(MATCH(B627,'2. Emissions Units &amp; Activities'!$B$7:$B$193,0)),ws3_matching_error_msg,G627*IF(E627="Y",1,1-F627)*INDEX('2. Emissions Units &amp; Activities'!$J$7:$J$193,MATCH(B627,'2. Emissions Units &amp; Activities'!$B$7:$B$193,0))))</f>
        <v>0.1146822448350685</v>
      </c>
      <c r="M627" s="509">
        <f t="shared" si="23"/>
        <v>6.0207165777383088E-4</v>
      </c>
      <c r="N627" s="284"/>
    </row>
    <row r="628" spans="1:14" ht="15.75" x14ac:dyDescent="0.25">
      <c r="A628" s="86"/>
      <c r="B628" s="513" t="s">
        <v>87</v>
      </c>
      <c r="C628" s="339" t="s">
        <v>251</v>
      </c>
      <c r="D628" s="345" t="s">
        <v>252</v>
      </c>
      <c r="E628" s="346" t="s">
        <v>214</v>
      </c>
      <c r="F628" s="341">
        <v>0</v>
      </c>
      <c r="G628" s="346">
        <f>'Photoresist and Organics PTE'!H64</f>
        <v>1</v>
      </c>
      <c r="H628" s="346" t="s">
        <v>289</v>
      </c>
      <c r="I628" s="346" t="s">
        <v>290</v>
      </c>
      <c r="J628" s="85">
        <f>IF(B628="",IF(CONCATENATE(C628,D628,E628,F628,G628,H628,I628)="","",ws3_EU_ID_blank),IF(ISERROR(MATCH(B628,'2. Emissions Units &amp; Activities'!$B$7:$B$193,0)),ws3_matching_error_msg,G628*IF(E628="Y",1,1-F628)*INDEX('2. Emissions Units &amp; Activities'!$G$7:$G$193,MATCH(B628,'2. Emissions Units &amp; Activities'!$B$7:$B$193,0))))</f>
        <v>12777.825148875989</v>
      </c>
      <c r="K628" s="85">
        <f t="shared" si="22"/>
        <v>0.18378754416299667</v>
      </c>
      <c r="L628" s="85">
        <f>IF(B628="",IF(CONCATENATE(C628,D628,E628,F628,G628,H628,I628)="","",ws3_EU_ID_blank),IF(ISERROR(MATCH(B628,'2. Emissions Units &amp; Activities'!$B$7:$B$193,0)),ws3_matching_error_msg,G628*IF(E628="Y",1,1-F628)*INDEX('2. Emissions Units &amp; Activities'!$J$7:$J$193,MATCH(B628,'2. Emissions Units &amp; Activities'!$B$7:$B$193,0))))</f>
        <v>35.007740133906822</v>
      </c>
      <c r="M628" s="509">
        <f t="shared" si="23"/>
        <v>0.18378754416299667</v>
      </c>
      <c r="N628" s="284"/>
    </row>
    <row r="629" spans="1:14" ht="15.75" x14ac:dyDescent="0.25">
      <c r="A629" s="86"/>
      <c r="B629" s="513" t="s">
        <v>89</v>
      </c>
      <c r="C629" s="339" t="s">
        <v>294</v>
      </c>
      <c r="D629" s="345" t="s">
        <v>295</v>
      </c>
      <c r="E629" s="346" t="s">
        <v>214</v>
      </c>
      <c r="F629" s="341">
        <f>'Photoresist and Organics PTE'!K64</f>
        <v>0</v>
      </c>
      <c r="G629" s="346">
        <f>'Photoresist and Organics PTE'!H64</f>
        <v>1</v>
      </c>
      <c r="H629" s="346" t="s">
        <v>289</v>
      </c>
      <c r="I629" s="346" t="s">
        <v>296</v>
      </c>
      <c r="J629" s="85">
        <f>IF(B629="",IF(CONCATENATE(C629,D629,E629,F629,G629,H629,I629)="","",ws3_EU_ID_blank),IF(ISERROR(MATCH(B629,'2. Emissions Units &amp; Activities'!$B$7:$B$193,0)),ws3_matching_error_msg,G629*IF(E629="Y",1,1-F629)*INDEX('2. Emissions Units &amp; Activities'!$G$7:$G$193,MATCH(B629,'2. Emissions Units &amp; Activities'!$B$7:$B$193,0))))</f>
        <v>12500</v>
      </c>
      <c r="K629" s="85">
        <f t="shared" si="22"/>
        <v>0.17979149622653476</v>
      </c>
      <c r="L629" s="85">
        <f>IF(B629="",IF(CONCATENATE(C629,D629,E629,F629,G629,H629,I629)="","",ws3_EU_ID_blank),IF(ISERROR(MATCH(B629,'2. Emissions Units &amp; Activities'!$B$7:$B$193,0)),ws3_matching_error_msg,G629*IF(E629="Y",1,1-F629)*INDEX('2. Emissions Units &amp; Activities'!$J$7:$J$193,MATCH(B629,'2. Emissions Units &amp; Activities'!$B$7:$B$193,0))))</f>
        <v>34.246575342465754</v>
      </c>
      <c r="M629" s="509">
        <f t="shared" si="23"/>
        <v>0.17979149622653476</v>
      </c>
      <c r="N629" s="284"/>
    </row>
    <row r="630" spans="1:14" ht="15.75" x14ac:dyDescent="0.25">
      <c r="A630" s="86"/>
      <c r="B630" s="513" t="s">
        <v>91</v>
      </c>
      <c r="C630" s="339" t="s">
        <v>294</v>
      </c>
      <c r="D630" s="345" t="s">
        <v>295</v>
      </c>
      <c r="E630" s="346" t="s">
        <v>214</v>
      </c>
      <c r="F630" s="341">
        <v>0.9</v>
      </c>
      <c r="G630" s="346">
        <f>'Photoresist and Organics PTE'!H65</f>
        <v>0.2</v>
      </c>
      <c r="H630" s="346" t="s">
        <v>289</v>
      </c>
      <c r="I630" s="346" t="s">
        <v>290</v>
      </c>
      <c r="J630" s="85">
        <f>IF(B630="",IF(CONCATENATE(C630,D630,E630,F630,G630,H630,I630)="","",ws3_EU_ID_blank),IF(ISERROR(MATCH(B630,'2. Emissions Units &amp; Activities'!$B$7:$B$193,0)),ws3_matching_error_msg,G630*IF(E630="Y",1,1-F630)*INDEX('2. Emissions Units &amp; Activities'!$G$7:$G$193,MATCH(B630,'2. Emissions Units &amp; Activities'!$B$7:$B$193,0))))</f>
        <v>8999.9999999999982</v>
      </c>
      <c r="K630" s="85">
        <f t="shared" si="22"/>
        <v>0.129449877283105</v>
      </c>
      <c r="L630" s="85">
        <f>IF(B630="",IF(CONCATENATE(C630,D630,E630,F630,G630,H630,I630)="","",ws3_EU_ID_blank),IF(ISERROR(MATCH(B630,'2. Emissions Units &amp; Activities'!$B$7:$B$193,0)),ws3_matching_error_msg,G630*IF(E630="Y",1,1-F630)*INDEX('2. Emissions Units &amp; Activities'!$J$7:$J$193,MATCH(B630,'2. Emissions Units &amp; Activities'!$B$7:$B$193,0))))</f>
        <v>24.657534246575338</v>
      </c>
      <c r="M630" s="509">
        <f t="shared" si="23"/>
        <v>0.129449877283105</v>
      </c>
      <c r="N630" s="284"/>
    </row>
    <row r="631" spans="1:14" ht="15.75" x14ac:dyDescent="0.25">
      <c r="A631" s="86"/>
      <c r="B631" s="513" t="s">
        <v>94</v>
      </c>
      <c r="C631" s="339" t="s">
        <v>294</v>
      </c>
      <c r="D631" s="345" t="s">
        <v>295</v>
      </c>
      <c r="E631" s="346" t="s">
        <v>214</v>
      </c>
      <c r="F631" s="341">
        <f>'Photoresist and Organics PTE'!K67</f>
        <v>0</v>
      </c>
      <c r="G631" s="346">
        <f>'Photoresist and Organics PTE'!H67</f>
        <v>1</v>
      </c>
      <c r="H631" s="346" t="s">
        <v>289</v>
      </c>
      <c r="I631" s="346" t="s">
        <v>296</v>
      </c>
      <c r="J631" s="85">
        <f>IF(B631="",IF(CONCATENATE(C631,D631,E631,F631,G631,H631,I631)="","",ws3_EU_ID_blank),IF(ISERROR(MATCH(B631,'2. Emissions Units &amp; Activities'!$B$7:$B$193,0)),ws3_matching_error_msg,G631*IF(E631="Y",1,1-F631)*INDEX('2. Emissions Units &amp; Activities'!$G$7:$G$193,MATCH(B631,'2. Emissions Units &amp; Activities'!$B$7:$B$193,0))))</f>
        <v>20000</v>
      </c>
      <c r="K631" s="85">
        <f t="shared" si="22"/>
        <v>0.28766639396245564</v>
      </c>
      <c r="L631" s="85">
        <f>IF(B631="",IF(CONCATENATE(C631,D631,E631,F631,G631,H631,I631)="","",ws3_EU_ID_blank),IF(ISERROR(MATCH(B631,'2. Emissions Units &amp; Activities'!$B$7:$B$193,0)),ws3_matching_error_msg,G631*IF(E631="Y",1,1-F631)*INDEX('2. Emissions Units &amp; Activities'!$J$7:$J$193,MATCH(B631,'2. Emissions Units &amp; Activities'!$B$7:$B$193,0))))</f>
        <v>54.794520547945204</v>
      </c>
      <c r="M631" s="509">
        <f t="shared" si="23"/>
        <v>0.28766639396245564</v>
      </c>
      <c r="N631" s="284"/>
    </row>
    <row r="632" spans="1:14" ht="15.75" x14ac:dyDescent="0.25">
      <c r="A632" s="86"/>
      <c r="B632" s="513" t="s">
        <v>96</v>
      </c>
      <c r="C632" s="339" t="s">
        <v>297</v>
      </c>
      <c r="D632" s="345" t="s">
        <v>298</v>
      </c>
      <c r="E632" s="346" t="s">
        <v>214</v>
      </c>
      <c r="F632" s="341">
        <f>1-((1-'Acids Bases Plating CMP PTE'!F107)*(1-'Acids Bases Plating CMP PTE'!H107))</f>
        <v>0.96950000000000003</v>
      </c>
      <c r="G632" s="346">
        <f>'Acids Bases Plating CMP PTE'!G107</f>
        <v>0.4</v>
      </c>
      <c r="H632" s="346" t="s">
        <v>289</v>
      </c>
      <c r="I632" s="346" t="s">
        <v>290</v>
      </c>
      <c r="J632" s="85">
        <f>IF(B632="",IF(CONCATENATE(C632,D632,E632,F632,G632,H632,I632)="","",ws3_EU_ID_blank),IF(ISERROR(MATCH(B632,'2. Emissions Units &amp; Activities'!$B$7:$B$193,0)),ws3_matching_error_msg,G632*IF(E632="Y",1,1-F632)*INDEX('2. Emissions Units &amp; Activities'!$G$7:$G$193,MATCH(B632,'2. Emissions Units &amp; Activities'!$B$7:$B$193,0))))</f>
        <v>1615.5255210731948</v>
      </c>
      <c r="K632" s="85">
        <f t="shared" si="22"/>
        <v>2.3236620050072151E-2</v>
      </c>
      <c r="L632" s="85">
        <f>IF(B632="",IF(CONCATENATE(C632,D632,E632,F632,G632,H632,I632)="","",ws3_EU_ID_blank),IF(ISERROR(MATCH(B632,'2. Emissions Units &amp; Activities'!$B$7:$B$193,0)),ws3_matching_error_msg,G632*IF(E632="Y",1,1-F632)*INDEX('2. Emissions Units &amp; Activities'!$J$7:$J$193,MATCH(B632,'2. Emissions Units &amp; Activities'!$B$7:$B$193,0))))</f>
        <v>4.4260973180087531</v>
      </c>
      <c r="M632" s="509">
        <f t="shared" si="23"/>
        <v>2.3236620050072151E-2</v>
      </c>
      <c r="N632" s="284"/>
    </row>
    <row r="633" spans="1:14" ht="15.75" x14ac:dyDescent="0.25">
      <c r="A633" s="86"/>
      <c r="B633" s="513" t="s">
        <v>98</v>
      </c>
      <c r="C633" s="339" t="s">
        <v>297</v>
      </c>
      <c r="D633" s="345" t="s">
        <v>298</v>
      </c>
      <c r="E633" s="346" t="s">
        <v>214</v>
      </c>
      <c r="F633" s="341">
        <v>0.4</v>
      </c>
      <c r="G633" s="346">
        <f>'Acids Bases Plating CMP PTE'!G307</f>
        <v>0.01</v>
      </c>
      <c r="H633" s="346" t="s">
        <v>289</v>
      </c>
      <c r="I633" s="346" t="s">
        <v>290</v>
      </c>
      <c r="J633" s="85">
        <f>IF(B633="",IF(CONCATENATE(C633,D633,E633,F633,G633,H633,I633)="","",ws3_EU_ID_blank),IF(ISERROR(MATCH(B633,'2. Emissions Units &amp; Activities'!$B$7:$B$193,0)),ws3_matching_error_msg,G633*IF(E633="Y",1,1-F633)*INDEX('2. Emissions Units &amp; Activities'!$G$7:$G$193,MATCH(B633,'2. Emissions Units &amp; Activities'!$B$7:$B$193,0))))</f>
        <v>1185.7603204651912</v>
      </c>
      <c r="K633" s="85">
        <f t="shared" si="22"/>
        <v>1.7055169774599362E-2</v>
      </c>
      <c r="L633" s="85">
        <f>IF(B633="",IF(CONCATENATE(C633,D633,E633,F633,G633,H633,I633)="","",ws3_EU_ID_blank),IF(ISERROR(MATCH(B633,'2. Emissions Units &amp; Activities'!$B$7:$B$193,0)),ws3_matching_error_msg,G633*IF(E633="Y",1,1-F633)*INDEX('2. Emissions Units &amp; Activities'!$J$7:$J$193,MATCH(B633,'2. Emissions Units &amp; Activities'!$B$7:$B$193,0))))</f>
        <v>3.2486584122334001</v>
      </c>
      <c r="M633" s="509">
        <f t="shared" si="23"/>
        <v>1.7055169774599362E-2</v>
      </c>
      <c r="N633" s="284"/>
    </row>
    <row r="634" spans="1:14" ht="15.75" x14ac:dyDescent="0.25">
      <c r="A634" s="86"/>
      <c r="B634" s="513" t="s">
        <v>100</v>
      </c>
      <c r="C634" s="339" t="s">
        <v>299</v>
      </c>
      <c r="D634" s="345" t="s">
        <v>300</v>
      </c>
      <c r="E634" s="346" t="s">
        <v>214</v>
      </c>
      <c r="F634" s="341">
        <v>0.4</v>
      </c>
      <c r="G634" s="346">
        <f>'Acids Bases Plating CMP PTE'!G109</f>
        <v>1E-3</v>
      </c>
      <c r="H634" s="346" t="s">
        <v>289</v>
      </c>
      <c r="I634" s="346" t="s">
        <v>290</v>
      </c>
      <c r="J634" s="85">
        <f>IF(B634="",IF(CONCATENATE(C634,D634,E634,F634,G634,H634,I634)="","",ws3_EU_ID_blank),IF(ISERROR(MATCH(B634,'2. Emissions Units &amp; Activities'!$B$7:$B$193,0)),ws3_matching_error_msg,G634*IF(E634="Y",1,1-F634)*INDEX('2. Emissions Units &amp; Activities'!$G$7:$G$193,MATCH(B634,'2. Emissions Units &amp; Activities'!$B$7:$B$193,0))))</f>
        <v>133.98560256442516</v>
      </c>
      <c r="K634" s="85">
        <f t="shared" si="22"/>
        <v>1.9271577566297466E-3</v>
      </c>
      <c r="L634" s="85">
        <f>IF(B634="",IF(CONCATENATE(C634,D634,E634,F634,G634,H634,I634)="","",ws3_EU_ID_blank),IF(ISERROR(MATCH(B634,'2. Emissions Units &amp; Activities'!$B$7:$B$193,0)),ws3_matching_error_msg,G634*IF(E634="Y",1,1-F634)*INDEX('2. Emissions Units &amp; Activities'!$J$7:$J$193,MATCH(B634,'2. Emissions Units &amp; Activities'!$B$7:$B$193,0))))</f>
        <v>0.36708384264226074</v>
      </c>
      <c r="M634" s="509">
        <f t="shared" si="23"/>
        <v>1.9271577566297468E-3</v>
      </c>
      <c r="N634" s="284"/>
    </row>
    <row r="635" spans="1:14" ht="15.75" x14ac:dyDescent="0.25">
      <c r="A635" s="86"/>
      <c r="B635" s="513" t="s">
        <v>102</v>
      </c>
      <c r="C635" s="339" t="s">
        <v>301</v>
      </c>
      <c r="D635" s="345" t="s">
        <v>302</v>
      </c>
      <c r="E635" s="346" t="s">
        <v>214</v>
      </c>
      <c r="F635" s="341">
        <f>'Acids Bases Plating CMP PTE'!K133</f>
        <v>0</v>
      </c>
      <c r="G635" s="346">
        <f>'Acids Bases Plating CMP PTE'!G133</f>
        <v>1E-3</v>
      </c>
      <c r="H635" s="346" t="s">
        <v>289</v>
      </c>
      <c r="I635" s="346" t="s">
        <v>290</v>
      </c>
      <c r="J635" s="85">
        <f>IF(B635="",IF(CONCATENATE(C635,D635,E635,F635,G635,H635,I635)="","",ws3_EU_ID_blank),IF(ISERROR(MATCH(B635,'2. Emissions Units &amp; Activities'!$B$7:$B$193,0)),ws3_matching_error_msg,G635*IF(E635="Y",1,1-F635)*INDEX('2. Emissions Units &amp; Activities'!$G$7:$G$193,MATCH(B635,'2. Emissions Units &amp; Activities'!$B$7:$B$193,0))))</f>
        <v>6.0370329123160353E-4</v>
      </c>
      <c r="K635" s="85">
        <f t="shared" si="22"/>
        <v>8.6832574405930763E-9</v>
      </c>
      <c r="L635" s="85">
        <f>IF(B635="",IF(CONCATENATE(C635,D635,E635,F635,G635,H635,I635)="","",ws3_EU_ID_blank),IF(ISERROR(MATCH(B635,'2. Emissions Units &amp; Activities'!$B$7:$B$193,0)),ws3_matching_error_msg,G635*IF(E635="Y",1,1-F635)*INDEX('2. Emissions Units &amp; Activities'!$J$7:$J$193,MATCH(B635,'2. Emissions Units &amp; Activities'!$B$7:$B$193,0))))</f>
        <v>1.6539816198126124E-6</v>
      </c>
      <c r="M635" s="509">
        <f t="shared" si="23"/>
        <v>8.6832574405930763E-9</v>
      </c>
      <c r="N635" s="284"/>
    </row>
    <row r="636" spans="1:14" ht="15.75" x14ac:dyDescent="0.25">
      <c r="A636" s="86"/>
      <c r="B636" s="513" t="s">
        <v>104</v>
      </c>
      <c r="C636" s="339" t="s">
        <v>303</v>
      </c>
      <c r="D636" s="345" t="s">
        <v>304</v>
      </c>
      <c r="E636" s="346" t="s">
        <v>214</v>
      </c>
      <c r="F636" s="341">
        <f>'Acids Bases Plating CMP PTE'!K134</f>
        <v>0</v>
      </c>
      <c r="G636" s="346">
        <f>'Acids Bases Plating CMP PTE'!G134</f>
        <v>1E-3</v>
      </c>
      <c r="H636" s="346" t="s">
        <v>289</v>
      </c>
      <c r="I636" s="346" t="s">
        <v>290</v>
      </c>
      <c r="J636" s="85">
        <f>IF(B636="",IF(CONCATENATE(C636,D636,E636,F636,G636,H636,I636)="","",ws3_EU_ID_blank),IF(ISERROR(MATCH(B636,'2. Emissions Units &amp; Activities'!$B$7:$B$193,0)),ws3_matching_error_msg,G636*IF(E636="Y",1,1-F636)*INDEX('2. Emissions Units &amp; Activities'!$G$7:$G$193,MATCH(B636,'2. Emissions Units &amp; Activities'!$B$7:$B$193,0))))</f>
        <v>2.5284447489206012E-3</v>
      </c>
      <c r="K636" s="85">
        <f t="shared" si="22"/>
        <v>3.6367429162764791E-8</v>
      </c>
      <c r="L636" s="85">
        <f>IF(B636="",IF(CONCATENATE(C636,D636,E636,F636,G636,H636,I636)="","",ws3_EU_ID_blank),IF(ISERROR(MATCH(B636,'2. Emissions Units &amp; Activities'!$B$7:$B$193,0)),ws3_matching_error_msg,G636*IF(E636="Y",1,1-F636)*INDEX('2. Emissions Units &amp; Activities'!$J$7:$J$193,MATCH(B636,'2. Emissions Units &amp; Activities'!$B$7:$B$193,0))))</f>
        <v>6.927245887453701E-6</v>
      </c>
      <c r="M636" s="509">
        <f t="shared" si="23"/>
        <v>3.6367429162764784E-8</v>
      </c>
      <c r="N636" s="284"/>
    </row>
    <row r="637" spans="1:14" ht="15.75" x14ac:dyDescent="0.25">
      <c r="A637" s="86"/>
      <c r="B637" s="513" t="s">
        <v>105</v>
      </c>
      <c r="C637" s="339" t="s">
        <v>305</v>
      </c>
      <c r="D637" s="345" t="s">
        <v>306</v>
      </c>
      <c r="E637" s="346" t="s">
        <v>214</v>
      </c>
      <c r="F637" s="341">
        <v>0.4</v>
      </c>
      <c r="G637" s="346">
        <f>'Acids Bases Plating CMP PTE'!G12</f>
        <v>1E-3</v>
      </c>
      <c r="H637" s="346" t="s">
        <v>289</v>
      </c>
      <c r="I637" s="346" t="s">
        <v>290</v>
      </c>
      <c r="J637" s="85">
        <f>IF(B637="",IF(CONCATENATE(C637,D637,E637,F637,G637,H637,I637)="","",ws3_EU_ID_blank),IF(ISERROR(MATCH(B637,'2. Emissions Units &amp; Activities'!$B$7:$B$193,0)),ws3_matching_error_msg,G637*IF(E637="Y",1,1-F637)*INDEX('2. Emissions Units &amp; Activities'!$G$7:$G$193,MATCH(B637,'2. Emissions Units &amp; Activities'!$B$7:$B$193,0))))</f>
        <v>1381.3323028996438</v>
      </c>
      <c r="K637" s="85">
        <f t="shared" si="22"/>
        <v>1.986814412194975E-2</v>
      </c>
      <c r="L637" s="85">
        <f>IF(B637="",IF(CONCATENATE(C637,D637,E637,F637,G637,H637,I637)="","",ws3_EU_ID_blank),IF(ISERROR(MATCH(B637,'2. Emissions Units &amp; Activities'!$B$7:$B$193,0)),ws3_matching_error_msg,G637*IF(E637="Y",1,1-F637)*INDEX('2. Emissions Units &amp; Activities'!$J$7:$J$193,MATCH(B637,'2. Emissions Units &amp; Activities'!$B$7:$B$193,0))))</f>
        <v>3.7844720627387503</v>
      </c>
      <c r="M637" s="509">
        <f t="shared" si="23"/>
        <v>1.9868144121949753E-2</v>
      </c>
      <c r="N637" s="284"/>
    </row>
    <row r="638" spans="1:14" ht="15.75" x14ac:dyDescent="0.25">
      <c r="A638" s="86"/>
      <c r="B638" s="513" t="s">
        <v>107</v>
      </c>
      <c r="C638" s="339" t="s">
        <v>307</v>
      </c>
      <c r="D638" s="345" t="s">
        <v>308</v>
      </c>
      <c r="E638" s="346" t="s">
        <v>214</v>
      </c>
      <c r="F638" s="341">
        <f>'Gas and Liquid Precursor PTE'!H9</f>
        <v>0</v>
      </c>
      <c r="G638" s="346">
        <f>'Gas and Liquid Precursor PTE'!G9</f>
        <v>8.6999999999999994E-2</v>
      </c>
      <c r="H638" s="346" t="s">
        <v>289</v>
      </c>
      <c r="I638" s="346" t="s">
        <v>290</v>
      </c>
      <c r="J638" s="85">
        <f>IF(B638="",IF(CONCATENATE(C638,D638,E638,F638,G638,H638,I638)="","",ws3_EU_ID_blank),IF(ISERROR(MATCH(B638,'2. Emissions Units &amp; Activities'!$B$7:$B$193,0)),ws3_matching_error_msg,G638*IF(E638="Y",1,1-F638)*INDEX('2. Emissions Units &amp; Activities'!$G$7:$G$193,MATCH(B638,'2. Emissions Units &amp; Activities'!$B$7:$B$193,0))))</f>
        <v>191.04018322743937</v>
      </c>
      <c r="K638" s="85">
        <f t="shared" ref="K638:K700" si="24">CONVERT(J638,"lbm","g")/8760/3600</f>
        <v>2.7477920305482139E-3</v>
      </c>
      <c r="L638" s="85">
        <f>IF(B638="",IF(CONCATENATE(C638,D638,E638,F638,G638,H638,I638)="","",ws3_EU_ID_blank),IF(ISERROR(MATCH(B638,'2. Emissions Units &amp; Activities'!$B$7:$B$193,0)),ws3_matching_error_msg,G638*IF(E638="Y",1,1-F638)*INDEX('2. Emissions Units &amp; Activities'!$J$7:$J$193,MATCH(B638,'2. Emissions Units &amp; Activities'!$B$7:$B$193,0))))</f>
        <v>0.52339776226695722</v>
      </c>
      <c r="M638" s="509">
        <f t="shared" ref="M638:M700" si="25">CONVERT(L638,"lbm","g")/24/3600</f>
        <v>2.7477920305482139E-3</v>
      </c>
      <c r="N638" s="284"/>
    </row>
    <row r="639" spans="1:14" ht="15.75" x14ac:dyDescent="0.25">
      <c r="A639" s="86"/>
      <c r="B639" s="513" t="s">
        <v>107</v>
      </c>
      <c r="C639" s="339" t="s">
        <v>259</v>
      </c>
      <c r="D639" s="345" t="s">
        <v>260</v>
      </c>
      <c r="E639" s="346" t="s">
        <v>214</v>
      </c>
      <c r="F639" s="341">
        <f>1-(1-'Gas and Liquid Precursor PTE'!H7)*(1-'Gas and Liquid Precursor PTE'!K7)</f>
        <v>0.96</v>
      </c>
      <c r="G639" s="346">
        <f>'Gas and Liquid Precursor PTE'!G7</f>
        <v>0.93400000000000005</v>
      </c>
      <c r="H639" s="346" t="s">
        <v>289</v>
      </c>
      <c r="I639" s="346" t="s">
        <v>290</v>
      </c>
      <c r="J639" s="85">
        <f>IF(B639="",IF(CONCATENATE(C639,D639,E639,F639,G639,H639,I639)="","",ws3_EU_ID_blank),IF(ISERROR(MATCH(B639,'2. Emissions Units &amp; Activities'!$B$7:$B$193,0)),ws3_matching_error_msg,G639*IF(E639="Y",1,1-F639)*INDEX('2. Emissions Units &amp; Activities'!$G$7:$G$193,MATCH(B639,'2. Emissions Units &amp; Activities'!$B$7:$B$193,0))))</f>
        <v>82.037485579047612</v>
      </c>
      <c r="K639" s="85">
        <f t="shared" si="24"/>
        <v>1.1799713823135789E-3</v>
      </c>
      <c r="L639" s="85">
        <f>IF(B639="",IF(CONCATENATE(C639,D639,E639,F639,G639,H639,I639)="","",ws3_EU_ID_blank),IF(ISERROR(MATCH(B639,'2. Emissions Units &amp; Activities'!$B$7:$B$193,0)),ws3_matching_error_msg,G639*IF(E639="Y",1,1-F639)*INDEX('2. Emissions Units &amp; Activities'!$J$7:$J$193,MATCH(B639,'2. Emissions Units &amp; Activities'!$B$7:$B$193,0))))</f>
        <v>0.22476023446314414</v>
      </c>
      <c r="M639" s="509">
        <f t="shared" si="25"/>
        <v>1.1799713823135789E-3</v>
      </c>
      <c r="N639" s="284"/>
    </row>
    <row r="640" spans="1:14" ht="15.75" x14ac:dyDescent="0.25">
      <c r="A640" s="86"/>
      <c r="B640" s="513" t="s">
        <v>109</v>
      </c>
      <c r="C640" s="339" t="s">
        <v>309</v>
      </c>
      <c r="D640" s="345" t="s">
        <v>310</v>
      </c>
      <c r="E640" s="346" t="s">
        <v>214</v>
      </c>
      <c r="F640" s="341">
        <f>'Gas and Liquid Precursor PTE'!H93</f>
        <v>0.5</v>
      </c>
      <c r="G640" s="346">
        <f>'Gas and Liquid Precursor PTE'!G93</f>
        <v>1.87</v>
      </c>
      <c r="H640" s="346" t="s">
        <v>289</v>
      </c>
      <c r="I640" s="346" t="s">
        <v>290</v>
      </c>
      <c r="J640" s="85">
        <f>IF(B640="",IF(CONCATENATE(C640,D640,E640,F640,G640,H640,I640)="","",ws3_EU_ID_blank),IF(ISERROR(MATCH(B640,'2. Emissions Units &amp; Activities'!$B$7:$B$193,0)),ws3_matching_error_msg,G640*IF(E640="Y",1,1-F640)*INDEX('2. Emissions Units &amp; Activities'!$G$7:$G$193,MATCH(B640,'2. Emissions Units &amp; Activities'!$B$7:$B$193,0))))</f>
        <v>17488.46309196615</v>
      </c>
      <c r="K640" s="85">
        <f t="shared" si="24"/>
        <v>0.25154215568056998</v>
      </c>
      <c r="L640" s="85">
        <f>IF(B640="",IF(CONCATENATE(C640,D640,E640,F640,G640,H640,I640)="","",ws3_EU_ID_blank),IF(ISERROR(MATCH(B640,'2. Emissions Units &amp; Activities'!$B$7:$B$193,0)),ws3_matching_error_msg,G640*IF(E640="Y",1,1-F640)*INDEX('2. Emissions Units &amp; Activities'!$J$7:$J$193,MATCH(B640,'2. Emissions Units &amp; Activities'!$B$7:$B$193,0))))</f>
        <v>47.913597512236031</v>
      </c>
      <c r="M640" s="509">
        <f t="shared" si="25"/>
        <v>0.25154215568056998</v>
      </c>
      <c r="N640" s="284"/>
    </row>
    <row r="641" spans="1:14" ht="15.75" x14ac:dyDescent="0.25">
      <c r="A641" s="86"/>
      <c r="B641" s="513" t="s">
        <v>111</v>
      </c>
      <c r="C641" s="339" t="s">
        <v>309</v>
      </c>
      <c r="D641" s="345" t="s">
        <v>310</v>
      </c>
      <c r="E641" s="346" t="s">
        <v>214</v>
      </c>
      <c r="F641" s="341">
        <f>'Gas and Liquid Precursor PTE'!H94</f>
        <v>0.5</v>
      </c>
      <c r="G641" s="348">
        <f>'Gas and Liquid Precursor PTE'!G17</f>
        <v>0.59499999999999997</v>
      </c>
      <c r="H641" s="346" t="s">
        <v>289</v>
      </c>
      <c r="I641" s="346" t="s">
        <v>290</v>
      </c>
      <c r="J641" s="85">
        <f>IF(B641="",IF(CONCATENATE(C641,D641,E641,F641,G641,H641,I641)="","",ws3_EU_ID_blank),IF(ISERROR(MATCH(B641,'2. Emissions Units &amp; Activities'!$B$7:$B$193,0)),ws3_matching_error_msg,G641*IF(E641="Y",1,1-F641)*INDEX('2. Emissions Units &amp; Activities'!$G$7:$G$193,MATCH(B641,'2. Emissions Units &amp; Activities'!$B$7:$B$193,0))))</f>
        <v>186.34328218942585</v>
      </c>
      <c r="K641" s="85">
        <f t="shared" si="24"/>
        <v>2.680235001328021E-3</v>
      </c>
      <c r="L641" s="85">
        <f>IF(B641="",IF(CONCATENATE(C641,D641,E641,F641,G641,H641,I641)="","",ws3_EU_ID_blank),IF(ISERROR(MATCH(B641,'2. Emissions Units &amp; Activities'!$B$7:$B$193,0)),ws3_matching_error_msg,G641*IF(E641="Y",1,1-F641)*INDEX('2. Emissions Units &amp; Activities'!$J$7:$J$193,MATCH(B641,'2. Emissions Units &amp; Activities'!$B$7:$B$193,0))))</f>
        <v>0.5105295402450023</v>
      </c>
      <c r="M641" s="509">
        <f t="shared" si="25"/>
        <v>2.6802350013280202E-3</v>
      </c>
      <c r="N641" s="284"/>
    </row>
    <row r="642" spans="1:14" ht="15.75" x14ac:dyDescent="0.25">
      <c r="A642" s="86"/>
      <c r="B642" s="513" t="s">
        <v>111</v>
      </c>
      <c r="C642" s="339" t="s">
        <v>259</v>
      </c>
      <c r="D642" s="345" t="s">
        <v>260</v>
      </c>
      <c r="E642" s="346" t="s">
        <v>214</v>
      </c>
      <c r="F642" s="341">
        <v>0.6</v>
      </c>
      <c r="G642" s="346">
        <f>'Gas and Liquid Precursor PTE'!G18</f>
        <v>0.72199999999999998</v>
      </c>
      <c r="H642" s="346" t="s">
        <v>289</v>
      </c>
      <c r="I642" s="346" t="s">
        <v>290</v>
      </c>
      <c r="J642" s="85">
        <f>IF(B642="",IF(CONCATENATE(C642,D642,E642,F642,G642,H642,I642)="","",ws3_EU_ID_blank),IF(ISERROR(MATCH(B642,'2. Emissions Units &amp; Activities'!$B$7:$B$193,0)),ws3_matching_error_msg,G642*IF(E642="Y",1,1-F642)*INDEX('2. Emissions Units &amp; Activities'!$G$7:$G$193,MATCH(B642,'2. Emissions Units &amp; Activities'!$B$7:$B$193,0))))</f>
        <v>180.89391561783592</v>
      </c>
      <c r="K642" s="85">
        <f t="shared" si="24"/>
        <v>2.6018550197765794E-3</v>
      </c>
      <c r="L642" s="85">
        <f>IF(B642="",IF(CONCATENATE(C642,D642,E642,F642,G642,H642,I642)="","",ws3_EU_ID_blank),IF(ISERROR(MATCH(B642,'2. Emissions Units &amp; Activities'!$B$7:$B$193,0)),ws3_matching_error_msg,G642*IF(E642="Y",1,1-F642)*INDEX('2. Emissions Units &amp; Activities'!$J$7:$J$193,MATCH(B642,'2. Emissions Units &amp; Activities'!$B$7:$B$193,0))))</f>
        <v>0.49559976881598883</v>
      </c>
      <c r="M642" s="509">
        <f t="shared" si="25"/>
        <v>2.6018550197765794E-3</v>
      </c>
      <c r="N642" s="284"/>
    </row>
    <row r="643" spans="1:14" ht="15.75" x14ac:dyDescent="0.25">
      <c r="A643" s="86"/>
      <c r="B643" s="513" t="s">
        <v>112</v>
      </c>
      <c r="C643" s="339" t="s">
        <v>311</v>
      </c>
      <c r="D643" s="345" t="s">
        <v>312</v>
      </c>
      <c r="E643" s="346" t="s">
        <v>214</v>
      </c>
      <c r="F643" s="341">
        <f>'Gas and Liquid Precursor PTE'!H87</f>
        <v>0</v>
      </c>
      <c r="G643" s="346">
        <f>'Gas and Liquid Precursor PTE'!G87</f>
        <v>0.05</v>
      </c>
      <c r="H643" s="346" t="s">
        <v>289</v>
      </c>
      <c r="I643" s="346" t="s">
        <v>290</v>
      </c>
      <c r="J643" s="85">
        <f>IF(B643="",IF(CONCATENATE(C643,D643,E643,F643,G643,H643,I643)="","",ws3_EU_ID_blank),IF(ISERROR(MATCH(B643,'2. Emissions Units &amp; Activities'!$B$7:$B$193,0)),ws3_matching_error_msg,G643*IF(E643="Y",1,1-F643)*INDEX('2. Emissions Units &amp; Activities'!$G$7:$G$193,MATCH(B643,'2. Emissions Units &amp; Activities'!$B$7:$B$193,0))))</f>
        <v>3.3478033328966994</v>
      </c>
      <c r="K643" s="85">
        <f t="shared" si="24"/>
        <v>4.8152525623494188E-5</v>
      </c>
      <c r="L643" s="85">
        <f>IF(B643="",IF(CONCATENATE(C643,D643,E643,F643,G643,H643,I643)="","",ws3_EU_ID_blank),IF(ISERROR(MATCH(B643,'2. Emissions Units &amp; Activities'!$B$7:$B$193,0)),ws3_matching_error_msg,G643*IF(E643="Y",1,1-F643)*INDEX('2. Emissions Units &amp; Activities'!$J$7:$J$193,MATCH(B643,'2. Emissions Units &amp; Activities'!$B$7:$B$193,0))))</f>
        <v>9.1720639257443833E-3</v>
      </c>
      <c r="M643" s="509">
        <f t="shared" si="25"/>
        <v>4.8152525623494209E-5</v>
      </c>
      <c r="N643" s="284"/>
    </row>
    <row r="644" spans="1:14" ht="15.75" x14ac:dyDescent="0.25">
      <c r="A644" s="86"/>
      <c r="B644" s="513" t="s">
        <v>114</v>
      </c>
      <c r="C644" s="339" t="s">
        <v>311</v>
      </c>
      <c r="D644" s="345" t="s">
        <v>312</v>
      </c>
      <c r="E644" s="346" t="s">
        <v>214</v>
      </c>
      <c r="F644" s="341">
        <f>'Gas and Liquid Precursor PTE'!H88</f>
        <v>0</v>
      </c>
      <c r="G644" s="346">
        <f>'Gas and Liquid Precursor PTE'!G88</f>
        <v>0.2</v>
      </c>
      <c r="H644" s="346" t="s">
        <v>289</v>
      </c>
      <c r="I644" s="346" t="s">
        <v>290</v>
      </c>
      <c r="J644" s="85">
        <f>IF(B644="",IF(CONCATENATE(C644,D644,E644,F644,G644,H644,I644)="","",ws3_EU_ID_blank),IF(ISERROR(MATCH(B644,'2. Emissions Units &amp; Activities'!$B$7:$B$193,0)),ws3_matching_error_msg,G644*IF(E644="Y",1,1-F644)*INDEX('2. Emissions Units &amp; Activities'!$G$7:$G$193,MATCH(B644,'2. Emissions Units &amp; Activities'!$B$7:$B$193,0))))</f>
        <v>0</v>
      </c>
      <c r="K644" s="85">
        <f t="shared" si="24"/>
        <v>0</v>
      </c>
      <c r="L644" s="85">
        <f>IF(B644="",IF(CONCATENATE(C644,D644,E644,F644,G644,H644,I644)="","",ws3_EU_ID_blank),IF(ISERROR(MATCH(B644,'2. Emissions Units &amp; Activities'!$B$7:$B$193,0)),ws3_matching_error_msg,G644*IF(E644="Y",1,1-F644)*INDEX('2. Emissions Units &amp; Activities'!$J$7:$J$193,MATCH(B644,'2. Emissions Units &amp; Activities'!$B$7:$B$193,0))))</f>
        <v>0</v>
      </c>
      <c r="M644" s="509">
        <f t="shared" si="25"/>
        <v>0</v>
      </c>
      <c r="N644" s="284"/>
    </row>
    <row r="645" spans="1:14" ht="15.75" x14ac:dyDescent="0.25">
      <c r="A645" s="86"/>
      <c r="B645" s="513" t="s">
        <v>114</v>
      </c>
      <c r="C645" s="339" t="s">
        <v>313</v>
      </c>
      <c r="D645" s="345" t="s">
        <v>314</v>
      </c>
      <c r="E645" s="346" t="s">
        <v>214</v>
      </c>
      <c r="F645" s="341">
        <f>'Gas and Liquid Precursor PTE'!H89</f>
        <v>0</v>
      </c>
      <c r="G645" s="349">
        <f>'Gas and Liquid Precursor PTE'!G89</f>
        <v>1.67</v>
      </c>
      <c r="H645" s="346" t="s">
        <v>289</v>
      </c>
      <c r="I645" s="346" t="s">
        <v>290</v>
      </c>
      <c r="J645" s="85">
        <f>IF(B645="",IF(CONCATENATE(C645,D645,E645,F645,G645,H645,I645)="","",ws3_EU_ID_blank),IF(ISERROR(MATCH(B645,'2. Emissions Units &amp; Activities'!$B$7:$B$193,0)),ws3_matching_error_msg,G645*IF(E645="Y",1,1-F645)*INDEX('2. Emissions Units &amp; Activities'!$G$7:$G$193,MATCH(B645,'2. Emissions Units &amp; Activities'!$B$7:$B$193,0))))</f>
        <v>0</v>
      </c>
      <c r="K645" s="85">
        <f>CONVERT(J645,"lbm","g")/8760/3600</f>
        <v>0</v>
      </c>
      <c r="L645" s="85">
        <f>IF(B645="",IF(CONCATENATE(C645,D645,E645,F645,G645,H645,I645)="","",ws3_EU_ID_blank),IF(ISERROR(MATCH(B645,'2. Emissions Units &amp; Activities'!$B$7:$B$193,0)),ws3_matching_error_msg,G645*IF(E645="Y",1,1-F645)*INDEX('2. Emissions Units &amp; Activities'!$J$7:$J$193,MATCH(B645,'2. Emissions Units &amp; Activities'!$B$7:$B$193,0))))</f>
        <v>0</v>
      </c>
      <c r="M645" s="509">
        <f>CONVERT(L645,"lbm","g")/24/3600</f>
        <v>0</v>
      </c>
      <c r="N645" s="284"/>
    </row>
    <row r="646" spans="1:14" ht="15.75" x14ac:dyDescent="0.25">
      <c r="A646" s="86"/>
      <c r="B646" s="513" t="s">
        <v>116</v>
      </c>
      <c r="C646" s="339" t="s">
        <v>311</v>
      </c>
      <c r="D646" s="345" t="s">
        <v>312</v>
      </c>
      <c r="E646" s="346" t="s">
        <v>214</v>
      </c>
      <c r="F646" s="341">
        <f>'Gas and Liquid Precursor PTE'!H90</f>
        <v>0</v>
      </c>
      <c r="G646" s="346">
        <f>'Gas and Liquid Precursor PTE'!G90</f>
        <v>1</v>
      </c>
      <c r="H646" s="346" t="s">
        <v>289</v>
      </c>
      <c r="I646" s="346" t="s">
        <v>290</v>
      </c>
      <c r="J646" s="85">
        <f>IF(B646="",IF(CONCATENATE(C646,D646,E646,F646,G646,H646,I646)="","",ws3_EU_ID_blank),IF(ISERROR(MATCH(B646,'2. Emissions Units &amp; Activities'!$B$7:$B$193,0)),ws3_matching_error_msg,G646*IF(E646="Y",1,1-F646)*INDEX('2. Emissions Units &amp; Activities'!$G$7:$G$193,MATCH(B646,'2. Emissions Units &amp; Activities'!$B$7:$B$193,0))))</f>
        <v>61.320365698883734</v>
      </c>
      <c r="K646" s="85">
        <f t="shared" si="24"/>
        <v>8.8199042385284695E-4</v>
      </c>
      <c r="L646" s="85">
        <f>IF(B646="",IF(CONCATENATE(C646,D646,E646,F646,G646,H646,I646)="","",ws3_EU_ID_blank),IF(ISERROR(MATCH(B646,'2. Emissions Units &amp; Activities'!$B$7:$B$193,0)),ws3_matching_error_msg,G646*IF(E646="Y",1,1-F646)*INDEX('2. Emissions Units &amp; Activities'!$J$7:$J$193,MATCH(B646,'2. Emissions Units &amp; Activities'!$B$7:$B$193,0))))</f>
        <v>0.16800100191474995</v>
      </c>
      <c r="M646" s="509">
        <f t="shared" si="25"/>
        <v>8.8199042385284695E-4</v>
      </c>
      <c r="N646" s="284"/>
    </row>
    <row r="647" spans="1:14" ht="15.75" x14ac:dyDescent="0.25">
      <c r="A647" s="86"/>
      <c r="B647" s="513" t="s">
        <v>118</v>
      </c>
      <c r="C647" s="339" t="s">
        <v>309</v>
      </c>
      <c r="D647" s="345" t="s">
        <v>310</v>
      </c>
      <c r="E647" s="346" t="s">
        <v>214</v>
      </c>
      <c r="F647" s="341">
        <v>0</v>
      </c>
      <c r="G647" s="346">
        <f>'Photoresist and Organics PTE'!H51</f>
        <v>0.74399999999999999</v>
      </c>
      <c r="H647" s="346" t="s">
        <v>289</v>
      </c>
      <c r="I647" s="346" t="s">
        <v>290</v>
      </c>
      <c r="J647" s="85">
        <f>IF(B647="",IF(CONCATENATE(C647,D647,E647,F647,G647,H647,I647)="","",ws3_EU_ID_blank),IF(ISERROR(MATCH(B647,'2. Emissions Units &amp; Activities'!$B$7:$B$193,0)),ws3_matching_error_msg,G647*IF(E647="Y",1,1-F647)*INDEX('2. Emissions Units &amp; Activities'!$G$7:$G$193,MATCH(B647,'2. Emissions Units &amp; Activities'!$B$7:$B$193,0))))</f>
        <v>6336.4995837211309</v>
      </c>
      <c r="K647" s="85">
        <f t="shared" si="24"/>
        <v>9.1139899279682954E-2</v>
      </c>
      <c r="L647" s="85">
        <f>IF(B647="",IF(CONCATENATE(C647,D647,E647,F647,G647,H647,I647)="","",ws3_EU_ID_blank),IF(ISERROR(MATCH(B647,'2. Emissions Units &amp; Activities'!$B$7:$B$193,0)),ws3_matching_error_msg,G647*IF(E647="Y",1,1-F647)*INDEX('2. Emissions Units &amp; Activities'!$J$7:$J$193,MATCH(B647,'2. Emissions Units &amp; Activities'!$B$7:$B$193,0))))</f>
        <v>17.360272832112688</v>
      </c>
      <c r="M647" s="509">
        <f t="shared" si="25"/>
        <v>9.113989927968294E-2</v>
      </c>
      <c r="N647" s="284"/>
    </row>
    <row r="648" spans="1:14" ht="15.75" x14ac:dyDescent="0.25">
      <c r="A648" s="86"/>
      <c r="B648" s="514" t="s">
        <v>120</v>
      </c>
      <c r="C648" s="339" t="s">
        <v>309</v>
      </c>
      <c r="D648" s="345" t="s">
        <v>310</v>
      </c>
      <c r="E648" s="346" t="s">
        <v>214</v>
      </c>
      <c r="F648" s="341">
        <v>0</v>
      </c>
      <c r="G648" s="346">
        <f>'Photoresist and Organics PTE'!H50</f>
        <v>0.41299999999999998</v>
      </c>
      <c r="H648" s="346" t="s">
        <v>289</v>
      </c>
      <c r="I648" s="346" t="s">
        <v>290</v>
      </c>
      <c r="J648" s="85">
        <f>IF(B648="",IF(CONCATENATE(C648,D648,E648,F648,G648,H648,I648)="","",ws3_EU_ID_blank),IF(ISERROR(MATCH(B648,'2. Emissions Units &amp; Activities'!$B$7:$B$193,0)),ws3_matching_error_msg,G648*IF(E648="Y",1,1-F648)*INDEX('2. Emissions Units &amp; Activities'!$G$7:$G$193,MATCH(B648,'2. Emissions Units &amp; Activities'!$B$7:$B$193,0))))</f>
        <v>17.675570919630594</v>
      </c>
      <c r="K648" s="85">
        <f>CONVERT(J648,"lbm","g")/8760/3600</f>
        <v>2.5423338738388894E-4</v>
      </c>
      <c r="L648" s="85">
        <f>IF(B648="",IF(CONCATENATE(C648,D648,E648,F648,G648,H648,I648)="","",ws3_EU_ID_blank),IF(ISERROR(MATCH(B648,'2. Emissions Units &amp; Activities'!$B$7:$B$193,0)),ws3_matching_error_msg,G648*IF(E648="Y",1,1-F648)*INDEX('2. Emissions Units &amp; Activities'!$J$7:$J$193,MATCH(B648,'2. Emissions Units &amp; Activities'!$B$7:$B$193,0))))</f>
        <v>4.8426221697618066E-2</v>
      </c>
      <c r="M648" s="509">
        <f>CONVERT(L648,"lbm","g")/24/3600</f>
        <v>2.5423338738388894E-4</v>
      </c>
      <c r="N648" s="284"/>
    </row>
    <row r="649" spans="1:14" ht="15.75" x14ac:dyDescent="0.25">
      <c r="A649" s="86"/>
      <c r="B649" s="513" t="s">
        <v>121</v>
      </c>
      <c r="C649" s="339" t="s">
        <v>259</v>
      </c>
      <c r="D649" s="345" t="s">
        <v>260</v>
      </c>
      <c r="E649" s="346" t="s">
        <v>214</v>
      </c>
      <c r="F649" s="341">
        <v>0</v>
      </c>
      <c r="G649" s="346">
        <f>'HCl Tank PTE'!C4</f>
        <v>1.8799999999999999E-4</v>
      </c>
      <c r="H649" s="346" t="s">
        <v>315</v>
      </c>
      <c r="I649" s="346" t="s">
        <v>290</v>
      </c>
      <c r="J649" s="85">
        <f>IF(B649="",IF(CONCATENATE(C649,D649,E649,F649,G649,H649,I649)="","",ws3_EU_ID_blank),IF(ISERROR(MATCH(B649,'2. Emissions Units &amp; Activities'!$B$7:$B$193,0)),ws3_matching_error_msg,G649*IF(E649="Y",1,1-F649)*INDEX('2. Emissions Units &amp; Activities'!$G$7:$G$193,MATCH(B649,'2. Emissions Units &amp; Activities'!$B$7:$B$193,0))))</f>
        <v>3.915379423817789</v>
      </c>
      <c r="K649" s="85">
        <f t="shared" si="24"/>
        <v>5.6316153992223027E-5</v>
      </c>
      <c r="L649" s="85">
        <f>IF(B649="",IF(CONCATENATE(C649,D649,E649,F649,G649,H649,I649)="","",ws3_EU_ID_blank),IF(ISERROR(MATCH(B649,'2. Emissions Units &amp; Activities'!$B$7:$B$193,0)),ws3_matching_error_msg,G649*IF(E649="Y",1,1-F649)*INDEX('2. Emissions Units &amp; Activities'!$J$7:$J$193,MATCH(B649,'2. Emissions Units &amp; Activities'!$B$7:$B$193,0))))</f>
        <v>1.0727066914569285E-2</v>
      </c>
      <c r="M649" s="509">
        <f t="shared" si="25"/>
        <v>5.6316153992223027E-5</v>
      </c>
      <c r="N649" s="284"/>
    </row>
    <row r="650" spans="1:14" ht="15.75" x14ac:dyDescent="0.25">
      <c r="A650" s="86"/>
      <c r="B650" s="513" t="s">
        <v>124</v>
      </c>
      <c r="C650" s="339" t="s">
        <v>316</v>
      </c>
      <c r="D650" s="345" t="s">
        <v>317</v>
      </c>
      <c r="E650" s="346" t="s">
        <v>214</v>
      </c>
      <c r="F650" s="341">
        <v>0.9</v>
      </c>
      <c r="G650" s="346">
        <f>'Photoresist and Organics PTE'!H85</f>
        <v>0.2</v>
      </c>
      <c r="H650" s="346" t="s">
        <v>289</v>
      </c>
      <c r="I650" s="346" t="s">
        <v>290</v>
      </c>
      <c r="J650" s="85">
        <f>IF(B650="",IF(CONCATENATE(C650,D650,E650,F650,G650,H650,I650)="","",ws3_EU_ID_blank),IF(ISERROR(MATCH(B650,'2. Emissions Units &amp; Activities'!$B$7:$B$193,0)),ws3_matching_error_msg,G650*IF(E650="Y",1,1-F650)*INDEX('2. Emissions Units &amp; Activities'!$G$7:$G$193,MATCH(B650,'2. Emissions Units &amp; Activities'!$B$7:$B$193,0))))</f>
        <v>4.262162864629067</v>
      </c>
      <c r="K650" s="85">
        <f t="shared" si="24"/>
        <v>6.1304051087426683E-5</v>
      </c>
      <c r="L650" s="85">
        <f>IF(B650="",IF(CONCATENATE(C650,D650,E650,F650,G650,H650,I650)="","",ws3_EU_ID_blank),IF(ISERROR(MATCH(B650,'2. Emissions Units &amp; Activities'!$B$7:$B$193,0)),ws3_matching_error_msg,G650*IF(E650="Y",1,1-F650)*INDEX('2. Emissions Units &amp; Activities'!$J$7:$J$193,MATCH(B650,'2. Emissions Units &amp; Activities'!$B$7:$B$193,0))))</f>
        <v>1.1677158533230321E-2</v>
      </c>
      <c r="M650" s="509">
        <f t="shared" si="25"/>
        <v>6.1304051087426683E-5</v>
      </c>
      <c r="N650" s="284"/>
    </row>
    <row r="651" spans="1:14" ht="15.75" x14ac:dyDescent="0.25">
      <c r="A651" s="86"/>
      <c r="B651" s="513" t="s">
        <v>126</v>
      </c>
      <c r="C651" s="339" t="s">
        <v>318</v>
      </c>
      <c r="D651" s="345" t="s">
        <v>319</v>
      </c>
      <c r="E651" s="346" t="s">
        <v>214</v>
      </c>
      <c r="F651" s="341">
        <v>0.9</v>
      </c>
      <c r="G651" s="346">
        <f>'Photoresist and Organics PTE'!H71</f>
        <v>0.2</v>
      </c>
      <c r="H651" s="346" t="s">
        <v>289</v>
      </c>
      <c r="I651" s="346" t="s">
        <v>290</v>
      </c>
      <c r="J651" s="85">
        <f>IF(B651="",IF(CONCATENATE(C651,D651,E651,F651,G651,H651,I651)="","",ws3_EU_ID_blank),IF(ISERROR(MATCH(B651,'2. Emissions Units &amp; Activities'!$B$7:$B$193,0)),ws3_matching_error_msg,G651*IF(E651="Y",1,1-F651)*INDEX('2. Emissions Units &amp; Activities'!$G$7:$G$193,MATCH(B651,'2. Emissions Units &amp; Activities'!$B$7:$B$193,0))))</f>
        <v>1.6342530883048962</v>
      </c>
      <c r="K651" s="85">
        <f t="shared" si="24"/>
        <v>2.35059846367338E-5</v>
      </c>
      <c r="L651" s="85">
        <f>IF(B651="",IF(CONCATENATE(C651,D651,E651,F651,G651,H651,I651)="","",ws3_EU_ID_blank),IF(ISERROR(MATCH(B651,'2. Emissions Units &amp; Activities'!$B$7:$B$193,0)),ws3_matching_error_msg,G651*IF(E651="Y",1,1-F651)*INDEX('2. Emissions Units &amp; Activities'!$J$7:$J$193,MATCH(B651,'2. Emissions Units &amp; Activities'!$B$7:$B$193,0))))</f>
        <v>4.4774057213832772E-3</v>
      </c>
      <c r="M651" s="509">
        <f t="shared" si="25"/>
        <v>2.35059846367338E-5</v>
      </c>
      <c r="N651" s="284"/>
    </row>
    <row r="652" spans="1:14" ht="15.75" x14ac:dyDescent="0.25">
      <c r="A652" s="86"/>
      <c r="B652" s="513" t="s">
        <v>127</v>
      </c>
      <c r="C652" s="339" t="s">
        <v>320</v>
      </c>
      <c r="D652" s="345" t="s">
        <v>321</v>
      </c>
      <c r="E652" s="346" t="s">
        <v>214</v>
      </c>
      <c r="F652" s="341">
        <v>0.9</v>
      </c>
      <c r="G652" s="346">
        <f>'Photoresist and Organics PTE'!H97</f>
        <v>0.2</v>
      </c>
      <c r="H652" s="346" t="s">
        <v>289</v>
      </c>
      <c r="I652" s="346" t="s">
        <v>290</v>
      </c>
      <c r="J652" s="85">
        <f>IF(B652="",IF(CONCATENATE(C652,D652,E652,F652,G652,H652,I652)="","",ws3_EU_ID_blank),IF(ISERROR(MATCH(B652,'2. Emissions Units &amp; Activities'!$B$7:$B$193,0)),ws3_matching_error_msg,G652*IF(E652="Y",1,1-F652)*INDEX('2. Emissions Units &amp; Activities'!$G$7:$G$193,MATCH(B652,'2. Emissions Units &amp; Activities'!$B$7:$B$193,0))))</f>
        <v>6.2419034095393071</v>
      </c>
      <c r="K652" s="85">
        <f t="shared" si="24"/>
        <v>8.9779292264206457E-5</v>
      </c>
      <c r="L652" s="85">
        <f>IF(B652="",IF(CONCATENATE(C652,D652,E652,F652,G652,H652,I652)="","",ws3_EU_ID_blank),IF(ISERROR(MATCH(B652,'2. Emissions Units &amp; Activities'!$B$7:$B$193,0)),ws3_matching_error_msg,G652*IF(E652="Y",1,1-F652)*INDEX('2. Emissions Units &amp; Activities'!$J$7:$J$193,MATCH(B652,'2. Emissions Units &amp; Activities'!$B$7:$B$193,0))))</f>
        <v>1.7101105231614538E-2</v>
      </c>
      <c r="M652" s="509">
        <f t="shared" si="25"/>
        <v>8.9779292264206443E-5</v>
      </c>
      <c r="N652" s="284"/>
    </row>
    <row r="653" spans="1:14" ht="15.75" x14ac:dyDescent="0.25">
      <c r="A653" s="86"/>
      <c r="B653" s="513" t="s">
        <v>128</v>
      </c>
      <c r="C653" s="339" t="s">
        <v>322</v>
      </c>
      <c r="D653" s="345" t="s">
        <v>323</v>
      </c>
      <c r="E653" s="346" t="s">
        <v>214</v>
      </c>
      <c r="F653" s="341">
        <v>0.9</v>
      </c>
      <c r="G653" s="346">
        <f>'Photoresist and Organics PTE'!H25</f>
        <v>0.2</v>
      </c>
      <c r="H653" s="346" t="s">
        <v>289</v>
      </c>
      <c r="I653" s="346" t="s">
        <v>290</v>
      </c>
      <c r="J653" s="85">
        <f>IF(B653="",IF(CONCATENATE(C653,D653,E653,F653,G653,H653,I653)="","",ws3_EU_ID_blank),IF(ISERROR(MATCH(B653,'2. Emissions Units &amp; Activities'!$B$7:$B$193,0)),ws3_matching_error_msg,G653*IF(E653="Y",1,1-F653)*INDEX('2. Emissions Units &amp; Activities'!$G$7:$G$193,MATCH(B653,'2. Emissions Units &amp; Activities'!$B$7:$B$193,0))))</f>
        <v>1.5212790066160518</v>
      </c>
      <c r="K653" s="85">
        <f t="shared" si="24"/>
        <v>2.1881042302201312E-5</v>
      </c>
      <c r="L653" s="85">
        <f>IF(B653="",IF(CONCATENATE(C653,D653,E653,F653,G653,H653,I653)="","",ws3_EU_ID_blank),IF(ISERROR(MATCH(B653,'2. Emissions Units &amp; Activities'!$B$7:$B$193,0)),ws3_matching_error_msg,G653*IF(E653="Y",1,1-F653)*INDEX('2. Emissions Units &amp; Activities'!$J$7:$J$193,MATCH(B653,'2. Emissions Units &amp; Activities'!$B$7:$B$193,0))))</f>
        <v>4.1678876893590459E-3</v>
      </c>
      <c r="M653" s="509">
        <f t="shared" si="25"/>
        <v>2.1881042302201312E-5</v>
      </c>
      <c r="N653" s="284"/>
    </row>
    <row r="654" spans="1:14" ht="15.75" x14ac:dyDescent="0.25">
      <c r="A654" s="86"/>
      <c r="B654" s="513" t="s">
        <v>129</v>
      </c>
      <c r="C654" s="339" t="s">
        <v>324</v>
      </c>
      <c r="D654" s="345" t="s">
        <v>325</v>
      </c>
      <c r="E654" s="346" t="s">
        <v>214</v>
      </c>
      <c r="F654" s="341">
        <f>'Photoresist and Organics PTE'!K47</f>
        <v>0</v>
      </c>
      <c r="G654" s="346">
        <f>'Photoresist and Organics PTE'!H47</f>
        <v>1</v>
      </c>
      <c r="H654" s="346" t="s">
        <v>289</v>
      </c>
      <c r="I654" s="346" t="s">
        <v>296</v>
      </c>
      <c r="J654" s="85">
        <f>IF(B654="",IF(CONCATENATE(C654,D654,E654,F654,G654,H654,I654)="","",ws3_EU_ID_blank),IF(ISERROR(MATCH(B654,'2. Emissions Units &amp; Activities'!$B$7:$B$193,0)),ws3_matching_error_msg,G654*IF(E654="Y",1,1-F654)*INDEX('2. Emissions Units &amp; Activities'!$G$7:$G$193,MATCH(B654,'2. Emissions Units &amp; Activities'!$B$7:$B$193,0))))</f>
        <v>1563.8083333333332</v>
      </c>
      <c r="K654" s="85">
        <f t="shared" si="24"/>
        <v>2.2492755204921885E-2</v>
      </c>
      <c r="L654" s="85">
        <f>IF(B654="",IF(CONCATENATE(C654,D654,E654,F654,G654,H654,I654)="","",ws3_EU_ID_blank),IF(ISERROR(MATCH(B654,'2. Emissions Units &amp; Activities'!$B$7:$B$193,0)),ws3_matching_error_msg,G654*IF(E654="Y",1,1-F654)*INDEX('2. Emissions Units &amp; Activities'!$J$7:$J$193,MATCH(B654,'2. Emissions Units &amp; Activities'!$B$7:$B$193,0))))</f>
        <v>4.2844063926940636</v>
      </c>
      <c r="M654" s="509">
        <f t="shared" si="25"/>
        <v>2.2492755204921885E-2</v>
      </c>
      <c r="N654" s="284"/>
    </row>
    <row r="655" spans="1:14" ht="15.75" x14ac:dyDescent="0.25">
      <c r="A655" s="86"/>
      <c r="B655" s="513" t="s">
        <v>130</v>
      </c>
      <c r="C655" s="339" t="s">
        <v>259</v>
      </c>
      <c r="D655" s="345" t="s">
        <v>260</v>
      </c>
      <c r="E655" s="346" t="s">
        <v>214</v>
      </c>
      <c r="F655" s="341">
        <v>0.6</v>
      </c>
      <c r="G655" s="350">
        <f>'Acids Bases Plating CMP PTE'!G102</f>
        <v>0.05</v>
      </c>
      <c r="H655" s="346" t="s">
        <v>289</v>
      </c>
      <c r="I655" s="346" t="s">
        <v>290</v>
      </c>
      <c r="J655" s="85">
        <f>IF(B655="",IF(CONCATENATE(C655,D655,E655,F655,G655,H655,I655)="","",ws3_EU_ID_blank),IF(ISERROR(MATCH(B655,'2. Emissions Units &amp; Activities'!$B$7:$B$193,0)),ws3_matching_error_msg,G655*IF(E655="Y",1,1-F655)*INDEX('2. Emissions Units &amp; Activities'!$G$7:$G$193,MATCH(B655,'2. Emissions Units &amp; Activities'!$B$7:$B$193,0))))</f>
        <v>1579.5304936823823</v>
      </c>
      <c r="K655" s="85">
        <f t="shared" si="24"/>
        <v>2.2718892063567413E-2</v>
      </c>
      <c r="L655" s="85">
        <f>IF(B655="",IF(CONCATENATE(C655,D655,E655,F655,G655,H655,I655)="","",ws3_EU_ID_blank),IF(ISERROR(MATCH(B655,'2. Emissions Units &amp; Activities'!$B$7:$B$193,0)),ws3_matching_error_msg,G655*IF(E655="Y",1,1-F655)*INDEX('2. Emissions Units &amp; Activities'!$J$7:$J$193,MATCH(B655,'2. Emissions Units &amp; Activities'!$B$7:$B$193,0))))</f>
        <v>4.3274808046092659</v>
      </c>
      <c r="M655" s="509">
        <f t="shared" si="25"/>
        <v>2.2718892063567406E-2</v>
      </c>
      <c r="N655" s="284"/>
    </row>
    <row r="656" spans="1:14" ht="15.75" x14ac:dyDescent="0.25">
      <c r="A656" s="86"/>
      <c r="B656" s="513" t="s">
        <v>131</v>
      </c>
      <c r="C656" s="339" t="s">
        <v>292</v>
      </c>
      <c r="D656" s="345" t="s">
        <v>293</v>
      </c>
      <c r="E656" s="346" t="s">
        <v>214</v>
      </c>
      <c r="F656" s="341">
        <v>0.6</v>
      </c>
      <c r="G656" s="346">
        <f>'Acids Bases Plating CMP PTE'!G101</f>
        <v>0.05</v>
      </c>
      <c r="H656" s="346" t="s">
        <v>289</v>
      </c>
      <c r="I656" s="346" t="s">
        <v>290</v>
      </c>
      <c r="J656" s="85">
        <f>IF(B656="",IF(CONCATENATE(C656,D656,E656,F656,G656,H656,I656)="","",ws3_EU_ID_blank),IF(ISERROR(MATCH(B656,'2. Emissions Units &amp; Activities'!$B$7:$B$193,0)),ws3_matching_error_msg,G656*IF(E656="Y",1,1-F656)*INDEX('2. Emissions Units &amp; Activities'!$G$7:$G$193,MATCH(B656,'2. Emissions Units &amp; Activities'!$B$7:$B$193,0))))</f>
        <v>197.62672007753187</v>
      </c>
      <c r="K656" s="85">
        <f t="shared" si="24"/>
        <v>2.842528295766561E-3</v>
      </c>
      <c r="L656" s="85">
        <f>IF(B656="",IF(CONCATENATE(C656,D656,E656,F656,G656,H656,I656)="","",ws3_EU_ID_blank),IF(ISERROR(MATCH(B656,'2. Emissions Units &amp; Activities'!$B$7:$B$193,0)),ws3_matching_error_msg,G656*IF(E656="Y",1,1-F656)*INDEX('2. Emissions Units &amp; Activities'!$J$7:$J$193,MATCH(B656,'2. Emissions Units &amp; Activities'!$B$7:$B$193,0))))</f>
        <v>0.54144306870556669</v>
      </c>
      <c r="M656" s="509">
        <f t="shared" si="25"/>
        <v>2.8425282957665605E-3</v>
      </c>
      <c r="N656" s="284"/>
    </row>
    <row r="657" spans="1:14" ht="15.75" x14ac:dyDescent="0.25">
      <c r="A657" s="86"/>
      <c r="B657" s="513" t="s">
        <v>132</v>
      </c>
      <c r="C657" s="339" t="s">
        <v>292</v>
      </c>
      <c r="D657" s="345" t="s">
        <v>293</v>
      </c>
      <c r="E657" s="346" t="s">
        <v>214</v>
      </c>
      <c r="F657" s="341">
        <v>0.6</v>
      </c>
      <c r="G657" s="350">
        <f>'Acids Bases Plating CMP PTE'!G104</f>
        <v>0.05</v>
      </c>
      <c r="H657" s="346" t="s">
        <v>289</v>
      </c>
      <c r="I657" s="346" t="s">
        <v>290</v>
      </c>
      <c r="J657" s="85">
        <f>IF(B657="",IF(CONCATENATE(C657,D657,E657,F657,G657,H657,I657)="","",ws3_EU_ID_blank),IF(ISERROR(MATCH(B657,'2. Emissions Units &amp; Activities'!$B$7:$B$193,0)),ws3_matching_error_msg,G657*IF(E657="Y",1,1-F657)*INDEX('2. Emissions Units &amp; Activities'!$G$7:$G$193,MATCH(B657,'2. Emissions Units &amp; Activities'!$B$7:$B$193,0))))</f>
        <v>2191.4036760000004</v>
      </c>
      <c r="K657" s="85">
        <f t="shared" si="24"/>
        <v>3.1519659659549476E-2</v>
      </c>
      <c r="L657" s="85">
        <f>IF(B657="",IF(CONCATENATE(C657,D657,E657,F657,G657,H657,I657)="","",ws3_EU_ID_blank),IF(ISERROR(MATCH(B657,'2. Emissions Units &amp; Activities'!$B$7:$B$193,0)),ws3_matching_error_msg,G657*IF(E657="Y",1,1-F657)*INDEX('2. Emissions Units &amp; Activities'!$J$7:$J$193,MATCH(B657,'2. Emissions Units &amp; Activities'!$B$7:$B$193,0))))</f>
        <v>6.0038456876712338</v>
      </c>
      <c r="M657" s="509">
        <f t="shared" si="25"/>
        <v>3.1519659659549476E-2</v>
      </c>
      <c r="N657" s="284"/>
    </row>
    <row r="658" spans="1:14" ht="15.75" x14ac:dyDescent="0.25">
      <c r="A658" s="86"/>
      <c r="B658" s="513" t="s">
        <v>133</v>
      </c>
      <c r="C658" s="339" t="s">
        <v>326</v>
      </c>
      <c r="D658" s="345" t="s">
        <v>327</v>
      </c>
      <c r="E658" s="346" t="s">
        <v>214</v>
      </c>
      <c r="F658" s="341">
        <v>0</v>
      </c>
      <c r="G658" s="346">
        <f>'Photoresist and Organics PTE'!H95</f>
        <v>1</v>
      </c>
      <c r="H658" s="346" t="s">
        <v>289</v>
      </c>
      <c r="I658" s="346" t="s">
        <v>296</v>
      </c>
      <c r="J658" s="85">
        <f>IF(B658="",IF(CONCATENATE(C658,D658,E658,F658,G658,H658,I658)="","",ws3_EU_ID_blank),IF(ISERROR(MATCH(B658,'2. Emissions Units &amp; Activities'!$B$7:$B$193,0)),ws3_matching_error_msg,G658*IF(E658="Y",1,1-F658)*INDEX('2. Emissions Units &amp; Activities'!$G$7:$G$193,MATCH(B658,'2. Emissions Units &amp; Activities'!$B$7:$B$193,0))))</f>
        <v>182.78346349411635</v>
      </c>
      <c r="K658" s="85">
        <f t="shared" si="24"/>
        <v>2.6290329909660301E-3</v>
      </c>
      <c r="L658" s="85">
        <f>IF(B658="",IF(CONCATENATE(C658,D658,E658,F658,G658,H658,I658)="","",ws3_EU_ID_blank),IF(ISERROR(MATCH(B658,'2. Emissions Units &amp; Activities'!$B$7:$B$193,0)),ws3_matching_error_msg,G658*IF(E658="Y",1,1-F658)*INDEX('2. Emissions Units &amp; Activities'!$J$7:$J$193,MATCH(B658,'2. Emissions Units &amp; Activities'!$B$7:$B$193,0))))</f>
        <v>0.50077661231264747</v>
      </c>
      <c r="M658" s="509">
        <f t="shared" si="25"/>
        <v>2.6290329909660296E-3</v>
      </c>
      <c r="N658" s="284"/>
    </row>
    <row r="659" spans="1:14" ht="15.75" x14ac:dyDescent="0.25">
      <c r="A659" s="86"/>
      <c r="B659" s="513" t="s">
        <v>134</v>
      </c>
      <c r="C659" s="339" t="s">
        <v>328</v>
      </c>
      <c r="D659" s="345" t="s">
        <v>329</v>
      </c>
      <c r="E659" s="346" t="s">
        <v>214</v>
      </c>
      <c r="F659" s="341">
        <f>'Gas and Liquid Precursor PTE'!H6</f>
        <v>0</v>
      </c>
      <c r="G659" s="346">
        <f>'Gas and Liquid Precursor PTE'!G6</f>
        <v>0.05</v>
      </c>
      <c r="H659" s="346" t="s">
        <v>289</v>
      </c>
      <c r="I659" s="346" t="s">
        <v>290</v>
      </c>
      <c r="J659" s="85">
        <f>IF(B659="",IF(CONCATENATE(C659,D659,E659,F659,G659,H659,I659)="","",ws3_EU_ID_blank),IF(ISERROR(MATCH(B659,'2. Emissions Units &amp; Activities'!$B$7:$B$193,0)),ws3_matching_error_msg,G659*IF(E659="Y",1,1-F659)*INDEX('2. Emissions Units &amp; Activities'!$G$7:$G$193,MATCH(B659,'2. Emissions Units &amp; Activities'!$B$7:$B$193,0))))</f>
        <v>3.2239040902360254</v>
      </c>
      <c r="K659" s="85">
        <f t="shared" si="24"/>
        <v>4.6370443205950427E-5</v>
      </c>
      <c r="L659" s="85">
        <f>IF(B659="",IF(CONCATENATE(C659,D659,E659,F659,G659,H659,I659)="","",ws3_EU_ID_blank),IF(ISERROR(MATCH(B659,'2. Emissions Units &amp; Activities'!$B$7:$B$193,0)),ws3_matching_error_msg,G659*IF(E659="Y",1,1-F659)*INDEX('2. Emissions Units &amp; Activities'!$J$7:$J$193,MATCH(B659,'2. Emissions Units &amp; Activities'!$B$7:$B$193,0))))</f>
        <v>8.8326139458521236E-3</v>
      </c>
      <c r="M659" s="509">
        <f t="shared" si="25"/>
        <v>4.637044320595042E-5</v>
      </c>
      <c r="N659" s="284"/>
    </row>
    <row r="660" spans="1:14" ht="15.75" x14ac:dyDescent="0.25">
      <c r="A660" s="86"/>
      <c r="B660" s="513" t="s">
        <v>135</v>
      </c>
      <c r="C660" s="339" t="s">
        <v>330</v>
      </c>
      <c r="D660" s="345" t="s">
        <v>331</v>
      </c>
      <c r="E660" s="346" t="s">
        <v>214</v>
      </c>
      <c r="F660" s="341">
        <f>1-(1-('Gas and Liquid Precursor PTE'!H14))*(1-'Gas and Liquid Precursor PTE'!K14)</f>
        <v>0.66332499999999994</v>
      </c>
      <c r="G660" s="346">
        <f>'Gas and Liquid Precursor PTE'!G14</f>
        <v>1</v>
      </c>
      <c r="H660" s="346" t="s">
        <v>289</v>
      </c>
      <c r="I660" s="346" t="s">
        <v>290</v>
      </c>
      <c r="J660" s="85">
        <f>IF(B660="",IF(CONCATENATE(C660,D660,E660,F660,G660,H660,I660)="","",ws3_EU_ID_blank),IF(ISERROR(MATCH(B660,'2. Emissions Units &amp; Activities'!$B$7:$B$193,0)),ws3_matching_error_msg,G660*IF(E660="Y",1,1-F660)*INDEX('2. Emissions Units &amp; Activities'!$G$7:$G$193,MATCH(B660,'2. Emissions Units &amp; Activities'!$B$7:$B$193,0))))</f>
        <v>1012.652087567901</v>
      </c>
      <c r="K660" s="85">
        <f t="shared" si="24"/>
        <v>1.4565298718460547E-2</v>
      </c>
      <c r="L660" s="85">
        <f>IF(B660="",IF(CONCATENATE(C660,D660,E660,F660,G660,H660,I660)="","",ws3_EU_ID_blank),IF(ISERROR(MATCH(B660,'2. Emissions Units &amp; Activities'!$B$7:$B$193,0)),ws3_matching_error_msg,G660*IF(E660="Y",1,1-F660)*INDEX('2. Emissions Units &amp; Activities'!$J$7:$J$193,MATCH(B660,'2. Emissions Units &amp; Activities'!$B$7:$B$193,0))))</f>
        <v>2.7743892810079482</v>
      </c>
      <c r="M660" s="509">
        <f t="shared" si="25"/>
        <v>1.4565298718460549E-2</v>
      </c>
      <c r="N660" s="284"/>
    </row>
    <row r="661" spans="1:14" ht="15.75" x14ac:dyDescent="0.25">
      <c r="A661" s="86"/>
      <c r="B661" s="513" t="s">
        <v>137</v>
      </c>
      <c r="C661" s="339" t="s">
        <v>292</v>
      </c>
      <c r="D661" s="345" t="s">
        <v>293</v>
      </c>
      <c r="E661" s="346" t="s">
        <v>214</v>
      </c>
      <c r="F661" s="341">
        <f>1-((1-'Gas and Liquid Precursor PTE'!K11)*(1-'Gas and Liquid Precursor PTE'!H11))</f>
        <v>0.96</v>
      </c>
      <c r="G661" s="346">
        <f>'Gas and Liquid Precursor PTE'!G11</f>
        <v>0.88500000000000001</v>
      </c>
      <c r="H661" s="346" t="s">
        <v>289</v>
      </c>
      <c r="I661" s="346" t="s">
        <v>290</v>
      </c>
      <c r="J661" s="85">
        <f>IF(B661="",IF(CONCATENATE(C661,D661,E661,F661,G661,H661,I661)="","",ws3_EU_ID_blank),IF(ISERROR(MATCH(B661,'2. Emissions Units &amp; Activities'!$B$7:$B$193,0)),ws3_matching_error_msg,G661*IF(E661="Y",1,1-F661)*INDEX('2. Emissions Units &amp; Activities'!$G$7:$G$193,MATCH(B661,'2. Emissions Units &amp; Activities'!$B$7:$B$193,0))))</f>
        <v>2.9380688337185914</v>
      </c>
      <c r="K661" s="85">
        <f t="shared" si="24"/>
        <v>4.2259183330465239E-5</v>
      </c>
      <c r="L661" s="85">
        <f>IF(B661="",IF(CONCATENATE(C661,D661,E661,F661,G661,H661,I661)="","",ws3_EU_ID_blank),IF(ISERROR(MATCH(B661,'2. Emissions Units &amp; Activities'!$B$7:$B$193,0)),ws3_matching_error_msg,G661*IF(E661="Y",1,1-F661)*INDEX('2. Emissions Units &amp; Activities'!$J$7:$J$193,MATCH(B661,'2. Emissions Units &amp; Activities'!$B$7:$B$193,0))))</f>
        <v>8.049503654023538E-3</v>
      </c>
      <c r="M661" s="509">
        <f t="shared" si="25"/>
        <v>4.2259183330465239E-5</v>
      </c>
      <c r="N661" s="284"/>
    </row>
    <row r="662" spans="1:14" ht="15.75" x14ac:dyDescent="0.25">
      <c r="A662" s="86"/>
      <c r="B662" s="513" t="s">
        <v>138</v>
      </c>
      <c r="C662" s="339" t="s">
        <v>292</v>
      </c>
      <c r="D662" s="345" t="s">
        <v>293</v>
      </c>
      <c r="E662" s="346" t="s">
        <v>214</v>
      </c>
      <c r="F662" s="341">
        <v>0.6</v>
      </c>
      <c r="G662" s="346">
        <f>'Gas and Liquid Precursor PTE'!G23</f>
        <v>0.53300000000000003</v>
      </c>
      <c r="H662" s="346" t="s">
        <v>289</v>
      </c>
      <c r="I662" s="346" t="s">
        <v>290</v>
      </c>
      <c r="J662" s="85">
        <f>IF(B662="",IF(CONCATENATE(C662,D662,E662,F662,G662,H662,I662)="","",ws3_EU_ID_blank),IF(ISERROR(MATCH(B662,'2. Emissions Units &amp; Activities'!$B$7:$B$193,0)),ws3_matching_error_msg,G662*IF(E662="Y",1,1-F662)*INDEX('2. Emissions Units &amp; Activities'!$G$7:$G$193,MATCH(B662,'2. Emissions Units &amp; Activities'!$B$7:$B$193,0))))</f>
        <v>196.05617153315418</v>
      </c>
      <c r="K662" s="85">
        <f t="shared" si="24"/>
        <v>2.8199385939513552E-3</v>
      </c>
      <c r="L662" s="85">
        <f>IF(B662="",IF(CONCATENATE(C662,D662,E662,F662,G662,H662,I662)="","",ws3_EU_ID_blank),IF(ISERROR(MATCH(B662,'2. Emissions Units &amp; Activities'!$B$7:$B$193,0)),ws3_matching_error_msg,G662*IF(E662="Y",1,1-F662)*INDEX('2. Emissions Units &amp; Activities'!$J$7:$J$193,MATCH(B662,'2. Emissions Units &amp; Activities'!$B$7:$B$193,0))))</f>
        <v>0.53714019598124441</v>
      </c>
      <c r="M662" s="509">
        <f t="shared" si="25"/>
        <v>2.8199385939513557E-3</v>
      </c>
      <c r="N662" s="284"/>
    </row>
    <row r="663" spans="1:14" ht="15.75" x14ac:dyDescent="0.25">
      <c r="A663" s="86"/>
      <c r="B663" s="513" t="s">
        <v>139</v>
      </c>
      <c r="C663" s="339" t="s">
        <v>292</v>
      </c>
      <c r="D663" s="345" t="s">
        <v>293</v>
      </c>
      <c r="E663" s="346" t="s">
        <v>214</v>
      </c>
      <c r="F663" s="341">
        <v>0.6</v>
      </c>
      <c r="G663" s="346">
        <f>'Gas and Liquid Precursor PTE'!G26</f>
        <v>1.05</v>
      </c>
      <c r="H663" s="346" t="s">
        <v>289</v>
      </c>
      <c r="I663" s="346" t="s">
        <v>290</v>
      </c>
      <c r="J663" s="85">
        <f>IF(B663="",IF(CONCATENATE(C663,D663,E663,F663,G663,H663,I663)="","",ws3_EU_ID_blank),IF(ISERROR(MATCH(B663,'2. Emissions Units &amp; Activities'!$B$7:$B$193,0)),ws3_matching_error_msg,G663*IF(E663="Y",1,1-F663)*INDEX('2. Emissions Units &amp; Activities'!$G$7:$G$193,MATCH(B663,'2. Emissions Units &amp; Activities'!$B$7:$B$193,0))))</f>
        <v>0.92241960496339914</v>
      </c>
      <c r="K663" s="85">
        <f t="shared" si="24"/>
        <v>1.3267456074004692E-5</v>
      </c>
      <c r="L663" s="85">
        <f>IF(B663="",IF(CONCATENATE(C663,D663,E663,F663,G663,H663,I663)="","",ws3_EU_ID_blank),IF(ISERROR(MATCH(B663,'2. Emissions Units &amp; Activities'!$B$7:$B$193,0)),ws3_matching_error_msg,G663*IF(E663="Y",1,1-F663)*INDEX('2. Emissions Units &amp; Activities'!$J$7:$J$193,MATCH(B663,'2. Emissions Units &amp; Activities'!$B$7:$B$193,0))))</f>
        <v>2.5271769998997237E-3</v>
      </c>
      <c r="M663" s="509">
        <f t="shared" si="25"/>
        <v>1.3267456074004692E-5</v>
      </c>
      <c r="N663" s="284"/>
    </row>
    <row r="664" spans="1:14" ht="15.75" x14ac:dyDescent="0.25">
      <c r="A664" s="86"/>
      <c r="B664" s="514" t="s">
        <v>140</v>
      </c>
      <c r="C664" s="339" t="s">
        <v>292</v>
      </c>
      <c r="D664" s="345" t="s">
        <v>293</v>
      </c>
      <c r="E664" s="346" t="s">
        <v>214</v>
      </c>
      <c r="F664" s="341">
        <f>'Gas and Liquid Precursor PTE'!K29</f>
        <v>0.6</v>
      </c>
      <c r="G664" s="346">
        <f>'Gas and Liquid Precursor PTE'!G29</f>
        <v>0.52</v>
      </c>
      <c r="H664" s="346" t="s">
        <v>289</v>
      </c>
      <c r="I664" s="346" t="s">
        <v>290</v>
      </c>
      <c r="J664" s="85">
        <f>IF(B664="",IF(CONCATENATE(C664,D664,E664,F664,G664,H664,I664)="","",ws3_EU_ID_blank),IF(ISERROR(MATCH(B664,'2. Emissions Units &amp; Activities'!$B$7:$B$193,0)),ws3_matching_error_msg,G664*IF(E664="Y",1,1-F664)*INDEX('2. Emissions Units &amp; Activities'!$G$7:$G$193,MATCH(B664,'2. Emissions Units &amp; Activities'!$B$7:$B$193,0))))</f>
        <v>3.2525152156590074</v>
      </c>
      <c r="K664" s="85">
        <f t="shared" ref="K664" si="26">CONVERT(J664,"lbm","g")/8760/3600</f>
        <v>4.6781966169832261E-5</v>
      </c>
      <c r="L664" s="85">
        <f>IF(B664="",IF(CONCATENATE(C664,D664,E664,F664,G664,H664,I664)="","",ws3_EU_ID_blank),IF(ISERROR(MATCH(B664,'2. Emissions Units &amp; Activities'!$B$7:$B$193,0)),ws3_matching_error_msg,G664*IF(E664="Y",1,1-F664)*INDEX('2. Emissions Units &amp; Activities'!$J$7:$J$193,MATCH(B664,'2. Emissions Units &amp; Activities'!$B$7:$B$193,0))))</f>
        <v>8.9110005908465961E-3</v>
      </c>
      <c r="M664" s="509">
        <f t="shared" ref="M664" si="27">CONVERT(L664,"lbm","g")/24/3600</f>
        <v>4.6781966169832261E-5</v>
      </c>
      <c r="N664" s="284"/>
    </row>
    <row r="665" spans="1:14" ht="15.75" x14ac:dyDescent="0.25">
      <c r="A665" s="86"/>
      <c r="B665" s="513" t="s">
        <v>141</v>
      </c>
      <c r="C665" s="339" t="s">
        <v>292</v>
      </c>
      <c r="D665" s="345" t="s">
        <v>293</v>
      </c>
      <c r="E665" s="346" t="s">
        <v>214</v>
      </c>
      <c r="F665" s="341">
        <f>1-((1-'Gas and Liquid Precursor PTE'!K33)*(1-'Gas and Liquid Precursor PTE'!H33))</f>
        <v>0.96</v>
      </c>
      <c r="G665" s="346">
        <f>'Gas and Liquid Precursor PTE'!G33</f>
        <v>0.219</v>
      </c>
      <c r="H665" s="346" t="s">
        <v>289</v>
      </c>
      <c r="I665" s="346" t="s">
        <v>290</v>
      </c>
      <c r="J665" s="85">
        <f>IF(B665="",IF(CONCATENATE(C665,D665,E665,F665,G665,H665,I665)="","",ws3_EU_ID_blank),IF(ISERROR(MATCH(B665,'2. Emissions Units &amp; Activities'!$B$7:$B$193,0)),ws3_matching_error_msg,G665*IF(E665="Y",1,1-F665)*INDEX('2. Emissions Units &amp; Activities'!$G$7:$G$193,MATCH(B665,'2. Emissions Units &amp; Activities'!$B$7:$B$193,0))))</f>
        <v>83.802291694506266</v>
      </c>
      <c r="K665" s="85">
        <f t="shared" si="24"/>
        <v>1.2053551528774231E-3</v>
      </c>
      <c r="L665" s="85">
        <f>IF(B665="",IF(CONCATENATE(C665,D665,E665,F665,G665,H665,I665)="","",ws3_EU_ID_blank),IF(ISERROR(MATCH(B665,'2. Emissions Units &amp; Activities'!$B$7:$B$193,0)),ws3_matching_error_msg,G665*IF(E665="Y",1,1-F665)*INDEX('2. Emissions Units &amp; Activities'!$J$7:$J$193,MATCH(B665,'2. Emissions Units &amp; Activities'!$B$7:$B$193,0))))</f>
        <v>0.22959531971097605</v>
      </c>
      <c r="M665" s="509">
        <f t="shared" si="25"/>
        <v>1.2053551528774231E-3</v>
      </c>
      <c r="N665" s="284"/>
    </row>
    <row r="666" spans="1:14" ht="30.75" x14ac:dyDescent="0.25">
      <c r="A666" s="86"/>
      <c r="B666" s="513" t="s">
        <v>143</v>
      </c>
      <c r="C666" s="339" t="s">
        <v>292</v>
      </c>
      <c r="D666" s="345" t="s">
        <v>293</v>
      </c>
      <c r="E666" s="346" t="s">
        <v>214</v>
      </c>
      <c r="F666" s="341">
        <f>1-((1-'Gas and Liquid Precursor PTE'!K34)*(1-'Gas and Liquid Precursor PTE'!H34))</f>
        <v>0.96</v>
      </c>
      <c r="G666" s="348">
        <f>'Gas and Liquid Precursor PTE'!G34</f>
        <v>0.46889602202738945</v>
      </c>
      <c r="H666" s="346" t="s">
        <v>289</v>
      </c>
      <c r="I666" s="346" t="s">
        <v>290</v>
      </c>
      <c r="J666" s="85">
        <f>IF(B666="",IF(CONCATENATE(C666,D666,E666,F667,G666,H666,I666)="","",ws3_EU_ID_blank),IF(ISERROR(MATCH(B666,'2. Emissions Units &amp; Activities'!$B$7:$B$193,0)),ws3_matching_error_msg,G666*IF(E666="Y",1,1-F667)*INDEX('2. Emissions Units &amp; Activities'!$G$7:$G$193,MATCH(B666,'2. Emissions Units &amp; Activities'!$B$7:$B$193,0))))</f>
        <v>179.42722014763893</v>
      </c>
      <c r="K666" s="85">
        <f t="shared" si="24"/>
        <v>2.5807590699289478E-3</v>
      </c>
      <c r="L666" s="85">
        <f>IF(B666="",IF(CONCATENATE(C666,D666,E666,F667,G666,H666,I666)="","",ws3_EU_ID_blank),IF(ISERROR(MATCH(B666,'2. Emissions Units &amp; Activities'!$B$7:$B$193,0)),ws3_matching_error_msg,G666*IF(E666="Y",1,1-F667)*INDEX('2. Emissions Units &amp; Activities'!$J$7:$J$193,MATCH(B666,'2. Emissions Units &amp; Activities'!$B$7:$B$193,0))))</f>
        <v>0.49158142506202446</v>
      </c>
      <c r="M666" s="509">
        <f t="shared" si="25"/>
        <v>2.5807590699289478E-3</v>
      </c>
      <c r="N666" s="284"/>
    </row>
    <row r="667" spans="1:14" ht="30.75" x14ac:dyDescent="0.25">
      <c r="A667" s="86"/>
      <c r="B667" s="513" t="s">
        <v>144</v>
      </c>
      <c r="C667" s="339" t="s">
        <v>292</v>
      </c>
      <c r="D667" s="345" t="s">
        <v>293</v>
      </c>
      <c r="E667" s="346" t="s">
        <v>214</v>
      </c>
      <c r="F667" s="341">
        <f>1-((1-'Gas and Liquid Precursor PTE'!K35)*(1-'Gas and Liquid Precursor PTE'!H35))</f>
        <v>0.96</v>
      </c>
      <c r="G667" s="348">
        <f>'Gas and Liquid Precursor PTE'!G35</f>
        <v>0.15034786363636363</v>
      </c>
      <c r="H667" s="346" t="s">
        <v>289</v>
      </c>
      <c r="I667" s="346" t="s">
        <v>290</v>
      </c>
      <c r="J667" s="85">
        <f>IF(B667="",IF(CONCATENATE(C667,D667,E667,F668,G667,H667,I667)="","",ws3_EU_ID_blank),IF(ISERROR(MATCH(B667,'2. Emissions Units &amp; Activities'!$B$7:$B$193,0)),ws3_matching_error_msg,G667*IF(E667="Y",1,1-F668)*INDEX('2. Emissions Units &amp; Activities'!$G$7:$G$193,MATCH(B667,'2. Emissions Units &amp; Activities'!$B$7:$B$193,0))))</f>
        <v>57.531943032421893</v>
      </c>
      <c r="K667" s="85">
        <f t="shared" ref="K667" si="28">CONVERT(J667,"lbm","g")/8760/3600</f>
        <v>8.2750032948951152E-4</v>
      </c>
      <c r="L667" s="85">
        <f>IF(B667="",IF(CONCATENATE(C667,D667,E667,F668,G667,H667,I667)="","",ws3_EU_ID_blank),IF(ISERROR(MATCH(B667,'2. Emissions Units &amp; Activities'!$B$7:$B$193,0)),ws3_matching_error_msg,G667*IF(E667="Y",1,1-F668)*INDEX('2. Emissions Units &amp; Activities'!$J$7:$J$193,MATCH(B667,'2. Emissions Units &amp; Activities'!$B$7:$B$193,0))))</f>
        <v>0.15762176173266274</v>
      </c>
      <c r="M667" s="509">
        <f t="shared" ref="M667" si="29">CONVERT(L667,"lbm","g")/24/3600</f>
        <v>8.2750032948951152E-4</v>
      </c>
      <c r="N667" s="284"/>
    </row>
    <row r="668" spans="1:14" ht="15.75" x14ac:dyDescent="0.25">
      <c r="A668" s="86"/>
      <c r="B668" s="513" t="s">
        <v>145</v>
      </c>
      <c r="C668" s="339" t="s">
        <v>292</v>
      </c>
      <c r="D668" s="345" t="s">
        <v>293</v>
      </c>
      <c r="E668" s="346" t="s">
        <v>214</v>
      </c>
      <c r="F668" s="341">
        <f>1-((1-'Gas and Liquid Precursor PTE'!H47)*(1-'Gas and Liquid Precursor PTE'!K47))</f>
        <v>0.96</v>
      </c>
      <c r="G668" s="346">
        <f>'Gas and Liquid Precursor PTE'!G47</f>
        <v>0.56599999999999995</v>
      </c>
      <c r="H668" s="346" t="s">
        <v>289</v>
      </c>
      <c r="I668" s="346" t="s">
        <v>290</v>
      </c>
      <c r="J668" s="85">
        <f>IF(B668="",IF(CONCATENATE(C668,D668,E668,F668,G668,H668,I668)="","",ws3_EU_ID_blank),IF(ISERROR(MATCH(B668,'2. Emissions Units &amp; Activities'!$B$7:$B$193,0)),ws3_matching_error_msg,G668*IF(E668="Y",1,1-F668)*INDEX('2. Emissions Units &amp; Activities'!$G$7:$G$193,MATCH(B668,'2. Emissions Units &amp; Activities'!$B$7:$B$193,0))))</f>
        <v>0</v>
      </c>
      <c r="K668" s="85">
        <f t="shared" si="24"/>
        <v>0</v>
      </c>
      <c r="L668" s="85">
        <f>IF(B668="",IF(CONCATENATE(C668,D668,E668,F668,G668,H668,I668)="","",ws3_EU_ID_blank),IF(ISERROR(MATCH(B668,'2. Emissions Units &amp; Activities'!$B$7:$B$193,0)),ws3_matching_error_msg,G668*IF(E668="Y",1,1-F668)*INDEX('2. Emissions Units &amp; Activities'!$J$7:$J$193,MATCH(B668,'2. Emissions Units &amp; Activities'!$B$7:$B$193,0))))</f>
        <v>0</v>
      </c>
      <c r="M668" s="509">
        <f t="shared" si="25"/>
        <v>0</v>
      </c>
      <c r="N668" s="284"/>
    </row>
    <row r="669" spans="1:14" ht="15.75" x14ac:dyDescent="0.25">
      <c r="A669" s="86"/>
      <c r="B669" s="513" t="s">
        <v>145</v>
      </c>
      <c r="C669" s="339" t="s">
        <v>332</v>
      </c>
      <c r="D669" s="345" t="s">
        <v>333</v>
      </c>
      <c r="E669" s="346" t="s">
        <v>214</v>
      </c>
      <c r="F669" s="341">
        <v>0.9</v>
      </c>
      <c r="G669" s="346">
        <v>0.65800000000000003</v>
      </c>
      <c r="H669" s="346" t="s">
        <v>289</v>
      </c>
      <c r="I669" s="346" t="s">
        <v>290</v>
      </c>
      <c r="J669" s="85">
        <f>IF(B669="",IF(CONCATENATE(C669,D669,E669,F669,G669,H669,I669)="","",ws3_EU_ID_blank),IF(ISERROR(MATCH(B669,'2. Emissions Units &amp; Activities'!$B$7:$B$193,0)),ws3_matching_error_msg,G669*IF(E669="Y",1,1-F669)*INDEX('2. Emissions Units &amp; Activities'!$G$7:$G$193,MATCH(B669,'2. Emissions Units &amp; Activities'!$B$7:$B$193,0))))</f>
        <v>0</v>
      </c>
      <c r="K669" s="85">
        <f t="shared" ref="K669:K673" si="30">CONVERT(J669,"lbm","g")/8760/3600</f>
        <v>0</v>
      </c>
      <c r="L669" s="85">
        <f>IF(B669="",IF(CONCATENATE(C669,D669,E669,F669,G669,H669,I669)="","",ws3_EU_ID_blank),IF(ISERROR(MATCH(B669,'2. Emissions Units &amp; Activities'!$B$7:$B$193,0)),ws3_matching_error_msg,G669*IF(E669="Y",1,1-F669)*INDEX('2. Emissions Units &amp; Activities'!$J$7:$J$193,MATCH(B669,'2. Emissions Units &amp; Activities'!$B$7:$B$193,0))))</f>
        <v>0</v>
      </c>
      <c r="M669" s="509">
        <f t="shared" ref="M669:M673" si="31">CONVERT(L669,"lbm","g")/24/3600</f>
        <v>0</v>
      </c>
      <c r="N669" s="284"/>
    </row>
    <row r="670" spans="1:14" ht="45.75" x14ac:dyDescent="0.25">
      <c r="A670" s="86"/>
      <c r="B670" s="513" t="s">
        <v>147</v>
      </c>
      <c r="C670" s="339" t="s">
        <v>292</v>
      </c>
      <c r="D670" s="345" t="s">
        <v>293</v>
      </c>
      <c r="E670" s="346" t="s">
        <v>214</v>
      </c>
      <c r="F670" s="341">
        <f>1-((1-'Gas and Liquid Precursor PTE'!H48)*(1-'Gas and Liquid Precursor PTE'!K48))</f>
        <v>0.96</v>
      </c>
      <c r="G670" s="348">
        <f>'Gas and Liquid Precursor PTE'!G48</f>
        <v>0.14610118309859157</v>
      </c>
      <c r="H670" s="346" t="s">
        <v>289</v>
      </c>
      <c r="I670" s="346" t="s">
        <v>290</v>
      </c>
      <c r="J670" s="85">
        <f>IF(B670="",IF(CONCATENATE(C670,D670,E670,F670,G670,H670,I670)="","",ws3_EU_ID_blank),IF(ISERROR(MATCH(B670,'2. Emissions Units &amp; Activities'!$B$7:$B$193,0)),ws3_matching_error_msg,G670*IF(E670="Y",1,1-F670)*INDEX('2. Emissions Units &amp; Activities'!$G$7:$G$193,MATCH(B670,'2. Emissions Units &amp; Activities'!$B$7:$B$193,0))))</f>
        <v>0</v>
      </c>
      <c r="K670" s="85">
        <f t="shared" ref="K670:K671" si="32">CONVERT(J670,"lbm","g")/8760/3600</f>
        <v>0</v>
      </c>
      <c r="L670" s="85">
        <f>IF(B670="",IF(CONCATENATE(C670,D670,E670,F670,G670,H670,I670)="","",ws3_EU_ID_blank),IF(ISERROR(MATCH(B670,'2. Emissions Units &amp; Activities'!$B$7:$B$193,0)),ws3_matching_error_msg,G670*IF(E670="Y",1,1-F670)*INDEX('2. Emissions Units &amp; Activities'!$J$7:$J$193,MATCH(B670,'2. Emissions Units &amp; Activities'!$B$7:$B$193,0))))</f>
        <v>0</v>
      </c>
      <c r="M670" s="509">
        <f t="shared" ref="M670:M671" si="33">CONVERT(L670,"lbm","g")/24/3600</f>
        <v>0</v>
      </c>
      <c r="N670" s="284"/>
    </row>
    <row r="671" spans="1:14" ht="45.75" x14ac:dyDescent="0.25">
      <c r="A671" s="86"/>
      <c r="B671" s="513" t="s">
        <v>148</v>
      </c>
      <c r="C671" s="339" t="s">
        <v>292</v>
      </c>
      <c r="D671" s="345" t="s">
        <v>293</v>
      </c>
      <c r="E671" s="346" t="s">
        <v>214</v>
      </c>
      <c r="F671" s="341">
        <f>1-((1-'Gas and Liquid Precursor PTE'!H49)*(1-'Gas and Liquid Precursor PTE'!K49))</f>
        <v>0.96</v>
      </c>
      <c r="G671" s="348">
        <f>'Gas and Liquid Precursor PTE'!G49</f>
        <v>0.11078263636363639</v>
      </c>
      <c r="H671" s="346" t="s">
        <v>289</v>
      </c>
      <c r="I671" s="346" t="s">
        <v>290</v>
      </c>
      <c r="J671" s="85">
        <f>IF(B671="",IF(CONCATENATE(C671,D671,E671,F671,G671,H671,I671)="","",ws3_EU_ID_blank),IF(ISERROR(MATCH(B671,'2. Emissions Units &amp; Activities'!$B$7:$B$193,0)),ws3_matching_error_msg,G671*IF(E671="Y",1,1-F671)*INDEX('2. Emissions Units &amp; Activities'!$G$7:$G$193,MATCH(B671,'2. Emissions Units &amp; Activities'!$B$7:$B$193,0))))</f>
        <v>0</v>
      </c>
      <c r="K671" s="85">
        <f t="shared" si="32"/>
        <v>0</v>
      </c>
      <c r="L671" s="85">
        <f>IF(B671="",IF(CONCATENATE(C671,D671,E671,F671,G671,H671,I671)="","",ws3_EU_ID_blank),IF(ISERROR(MATCH(B671,'2. Emissions Units &amp; Activities'!$B$7:$B$193,0)),ws3_matching_error_msg,G671*IF(E671="Y",1,1-F671)*INDEX('2. Emissions Units &amp; Activities'!$J$7:$J$193,MATCH(B671,'2. Emissions Units &amp; Activities'!$B$7:$B$193,0))))</f>
        <v>0</v>
      </c>
      <c r="M671" s="509">
        <f t="shared" si="33"/>
        <v>0</v>
      </c>
      <c r="N671" s="284"/>
    </row>
    <row r="672" spans="1:14" ht="15.75" x14ac:dyDescent="0.25">
      <c r="A672" s="86"/>
      <c r="B672" s="513" t="s">
        <v>149</v>
      </c>
      <c r="C672" s="339" t="s">
        <v>292</v>
      </c>
      <c r="D672" s="345" t="s">
        <v>293</v>
      </c>
      <c r="E672" s="346" t="s">
        <v>214</v>
      </c>
      <c r="F672" s="341">
        <f>1-(1-'Gas and Liquid Precursor PTE'!H55)*(1-'Gas and Liquid Precursor PTE'!K55)</f>
        <v>0.95517600000000003</v>
      </c>
      <c r="G672" s="346">
        <f>'Gas and Liquid Precursor PTE'!G55</f>
        <v>0.80800000000000005</v>
      </c>
      <c r="H672" s="346" t="s">
        <v>289</v>
      </c>
      <c r="I672" s="346" t="s">
        <v>290</v>
      </c>
      <c r="J672" s="85">
        <f>IF(B672="",IF(CONCATENATE(C672,D672,E672,F672,G672,H672,I672)="","",ws3_EU_ID_blank),IF(ISERROR(MATCH(B672,'2. Emissions Units &amp; Activities'!$B$7:$B$193,0)),ws3_matching_error_msg,G672*IF(E672="Y",1,1-F672)*INDEX('2. Emissions Units &amp; Activities'!$G$7:$G$193,MATCH(B672,'2. Emissions Units &amp; Activities'!$B$7:$B$193,0))))</f>
        <v>1178.0798254326121</v>
      </c>
      <c r="K672" s="85">
        <f t="shared" si="30"/>
        <v>1.6944698759105935E-2</v>
      </c>
      <c r="L672" s="85">
        <f>IF(B672="",IF(CONCATENATE(C672,D672,E672,F672,G672,H672,I672)="","",ws3_EU_ID_blank),IF(ISERROR(MATCH(B672,'2. Emissions Units &amp; Activities'!$B$7:$B$193,0)),ws3_matching_error_msg,G672*IF(E672="Y",1,1-F672)*INDEX('2. Emissions Units &amp; Activities'!$J$7:$J$193,MATCH(B672,'2. Emissions Units &amp; Activities'!$B$7:$B$193,0))))</f>
        <v>3.2276159600893481</v>
      </c>
      <c r="M672" s="509">
        <f t="shared" si="31"/>
        <v>1.6944698759105935E-2</v>
      </c>
      <c r="N672" s="284"/>
    </row>
    <row r="673" spans="1:14" ht="16.5" customHeight="1" x14ac:dyDescent="0.25">
      <c r="A673" s="86"/>
      <c r="B673" s="513" t="s">
        <v>149</v>
      </c>
      <c r="C673" s="339" t="s">
        <v>332</v>
      </c>
      <c r="D673" s="345" t="s">
        <v>333</v>
      </c>
      <c r="E673" s="346" t="s">
        <v>214</v>
      </c>
      <c r="F673" s="341">
        <v>0.9</v>
      </c>
      <c r="G673" s="346">
        <v>0.78900000000000003</v>
      </c>
      <c r="H673" s="346" t="s">
        <v>289</v>
      </c>
      <c r="I673" s="346" t="s">
        <v>290</v>
      </c>
      <c r="J673" s="85">
        <f>IF(B673="",IF(CONCATENATE(C673,D673,E673,F673,G673,H673,I673)="","",ws3_EU_ID_blank),IF(ISERROR(MATCH(B673,'2. Emissions Units &amp; Activities'!$B$7:$B$193,0)),ws3_matching_error_msg,G673*IF(E673="Y",1,1-F673)*INDEX('2. Emissions Units &amp; Activities'!$G$7:$G$193,MATCH(B673,'2. Emissions Units &amp; Activities'!$B$7:$B$193,0))))</f>
        <v>2566.4319411474094</v>
      </c>
      <c r="K673" s="85">
        <f t="shared" si="30"/>
        <v>3.6913811092997018E-2</v>
      </c>
      <c r="L673" s="85">
        <f>IF(B673="",IF(CONCATENATE(C673,D673,E673,F673,G673,H673,I673)="","",ws3_EU_ID_blank),IF(ISERROR(MATCH(B673,'2. Emissions Units &amp; Activities'!$B$7:$B$193,0)),ws3_matching_error_msg,G673*IF(E673="Y",1,1-F673)*INDEX('2. Emissions Units &amp; Activities'!$J$7:$J$193,MATCH(B673,'2. Emissions Units &amp; Activities'!$B$7:$B$193,0))))</f>
        <v>7.0313203867052314</v>
      </c>
      <c r="M673" s="509">
        <f t="shared" si="31"/>
        <v>3.6913811092997018E-2</v>
      </c>
      <c r="N673" s="284"/>
    </row>
    <row r="674" spans="1:14" ht="53.25" customHeight="1" x14ac:dyDescent="0.25">
      <c r="A674" s="86"/>
      <c r="B674" s="513" t="s">
        <v>151</v>
      </c>
      <c r="C674" s="339" t="s">
        <v>292</v>
      </c>
      <c r="D674" s="345" t="s">
        <v>293</v>
      </c>
      <c r="E674" s="346" t="s">
        <v>214</v>
      </c>
      <c r="F674" s="341">
        <f>1-(1-'Gas and Liquid Precursor PTE'!H56)*(1-'Gas and Liquid Precursor PTE'!K56)</f>
        <v>0.95517600000000003</v>
      </c>
      <c r="G674" s="348">
        <f>'Gas and Liquid Precursor PTE'!G56</f>
        <v>2.2726850704225351E-2</v>
      </c>
      <c r="H674" s="346" t="s">
        <v>289</v>
      </c>
      <c r="I674" s="346" t="s">
        <v>290</v>
      </c>
      <c r="J674" s="85">
        <f>IF(B674="",IF(CONCATENATE(C674,D674,E674,F674,G674,H674,I674)="","",ws3_EU_ID_blank),IF(ISERROR(MATCH(B674,'2. Emissions Units &amp; Activities'!$B$7:$B$193,0)),ws3_matching_error_msg,G674*IF(E674="Y",1,1-F674)*INDEX('2. Emissions Units &amp; Activities'!$G$7:$G$193,MATCH(B674,'2. Emissions Units &amp; Activities'!$B$7:$B$193,0))))</f>
        <v>33.136193453300535</v>
      </c>
      <c r="K674" s="85">
        <f t="shared" ref="K674:K675" si="34">CONVERT(J674,"lbm","g")/8760/3600</f>
        <v>4.7660846401766468E-4</v>
      </c>
      <c r="L674" s="85">
        <f>IF(B674="",IF(CONCATENATE(C674,D674,E674,F674,G674,H674,I674)="","",ws3_EU_ID_blank),IF(ISERROR(MATCH(B674,'2. Emissions Units &amp; Activities'!$B$7:$B$193,0)),ws3_matching_error_msg,G674*IF(E674="Y",1,1-F674)*INDEX('2. Emissions Units &amp; Activities'!$J$7:$J$193,MATCH(B674,'2. Emissions Units &amp; Activities'!$B$7:$B$193,0))))</f>
        <v>9.0784091652878179E-2</v>
      </c>
      <c r="M674" s="509">
        <f t="shared" ref="M674:M675" si="35">CONVERT(L674,"lbm","g")/24/3600</f>
        <v>4.7660846401766468E-4</v>
      </c>
      <c r="N674" s="284"/>
    </row>
    <row r="675" spans="1:14" ht="53.25" customHeight="1" x14ac:dyDescent="0.25">
      <c r="A675" s="86"/>
      <c r="B675" s="513" t="s">
        <v>152</v>
      </c>
      <c r="C675" s="339" t="s">
        <v>292</v>
      </c>
      <c r="D675" s="345" t="s">
        <v>293</v>
      </c>
      <c r="E675" s="346" t="s">
        <v>214</v>
      </c>
      <c r="F675" s="341">
        <f>1-(1-'Gas and Liquid Precursor PTE'!H57)*(1-'Gas and Liquid Precursor PTE'!K57)</f>
        <v>0.95517600000000003</v>
      </c>
      <c r="G675" s="348">
        <f>'Gas and Liquid Precursor PTE'!G57</f>
        <v>1.1869568181818183E-2</v>
      </c>
      <c r="H675" s="346" t="s">
        <v>289</v>
      </c>
      <c r="I675" s="346" t="s">
        <v>290</v>
      </c>
      <c r="J675" s="85">
        <f>IF(B675="",IF(CONCATENATE(C675,D675,E675,F675,G675,H675,I675)="","",ws3_EU_ID_blank),IF(ISERROR(MATCH(B675,'2. Emissions Units &amp; Activities'!$B$7:$B$193,0)),ws3_matching_error_msg,G675*IF(E675="Y",1,1-F675)*INDEX('2. Emissions Units &amp; Activities'!$G$7:$G$193,MATCH(B675,'2. Emissions Units &amp; Activities'!$B$7:$B$193,0))))</f>
        <v>17.306062885639662</v>
      </c>
      <c r="K675" s="85">
        <f t="shared" si="34"/>
        <v>2.4891863519997253E-4</v>
      </c>
      <c r="L675" s="85">
        <f>IF(B675="",IF(CONCATENATE(C675,D675,E675,F675,G675,H675,I675)="","",ws3_EU_ID_blank),IF(ISERROR(MATCH(B675,'2. Emissions Units &amp; Activities'!$B$7:$B$193,0)),ws3_matching_error_msg,G675*IF(E675="Y",1,1-F675)*INDEX('2. Emissions Units &amp; Activities'!$J$7:$J$193,MATCH(B675,'2. Emissions Units &amp; Activities'!$B$7:$B$193,0))))</f>
        <v>4.7413870919560723E-2</v>
      </c>
      <c r="M675" s="509">
        <f t="shared" si="35"/>
        <v>2.4891863519997258E-4</v>
      </c>
      <c r="N675" s="284"/>
    </row>
    <row r="676" spans="1:14" ht="15.75" x14ac:dyDescent="0.25">
      <c r="A676" s="86"/>
      <c r="B676" s="513" t="s">
        <v>153</v>
      </c>
      <c r="C676" s="339" t="s">
        <v>292</v>
      </c>
      <c r="D676" s="345" t="s">
        <v>293</v>
      </c>
      <c r="E676" s="346" t="s">
        <v>214</v>
      </c>
      <c r="F676" s="341">
        <v>0.6</v>
      </c>
      <c r="G676" s="346">
        <f>'Gas and Liquid Precursor PTE'!G71</f>
        <v>0.52200000000000002</v>
      </c>
      <c r="H676" s="346" t="s">
        <v>289</v>
      </c>
      <c r="I676" s="346" t="s">
        <v>290</v>
      </c>
      <c r="J676" s="85">
        <f>IF(B676="",IF(CONCATENATE(C676,D676,E676,F676,G676,H676,I676)="","",ws3_EU_ID_blank),IF(ISERROR(MATCH(B676,'2. Emissions Units &amp; Activities'!$B$7:$B$193,0)),ws3_matching_error_msg,G676*IF(E676="Y",1,1-F676)*INDEX('2. Emissions Units &amp; Activities'!$G$7:$G$193,MATCH(B676,'2. Emissions Units &amp; Activities'!$B$7:$B$193,0))))</f>
        <v>124.02720000000001</v>
      </c>
      <c r="K676" s="85">
        <f t="shared" si="24"/>
        <v>1.7839228688630139E-3</v>
      </c>
      <c r="L676" s="85">
        <f>IF(B676="",IF(CONCATENATE(C676,D676,E676,F676,G676,H676,I676)="","",ws3_EU_ID_blank),IF(ISERROR(MATCH(B676,'2. Emissions Units &amp; Activities'!$B$7:$B$193,0)),ws3_matching_error_msg,G676*IF(E676="Y",1,1-F676)*INDEX('2. Emissions Units &amp; Activities'!$J$7:$J$193,MATCH(B676,'2. Emissions Units &amp; Activities'!$B$7:$B$193,0))))</f>
        <v>0.33980054794520548</v>
      </c>
      <c r="M676" s="509">
        <f t="shared" si="25"/>
        <v>1.7839228688630137E-3</v>
      </c>
      <c r="N676" s="284"/>
    </row>
    <row r="677" spans="1:14" ht="15.75" x14ac:dyDescent="0.25">
      <c r="A677" s="86"/>
      <c r="B677" s="513" t="s">
        <v>154</v>
      </c>
      <c r="C677" s="339" t="s">
        <v>292</v>
      </c>
      <c r="D677" s="345" t="s">
        <v>293</v>
      </c>
      <c r="E677" s="346" t="s">
        <v>214</v>
      </c>
      <c r="F677" s="341">
        <v>0.6</v>
      </c>
      <c r="G677" s="346">
        <f>'Gas and Liquid Precursor PTE'!G77</f>
        <v>0.68600000000000005</v>
      </c>
      <c r="H677" s="346" t="s">
        <v>289</v>
      </c>
      <c r="I677" s="346" t="s">
        <v>290</v>
      </c>
      <c r="J677" s="85">
        <f>IF(B677="",IF(CONCATENATE(C677,D677,E677,F677,G677,H677,I677)="","",ws3_EU_ID_blank),IF(ISERROR(MATCH(B677,'2. Emissions Units &amp; Activities'!$B$7:$B$193,0)),ws3_matching_error_msg,G677*IF(E677="Y",1,1-F677)*INDEX('2. Emissions Units &amp; Activities'!$G$7:$G$193,MATCH(B677,'2. Emissions Units &amp; Activities'!$B$7:$B$193,0))))</f>
        <v>751.4770671822788</v>
      </c>
      <c r="K677" s="85">
        <f t="shared" si="24"/>
        <v>1.0808734903090407E-2</v>
      </c>
      <c r="L677" s="85">
        <f>IF(B677="",IF(CONCATENATE(C677,D677,E677,F677,G677,H677,I677)="","",ws3_EU_ID_blank),IF(ISERROR(MATCH(B677,'2. Emissions Units &amp; Activities'!$B$7:$B$193,0)),ws3_matching_error_msg,G677*IF(E677="Y",1,1-F677)*INDEX('2. Emissions Units &amp; Activities'!$J$7:$J$193,MATCH(B677,'2. Emissions Units &amp; Activities'!$B$7:$B$193,0))))</f>
        <v>2.0588412799514488</v>
      </c>
      <c r="M677" s="509">
        <f t="shared" si="25"/>
        <v>1.0808734903090408E-2</v>
      </c>
      <c r="N677" s="284"/>
    </row>
    <row r="678" spans="1:14" ht="15.75" x14ac:dyDescent="0.25">
      <c r="A678" s="86"/>
      <c r="B678" s="513" t="s">
        <v>155</v>
      </c>
      <c r="C678" s="339" t="s">
        <v>292</v>
      </c>
      <c r="D678" s="345" t="s">
        <v>293</v>
      </c>
      <c r="E678" s="346" t="s">
        <v>214</v>
      </c>
      <c r="F678" s="341">
        <f>1-(1-'Gas and Liquid Precursor PTE'!H82)*(1-'Gas and Liquid Precursor PTE'!K82)</f>
        <v>0.96</v>
      </c>
      <c r="G678" s="346">
        <f>'Gas and Liquid Precursor PTE'!G82</f>
        <v>0.32900000000000001</v>
      </c>
      <c r="H678" s="346" t="s">
        <v>289</v>
      </c>
      <c r="I678" s="346" t="s">
        <v>290</v>
      </c>
      <c r="J678" s="85">
        <f>IF(B678="",IF(CONCATENATE(C678,D678,E678,F678,G678,H678,I678)="","",ws3_EU_ID_blank),IF(ISERROR(MATCH(B678,'2. Emissions Units &amp; Activities'!$B$7:$B$193,0)),ws3_matching_error_msg,G678*IF(E678="Y",1,1-F678)*INDEX('2. Emissions Units &amp; Activities'!$G$7:$G$193,MATCH(B678,'2. Emissions Units &amp; Activities'!$B$7:$B$193,0))))</f>
        <v>391.0848839231378</v>
      </c>
      <c r="K678" s="85">
        <f t="shared" si="24"/>
        <v>5.6250989145697292E-3</v>
      </c>
      <c r="L678" s="85">
        <f>IF(B678="",IF(CONCATENATE(C678,D678,E678,F678,G678,H678,I678)="","",ws3_EU_ID_blank),IF(ISERROR(MATCH(B678,'2. Emissions Units &amp; Activities'!$B$7:$B$193,0)),ws3_matching_error_msg,G678*IF(E678="Y",1,1-F678)*INDEX('2. Emissions Units &amp; Activities'!$J$7:$J$193,MATCH(B678,'2. Emissions Units &amp; Activities'!$B$7:$B$193,0))))</f>
        <v>1.071465435405857</v>
      </c>
      <c r="M678" s="509">
        <f t="shared" si="25"/>
        <v>5.6250989145697292E-3</v>
      </c>
      <c r="N678" s="284"/>
    </row>
    <row r="679" spans="1:14" ht="55.5" customHeight="1" x14ac:dyDescent="0.25">
      <c r="A679" s="86"/>
      <c r="B679" s="513" t="s">
        <v>156</v>
      </c>
      <c r="C679" s="339" t="s">
        <v>292</v>
      </c>
      <c r="D679" s="345" t="s">
        <v>293</v>
      </c>
      <c r="E679" s="346" t="s">
        <v>214</v>
      </c>
      <c r="F679" s="341">
        <f>1-(1-'Gas and Liquid Precursor PTE'!H83)*(1-'Gas and Liquid Precursor PTE'!K83)</f>
        <v>0.96</v>
      </c>
      <c r="G679" s="348">
        <f>'Gas and Liquid Precursor PTE'!G83</f>
        <v>0.33374832464631426</v>
      </c>
      <c r="H679" s="346" t="s">
        <v>289</v>
      </c>
      <c r="I679" s="346" t="s">
        <v>290</v>
      </c>
      <c r="J679" s="85">
        <f>IF(B679="",IF(CONCATENATE(C679,D679,E679,F679,G679,H679,I679)="","",ws3_EU_ID_blank),IF(ISERROR(MATCH(B679,'2. Emissions Units &amp; Activities'!$B$7:$B$193,0)),ws3_matching_error_msg,G679*IF(E679="Y",1,1-F679)*INDEX('2. Emissions Units &amp; Activities'!$G$7:$G$193,MATCH(B679,'2. Emissions Units &amp; Activities'!$B$7:$B$193,0))))</f>
        <v>396.72925472293468</v>
      </c>
      <c r="K679" s="85">
        <f t="shared" si="24"/>
        <v>5.7062837042779575E-3</v>
      </c>
      <c r="L679" s="85">
        <f>IF(B679="",IF(CONCATENATE(C679,D679,E679,F679,G679,H679,I679)="","",ws3_EU_ID_blank),IF(ISERROR(MATCH(B679,'2. Emissions Units &amp; Activities'!$B$7:$B$193,0)),ws3_matching_error_msg,G679*IF(E679="Y",1,1-F679)*INDEX('2. Emissions Units &amp; Activities'!$J$7:$J$193,MATCH(B679,'2. Emissions Units &amp; Activities'!$B$7:$B$193,0))))</f>
        <v>1.0869294649943417</v>
      </c>
      <c r="M679" s="509">
        <f t="shared" si="25"/>
        <v>5.7062837042779575E-3</v>
      </c>
      <c r="N679" s="284"/>
    </row>
    <row r="680" spans="1:14" ht="55.5" customHeight="1" x14ac:dyDescent="0.25">
      <c r="A680" s="86"/>
      <c r="B680" s="513" t="s">
        <v>157</v>
      </c>
      <c r="C680" s="339" t="s">
        <v>292</v>
      </c>
      <c r="D680" s="345" t="s">
        <v>293</v>
      </c>
      <c r="E680" s="346" t="s">
        <v>214</v>
      </c>
      <c r="F680" s="341">
        <f>1-(1-'Gas and Liquid Precursor PTE'!H84)*(1-'Gas and Liquid Precursor PTE'!K84)</f>
        <v>0.96</v>
      </c>
      <c r="G680" s="348">
        <f>'Gas and Liquid Precursor PTE'!G84</f>
        <v>0.15826090909090912</v>
      </c>
      <c r="H680" s="346" t="s">
        <v>289</v>
      </c>
      <c r="I680" s="346" t="s">
        <v>290</v>
      </c>
      <c r="J680" s="85">
        <f>IF(B680="",IF(CONCATENATE(C680,D680,E680,F680,G680,H680,I680)="","",ws3_EU_ID_blank),IF(ISERROR(MATCH(B680,'2. Emissions Units &amp; Activities'!$B$7:$B$193,0)),ws3_matching_error_msg,G680*IF(E680="Y",1,1-F680)*INDEX('2. Emissions Units &amp; Activities'!$G$7:$G$193,MATCH(B680,'2. Emissions Units &amp; Activities'!$B$7:$B$193,0))))</f>
        <v>188.1259855969254</v>
      </c>
      <c r="K680" s="85">
        <f t="shared" ref="K680" si="36">CONVERT(J680,"lbm","g")/8760/3600</f>
        <v>2.7058761943650196E-3</v>
      </c>
      <c r="L680" s="85">
        <f>IF(B680="",IF(CONCATENATE(C680,D680,E680,F680,G680,H680,I680)="","",ws3_EU_ID_blank),IF(ISERROR(MATCH(B680,'2. Emissions Units &amp; Activities'!$B$7:$B$193,0)),ws3_matching_error_msg,G680*IF(E680="Y",1,1-F680)*INDEX('2. Emissions Units &amp; Activities'!$J$7:$J$193,MATCH(B680,'2. Emissions Units &amp; Activities'!$B$7:$B$193,0))))</f>
        <v>0.51541365916965864</v>
      </c>
      <c r="M680" s="509">
        <f t="shared" ref="M680" si="37">CONVERT(L680,"lbm","g")/24/3600</f>
        <v>2.7058761943650196E-3</v>
      </c>
      <c r="N680" s="284"/>
    </row>
    <row r="681" spans="1:14" ht="15.75" x14ac:dyDescent="0.25">
      <c r="A681" s="86"/>
      <c r="B681" s="513" t="s">
        <v>158</v>
      </c>
      <c r="C681" s="339" t="s">
        <v>292</v>
      </c>
      <c r="D681" s="345" t="s">
        <v>293</v>
      </c>
      <c r="E681" s="346" t="s">
        <v>214</v>
      </c>
      <c r="F681" s="341">
        <f>1-((1-'Gas and Liquid Precursor PTE'!H104)*(1-'Gas and Liquid Precursor PTE'!K104))</f>
        <v>0.73319999999999996</v>
      </c>
      <c r="G681" s="346">
        <f>'Gas and Liquid Precursor PTE'!G104</f>
        <v>0.155</v>
      </c>
      <c r="H681" s="346" t="s">
        <v>289</v>
      </c>
      <c r="I681" s="346" t="s">
        <v>290</v>
      </c>
      <c r="J681" s="85">
        <f>IF(B681="",IF(CONCATENATE(C681,D681,E681,F681,G681,H681,I681)="","",ws3_EU_ID_blank),IF(ISERROR(MATCH(B681,'2. Emissions Units &amp; Activities'!$B$7:$B$193,0)),ws3_matching_error_msg,G681*IF(E681="Y",1,1-F681)*INDEX('2. Emissions Units &amp; Activities'!$G$7:$G$193,MATCH(B681,'2. Emissions Units &amp; Activities'!$B$7:$B$193,0))))</f>
        <v>128.98842880958841</v>
      </c>
      <c r="K681" s="85">
        <f t="shared" si="24"/>
        <v>1.8552818089268611E-3</v>
      </c>
      <c r="L681" s="85">
        <f>IF(B681="",IF(CONCATENATE(C681,D681,E681,F681,G681,H681,I681)="","",ws3_EU_ID_blank),IF(ISERROR(MATCH(B681,'2. Emissions Units &amp; Activities'!$B$7:$B$193,0)),ws3_matching_error_msg,G681*IF(E681="Y",1,1-F681)*INDEX('2. Emissions Units &amp; Activities'!$J$7:$J$193,MATCH(B681,'2. Emissions Units &amp; Activities'!$B$7:$B$193,0))))</f>
        <v>0.35339295564270795</v>
      </c>
      <c r="M681" s="509">
        <f t="shared" si="25"/>
        <v>1.8552818089268607E-3</v>
      </c>
      <c r="N681" s="284"/>
    </row>
    <row r="682" spans="1:14" ht="15.75" x14ac:dyDescent="0.25">
      <c r="A682" s="86"/>
      <c r="B682" s="513" t="s">
        <v>159</v>
      </c>
      <c r="C682" s="339" t="s">
        <v>292</v>
      </c>
      <c r="D682" s="345" t="s">
        <v>293</v>
      </c>
      <c r="E682" s="346" t="s">
        <v>214</v>
      </c>
      <c r="F682" s="341">
        <f>1-((1-'Gas and Liquid Precursor PTE'!H112)*(1-'Gas and Liquid Precursor PTE'!K112))</f>
        <v>0.96</v>
      </c>
      <c r="G682" s="346">
        <f>'Gas and Liquid Precursor PTE'!G112</f>
        <v>7.2999999999999995E-2</v>
      </c>
      <c r="H682" s="346" t="s">
        <v>289</v>
      </c>
      <c r="I682" s="346" t="s">
        <v>290</v>
      </c>
      <c r="J682" s="85">
        <f>IF(B682="",IF(CONCATENATE(C682,D682,E682,F682,G682,H682,I682)="","",ws3_EU_ID_blank),IF(ISERROR(MATCH(B682,'2. Emissions Units &amp; Activities'!$B$7:$B$193,0)),ws3_matching_error_msg,G682*IF(E682="Y",1,1-F682)*INDEX('2. Emissions Units &amp; Activities'!$G$7:$G$193,MATCH(B682,'2. Emissions Units &amp; Activities'!$B$7:$B$193,0))))</f>
        <v>0</v>
      </c>
      <c r="K682" s="85">
        <f t="shared" si="24"/>
        <v>0</v>
      </c>
      <c r="L682" s="85">
        <f>IF(B682="",IF(CONCATENATE(C682,D682,E682,F682,G682,H682,I682)="","",ws3_EU_ID_blank),IF(ISERROR(MATCH(B682,'2. Emissions Units &amp; Activities'!$B$7:$B$193,0)),ws3_matching_error_msg,G682*IF(E682="Y",1,1-F682)*INDEX('2. Emissions Units &amp; Activities'!$J$7:$J$193,MATCH(B682,'2. Emissions Units &amp; Activities'!$B$7:$B$193,0))))</f>
        <v>0</v>
      </c>
      <c r="M682" s="509">
        <f t="shared" si="25"/>
        <v>0</v>
      </c>
      <c r="N682" s="284"/>
    </row>
    <row r="683" spans="1:14" ht="45.75" x14ac:dyDescent="0.25">
      <c r="A683" s="86"/>
      <c r="B683" s="513" t="s">
        <v>160</v>
      </c>
      <c r="C683" s="339" t="s">
        <v>292</v>
      </c>
      <c r="D683" s="345" t="s">
        <v>293</v>
      </c>
      <c r="E683" s="346" t="s">
        <v>214</v>
      </c>
      <c r="F683" s="341">
        <f>1-((1-'Gas and Liquid Precursor PTE'!H113)*(1-'Gas and Liquid Precursor PTE'!K113))</f>
        <v>0.96</v>
      </c>
      <c r="G683" s="348">
        <f>'Gas and Liquid Precursor PTE'!G113</f>
        <v>0.72800018181818194</v>
      </c>
      <c r="H683" s="346" t="s">
        <v>289</v>
      </c>
      <c r="I683" s="346" t="s">
        <v>290</v>
      </c>
      <c r="J683" s="85">
        <f>IF(B683="",IF(CONCATENATE(C683,D683,E683,F683,G683,H683,I683)="","",ws3_EU_ID_blank),IF(ISERROR(MATCH(B683,'2. Emissions Units &amp; Activities'!$B$7:$B$193,0)),ws3_matching_error_msg,G683*IF(E683="Y",1,1-F683)*INDEX('2. Emissions Units &amp; Activities'!$G$7:$G$193,MATCH(B683,'2. Emissions Units &amp; Activities'!$B$7:$B$193,0))))</f>
        <v>0</v>
      </c>
      <c r="K683" s="85">
        <f t="shared" si="24"/>
        <v>0</v>
      </c>
      <c r="L683" s="85">
        <f>IF(B683="",IF(CONCATENATE(C683,D683,E683,F683,G683,H683,I683)="","",ws3_EU_ID_blank),IF(ISERROR(MATCH(B683,'2. Emissions Units &amp; Activities'!$B$7:$B$193,0)),ws3_matching_error_msg,G683*IF(E683="Y",1,1-F683)*INDEX('2. Emissions Units &amp; Activities'!$J$7:$J$193,MATCH(B683,'2. Emissions Units &amp; Activities'!$B$7:$B$193,0))))</f>
        <v>0</v>
      </c>
      <c r="M683" s="509">
        <f t="shared" si="25"/>
        <v>0</v>
      </c>
      <c r="N683" s="284"/>
    </row>
    <row r="684" spans="1:14" ht="15.75" x14ac:dyDescent="0.25">
      <c r="A684" s="86"/>
      <c r="B684" s="513" t="s">
        <v>161</v>
      </c>
      <c r="C684" s="339" t="s">
        <v>292</v>
      </c>
      <c r="D684" s="345" t="s">
        <v>293</v>
      </c>
      <c r="E684" s="346" t="s">
        <v>214</v>
      </c>
      <c r="F684" s="341">
        <v>0.6</v>
      </c>
      <c r="G684" s="346">
        <f>'Gas and Liquid Precursor PTE'!G119</f>
        <v>0.13200000000000001</v>
      </c>
      <c r="H684" s="346" t="s">
        <v>289</v>
      </c>
      <c r="I684" s="346" t="s">
        <v>290</v>
      </c>
      <c r="J684" s="85">
        <f>IF(B684="",IF(CONCATENATE(C684,D684,E684,F684,G684,H684,I684)="","",ws3_EU_ID_blank),IF(ISERROR(MATCH(B684,'2. Emissions Units &amp; Activities'!$B$7:$B$193,0)),ws3_matching_error_msg,G684*IF(E684="Y",1,1-F684)*INDEX('2. Emissions Units &amp; Activities'!$G$7:$G$193,MATCH(B684,'2. Emissions Units &amp; Activities'!$B$7:$B$193,0))))</f>
        <v>2552.1168060057939</v>
      </c>
      <c r="K684" s="85">
        <f t="shared" si="24"/>
        <v>3.670791192773333E-2</v>
      </c>
      <c r="L684" s="85">
        <f>IF(B684="",IF(CONCATENATE(C684,D684,E684,F684,G684,H684,I684)="","",ws3_EU_ID_blank),IF(ISERROR(MATCH(B684,'2. Emissions Units &amp; Activities'!$B$7:$B$193,0)),ws3_matching_error_msg,G684*IF(E684="Y",1,1-F684)*INDEX('2. Emissions Units &amp; Activities'!$J$7:$J$193,MATCH(B684,'2. Emissions Units &amp; Activities'!$B$7:$B$193,0))))</f>
        <v>6.9921008383720382</v>
      </c>
      <c r="M684" s="509">
        <f t="shared" si="25"/>
        <v>3.670791192773333E-2</v>
      </c>
      <c r="N684" s="284"/>
    </row>
    <row r="685" spans="1:14" ht="15.75" x14ac:dyDescent="0.25">
      <c r="A685" s="86"/>
      <c r="B685" s="513" t="s">
        <v>163</v>
      </c>
      <c r="C685" s="339" t="s">
        <v>292</v>
      </c>
      <c r="D685" s="345" t="s">
        <v>293</v>
      </c>
      <c r="E685" s="346" t="s">
        <v>214</v>
      </c>
      <c r="F685" s="341">
        <f>1-(1-'Gas and Liquid Precursor PTE'!H135)*(1-'Gas and Liquid Precursor PTE'!K135)</f>
        <v>0.63239999999999996</v>
      </c>
      <c r="G685" s="346">
        <f>'Gas and Liquid Precursor PTE'!G135</f>
        <v>0.312</v>
      </c>
      <c r="H685" s="346" t="s">
        <v>289</v>
      </c>
      <c r="I685" s="346" t="s">
        <v>290</v>
      </c>
      <c r="J685" s="85">
        <f>IF(B685="",IF(CONCATENATE(C685,D685,E685,F685,G685,H685,I685)="","",ws3_EU_ID_blank),IF(ISERROR(MATCH(B685,'2. Emissions Units &amp; Activities'!$B$7:$B$193,0)),ws3_matching_error_msg,G685*IF(E685="Y",1,1-F685)*INDEX('2. Emissions Units &amp; Activities'!$G$7:$G$193,MATCH(B685,'2. Emissions Units &amp; Activities'!$B$7:$B$193,0))))</f>
        <v>170.46610883910574</v>
      </c>
      <c r="K685" s="85">
        <f t="shared" si="24"/>
        <v>2.451868541127852E-3</v>
      </c>
      <c r="L685" s="85">
        <f>IF(B685="",IF(CONCATENATE(C685,D685,E685,F685,G685,H685,I685)="","",ws3_EU_ID_blank),IF(ISERROR(MATCH(B685,'2. Emissions Units &amp; Activities'!$B$7:$B$193,0)),ws3_matching_error_msg,G685*IF(E685="Y",1,1-F685)*INDEX('2. Emissions Units &amp; Activities'!$J$7:$J$193,MATCH(B685,'2. Emissions Units &amp; Activities'!$B$7:$B$193,0))))</f>
        <v>0.46703043517563214</v>
      </c>
      <c r="M685" s="509">
        <f t="shared" si="25"/>
        <v>2.4518685411278516E-3</v>
      </c>
      <c r="N685" s="284"/>
    </row>
    <row r="686" spans="1:14" ht="15.75" x14ac:dyDescent="0.25">
      <c r="A686" s="86"/>
      <c r="B686" s="513" t="s">
        <v>164</v>
      </c>
      <c r="C686" s="339" t="s">
        <v>292</v>
      </c>
      <c r="D686" s="345" t="s">
        <v>293</v>
      </c>
      <c r="E686" s="346" t="s">
        <v>214</v>
      </c>
      <c r="F686" s="341">
        <f>1-(1-'Gas and Liquid Precursor PTE'!H139)*(1-'Gas and Liquid Precursor PTE'!K139)</f>
        <v>0.96</v>
      </c>
      <c r="G686" s="346">
        <f>'Gas and Liquid Precursor PTE'!G139</f>
        <v>0.40300000000000002</v>
      </c>
      <c r="H686" s="346" t="s">
        <v>289</v>
      </c>
      <c r="I686" s="346" t="s">
        <v>290</v>
      </c>
      <c r="J686" s="85">
        <f>IF(B686="",IF(CONCATENATE(C686,D686,E686,F686,G686,H686,I686)="","",ws3_EU_ID_blank),IF(ISERROR(MATCH(B686,'2. Emissions Units &amp; Activities'!$B$7:$B$193,0)),ws3_matching_error_msg,G686*IF(E686="Y",1,1-F686)*INDEX('2. Emissions Units &amp; Activities'!$G$7:$G$193,MATCH(B686,'2. Emissions Units &amp; Activities'!$B$7:$B$193,0))))</f>
        <v>104.8456071748801</v>
      </c>
      <c r="K686" s="85">
        <f t="shared" si="24"/>
        <v>1.5080278869400961E-3</v>
      </c>
      <c r="L686" s="85">
        <f>IF(B686="",IF(CONCATENATE(C686,D686,E686,F686,G686,H686,I686)="","",ws3_EU_ID_blank),IF(ISERROR(MATCH(B686,'2. Emissions Units &amp; Activities'!$B$7:$B$193,0)),ws3_matching_error_msg,G686*IF(E686="Y",1,1-F686)*INDEX('2. Emissions Units &amp; Activities'!$J$7:$J$193,MATCH(B686,'2. Emissions Units &amp; Activities'!$B$7:$B$193,0))))</f>
        <v>0.28724823883528788</v>
      </c>
      <c r="M686" s="509">
        <f t="shared" si="25"/>
        <v>1.5080278869400959E-3</v>
      </c>
      <c r="N686" s="284"/>
    </row>
    <row r="687" spans="1:14" ht="15.75" x14ac:dyDescent="0.25">
      <c r="A687" s="86"/>
      <c r="B687" s="513" t="s">
        <v>165</v>
      </c>
      <c r="C687" s="339" t="s">
        <v>259</v>
      </c>
      <c r="D687" s="345" t="s">
        <v>260</v>
      </c>
      <c r="E687" s="346" t="s">
        <v>214</v>
      </c>
      <c r="F687" s="341">
        <v>0.6</v>
      </c>
      <c r="G687" s="346">
        <f>'Gas and Liquid Precursor PTE'!G43</f>
        <v>1</v>
      </c>
      <c r="H687" s="346" t="s">
        <v>289</v>
      </c>
      <c r="I687" s="346" t="s">
        <v>296</v>
      </c>
      <c r="J687" s="85">
        <f>IF(B687="",IF(CONCATENATE(C687,D687,E687,F687,G687,H687,I687)="","",ws3_EU_ID_blank),IF(ISERROR(MATCH(B687,'2. Emissions Units &amp; Activities'!$B$7:$B$193,0)),ws3_matching_error_msg,G687*IF(E687="Y",1,1-F687)*INDEX('2. Emissions Units &amp; Activities'!$G$7:$G$193,MATCH(B687,'2. Emissions Units &amp; Activities'!$B$7:$B$193,0))))</f>
        <v>428.36635984634341</v>
      </c>
      <c r="K687" s="85">
        <f t="shared" si="24"/>
        <v>6.1613303015910633E-3</v>
      </c>
      <c r="L687" s="85">
        <f>IF(B687="",IF(CONCATENATE(C687,D687,E687,F687,G687,H687,I687)="","",ws3_EU_ID_blank),IF(ISERROR(MATCH(B687,'2. Emissions Units &amp; Activities'!$B$7:$B$193,0)),ws3_matching_error_msg,G687*IF(E687="Y",1,1-F687)*INDEX('2. Emissions Units &amp; Activities'!$J$7:$J$193,MATCH(B687,'2. Emissions Units &amp; Activities'!$B$7:$B$193,0))))</f>
        <v>1.1736064653324476</v>
      </c>
      <c r="M687" s="509">
        <f t="shared" si="25"/>
        <v>6.1613303015910625E-3</v>
      </c>
      <c r="N687" s="284"/>
    </row>
    <row r="688" spans="1:14" ht="15.75" x14ac:dyDescent="0.25">
      <c r="A688" s="86"/>
      <c r="B688" s="513" t="s">
        <v>167</v>
      </c>
      <c r="C688" s="339" t="s">
        <v>334</v>
      </c>
      <c r="D688" s="345" t="s">
        <v>335</v>
      </c>
      <c r="E688" s="346" t="s">
        <v>214</v>
      </c>
      <c r="F688" s="341">
        <v>0.5</v>
      </c>
      <c r="G688" s="351">
        <f>'Gas and Liquid Precursor PTE'!G42</f>
        <v>1</v>
      </c>
      <c r="H688" s="346" t="s">
        <v>289</v>
      </c>
      <c r="I688" s="346" t="s">
        <v>296</v>
      </c>
      <c r="J688" s="85">
        <f>IF(B688="",IF(CONCATENATE(C688,D688,E688,F688,G688,H688,I688)="","",ws3_EU_ID_blank),IF(ISERROR(MATCH(B688,'2. Emissions Units &amp; Activities'!$B$7:$B$193,0)),ws3_matching_error_msg,G688*IF(E688="Y",1,1-F688)*INDEX('2. Emissions Units &amp; Activities'!$G$7:$G$193,MATCH(B688,'2. Emissions Units &amp; Activities'!$B$7:$B$193,0))))</f>
        <v>2188.1633382193399</v>
      </c>
      <c r="K688" s="85">
        <f t="shared" si="24"/>
        <v>3.1473052845320329E-2</v>
      </c>
      <c r="L688" s="85">
        <f>IF(B688="",IF(CONCATENATE(C688,D688,E688,F688,G688,H688,I688)="","",ws3_EU_ID_blank),IF(ISERROR(MATCH(B688,'2. Emissions Units &amp; Activities'!$B$7:$B$193,0)),ws3_matching_error_msg,G688*IF(E688="Y",1,1-F688)*INDEX('2. Emissions Units &amp; Activities'!$J$7:$J$193,MATCH(B688,'2. Emissions Units &amp; Activities'!$B$7:$B$193,0))))</f>
        <v>5.9949680499160003</v>
      </c>
      <c r="M688" s="509">
        <f t="shared" si="25"/>
        <v>3.1473052845320336E-2</v>
      </c>
      <c r="N688" s="284"/>
    </row>
    <row r="689" spans="1:14" ht="30.75" x14ac:dyDescent="0.25">
      <c r="A689" s="86"/>
      <c r="B689" s="513" t="s">
        <v>168</v>
      </c>
      <c r="C689" s="339" t="s">
        <v>336</v>
      </c>
      <c r="D689" s="345" t="s">
        <v>337</v>
      </c>
      <c r="E689" s="346" t="s">
        <v>214</v>
      </c>
      <c r="F689" s="341">
        <v>0.9</v>
      </c>
      <c r="G689" s="346">
        <f>'Photoresist and Organics PTE'!H30</f>
        <v>0.2</v>
      </c>
      <c r="H689" s="346" t="s">
        <v>289</v>
      </c>
      <c r="I689" s="346" t="s">
        <v>290</v>
      </c>
      <c r="J689" s="85">
        <f>IF(B689="",IF(CONCATENATE(C689,D689,E689,F689,G689,H689,I689)="","",ws3_EU_ID_blank),IF(ISERROR(MATCH(B689,'2. Emissions Units &amp; Activities'!$B$7:$B$193,0)),ws3_matching_error_msg,G689*IF(E689="Y",1,1-F689)*INDEX('2. Emissions Units &amp; Activities'!$G$7:$G$193,MATCH(B689,'2. Emissions Units &amp; Activities'!$B$7:$B$193,0))))</f>
        <v>8711.5331157116107</v>
      </c>
      <c r="K689" s="85">
        <f t="shared" si="24"/>
        <v>0.12530076586406372</v>
      </c>
      <c r="L689" s="85">
        <f>IF(B689="",IF(CONCATENATE(C689,D689,E689,F689,G689,H689,I689)="","",ws3_EU_ID_blank),IF(ISERROR(MATCH(B689,'2. Emissions Units &amp; Activities'!$B$7:$B$193,0)),ws3_matching_error_msg,G689*IF(E689="Y",1,1-F689)*INDEX('2. Emissions Units &amp; Activities'!$J$7:$J$193,MATCH(B689,'2. Emissions Units &amp; Activities'!$B$7:$B$193,0))))</f>
        <v>23.867214015648251</v>
      </c>
      <c r="M689" s="509">
        <f t="shared" si="25"/>
        <v>0.12530076586406375</v>
      </c>
      <c r="N689" s="284"/>
    </row>
    <row r="690" spans="1:14" ht="30.75" x14ac:dyDescent="0.25">
      <c r="A690" s="86"/>
      <c r="B690" s="513" t="s">
        <v>169</v>
      </c>
      <c r="C690" s="339" t="s">
        <v>338</v>
      </c>
      <c r="D690" s="345" t="s">
        <v>339</v>
      </c>
      <c r="E690" s="346" t="s">
        <v>214</v>
      </c>
      <c r="F690" s="341">
        <v>0.9</v>
      </c>
      <c r="G690" s="346">
        <f>'Photoresist and Organics PTE'!H144</f>
        <v>0.2</v>
      </c>
      <c r="H690" s="346" t="s">
        <v>289</v>
      </c>
      <c r="I690" s="346" t="s">
        <v>290</v>
      </c>
      <c r="J690" s="85">
        <f>IF(B690="",IF(CONCATENATE(C690,D690,E690,F690,G690,H690,I690)="","",ws3_EU_ID_blank),IF(ISERROR(MATCH(B690,'2. Emissions Units &amp; Activities'!$B$7:$B$193,0)),ws3_matching_error_msg,G690*IF(E690="Y",1,1-F690)*INDEX('2. Emissions Units &amp; Activities'!$G$7:$G$193,MATCH(B690,'2. Emissions Units &amp; Activities'!$B$7:$B$193,0))))</f>
        <v>4126.3304958501476</v>
      </c>
      <c r="K690" s="85">
        <f t="shared" si="24"/>
        <v>5.935033070192617E-2</v>
      </c>
      <c r="L690" s="85">
        <f>IF(B690="",IF(CONCATENATE(C690,D690,E690,F690,G690,H690,I690)="","",ws3_EU_ID_blank),IF(ISERROR(MATCH(B690,'2. Emissions Units &amp; Activities'!$B$7:$B$193,0)),ws3_matching_error_msg,G690*IF(E690="Y",1,1-F690)*INDEX('2. Emissions Units &amp; Activities'!$J$7:$J$193,MATCH(B690,'2. Emissions Units &amp; Activities'!$B$7:$B$193,0))))</f>
        <v>11.305015057123692</v>
      </c>
      <c r="M690" s="509">
        <f t="shared" si="25"/>
        <v>5.935033070192617E-2</v>
      </c>
      <c r="N690" s="284"/>
    </row>
    <row r="691" spans="1:14" ht="15.75" x14ac:dyDescent="0.25">
      <c r="A691" s="86"/>
      <c r="B691" s="513" t="s">
        <v>170</v>
      </c>
      <c r="C691" s="339" t="s">
        <v>212</v>
      </c>
      <c r="D691" s="345" t="s">
        <v>340</v>
      </c>
      <c r="E691" s="346" t="s">
        <v>214</v>
      </c>
      <c r="F691" s="341">
        <v>0</v>
      </c>
      <c r="G691" s="346">
        <f>'Acids Bases Plating CMP PTE'!G50</f>
        <v>0.05</v>
      </c>
      <c r="H691" s="346" t="s">
        <v>289</v>
      </c>
      <c r="I691" s="346" t="s">
        <v>290</v>
      </c>
      <c r="J691" s="85">
        <f>IF(B691="",IF(CONCATENATE(C691,D691,E691,F691,G691,H691,I691)="","",ws3_EU_ID_blank),IF(ISERROR(MATCH(B691,'2. Emissions Units &amp; Activities'!$B$7:$B$193,0)),ws3_matching_error_msg,G691*IF(E691="Y",1,1-F691)*INDEX('2. Emissions Units &amp; Activities'!$G$7:$G$193,MATCH(B691,'2. Emissions Units &amp; Activities'!$B$7:$B$193,0))))</f>
        <v>4.5180112043939875</v>
      </c>
      <c r="K691" s="85">
        <f t="shared" si="24"/>
        <v>6.498399955249947E-5</v>
      </c>
      <c r="L691" s="85">
        <f>IF(B691="",IF(CONCATENATE(C691,D691,E691,F691,G691,H691,I691)="","",ws3_EU_ID_blank),IF(ISERROR(MATCH(B691,'2. Emissions Units &amp; Activities'!$B$7:$B$193,0)),ws3_matching_error_msg,G691*IF(E691="Y",1,1-F691)*INDEX('2. Emissions Units &amp; Activities'!$J$7:$J$193,MATCH(B691,'2. Emissions Units &amp; Activities'!$B$7:$B$193,0))))</f>
        <v>1.2378112888750651E-2</v>
      </c>
      <c r="M691" s="509">
        <f t="shared" si="25"/>
        <v>6.498399955249947E-5</v>
      </c>
      <c r="N691" s="284"/>
    </row>
    <row r="692" spans="1:14" ht="15.75" x14ac:dyDescent="0.25">
      <c r="A692" s="86"/>
      <c r="B692" s="513" t="s">
        <v>172</v>
      </c>
      <c r="C692" s="339" t="s">
        <v>341</v>
      </c>
      <c r="D692" s="345" t="s">
        <v>342</v>
      </c>
      <c r="E692" s="346" t="s">
        <v>214</v>
      </c>
      <c r="F692" s="341">
        <f>'Photoresist and Organics PTE'!K4</f>
        <v>0</v>
      </c>
      <c r="G692" s="346">
        <f>'Photoresist and Organics PTE'!H4</f>
        <v>1</v>
      </c>
      <c r="H692" s="346" t="s">
        <v>289</v>
      </c>
      <c r="I692" s="346" t="s">
        <v>296</v>
      </c>
      <c r="J692" s="85">
        <f>IF(B692="",IF(CONCATENATE(C692,D692,E692,F692,G692,H692,I692)="","",ws3_EU_ID_blank),IF(ISERROR(MATCH(B692,'2. Emissions Units &amp; Activities'!$B$7:$B$193,0)),ws3_matching_error_msg,G692*IF(E692="Y",1,1-F692)*INDEX('2. Emissions Units &amp; Activities'!$G$7:$G$193,MATCH(B692,'2. Emissions Units &amp; Activities'!$B$7:$B$193,0))))</f>
        <v>338.00791925150764</v>
      </c>
      <c r="K692" s="85">
        <f t="shared" si="24"/>
        <v>4.8616759630917038E-3</v>
      </c>
      <c r="L692" s="85">
        <f>IF(B692="",IF(CONCATENATE(C692,D692,E692,F692,G692,H692,I692)="","",ws3_EU_ID_blank),IF(ISERROR(MATCH(B692,'2. Emissions Units &amp; Activities'!$B$7:$B$193,0)),ws3_matching_error_msg,G692*IF(E692="Y",1,1-F692)*INDEX('2. Emissions Units &amp; Activities'!$J$7:$J$193,MATCH(B692,'2. Emissions Units &amp; Activities'!$B$7:$B$193,0))))</f>
        <v>0.92604909383974698</v>
      </c>
      <c r="M692" s="509">
        <f t="shared" si="25"/>
        <v>4.8616759630917047E-3</v>
      </c>
      <c r="N692" s="284"/>
    </row>
    <row r="693" spans="1:14" ht="15.75" x14ac:dyDescent="0.25">
      <c r="A693" s="86"/>
      <c r="B693" s="513" t="s">
        <v>173</v>
      </c>
      <c r="C693" s="339" t="s">
        <v>330</v>
      </c>
      <c r="D693" s="345" t="s">
        <v>331</v>
      </c>
      <c r="E693" s="346" t="s">
        <v>214</v>
      </c>
      <c r="F693" s="341">
        <v>0.5</v>
      </c>
      <c r="G693" s="346">
        <f>'Gas and Liquid Precursor PTE'!G91</f>
        <v>0.69399999999999995</v>
      </c>
      <c r="H693" s="346" t="s">
        <v>289</v>
      </c>
      <c r="I693" s="346" t="s">
        <v>290</v>
      </c>
      <c r="J693" s="85">
        <f>IF(B693="",IF(CONCATENATE(C693,D693,E693,F693,G693,H693,I693)="","",ws3_EU_ID_blank),IF(ISERROR(MATCH(B693,'2. Emissions Units &amp; Activities'!$B$7:$B$193,0)),ws3_matching_error_msg,G693*IF(E693="Y",1,1-F693)*INDEX('2. Emissions Units &amp; Activities'!$G$7:$G$193,MATCH(B693,'2. Emissions Units &amp; Activities'!$B$7:$B$193,0))))</f>
        <v>132.28037516168129</v>
      </c>
      <c r="K693" s="85">
        <f t="shared" si="24"/>
        <v>1.9026309257380819E-3</v>
      </c>
      <c r="L693" s="85">
        <f>IF(B693="",IF(CONCATENATE(C693,D693,E693,F693,G693,H693,I693)="","",ws3_EU_ID_blank),IF(ISERROR(MATCH(B693,'2. Emissions Units &amp; Activities'!$B$7:$B$193,0)),ws3_matching_error_msg,G693*IF(E693="Y",1,1-F693)*INDEX('2. Emissions Units &amp; Activities'!$J$7:$J$193,MATCH(B693,'2. Emissions Units &amp; Activities'!$B$7:$B$193,0))))</f>
        <v>0.36241198674433234</v>
      </c>
      <c r="M693" s="509">
        <f t="shared" si="25"/>
        <v>1.9026309257380823E-3</v>
      </c>
      <c r="N693" s="284"/>
    </row>
    <row r="694" spans="1:14" ht="15.75" x14ac:dyDescent="0.25">
      <c r="A694" s="86"/>
      <c r="B694" s="513" t="s">
        <v>173</v>
      </c>
      <c r="C694" s="339" t="s">
        <v>313</v>
      </c>
      <c r="D694" s="345" t="s">
        <v>314</v>
      </c>
      <c r="E694" s="346" t="s">
        <v>214</v>
      </c>
      <c r="F694" s="341">
        <f>'Gas and Liquid Precursor PTE'!H92</f>
        <v>0</v>
      </c>
      <c r="G694" s="346">
        <f>'Gas and Liquid Precursor PTE'!G92</f>
        <v>0.46300000000000002</v>
      </c>
      <c r="H694" s="346" t="s">
        <v>289</v>
      </c>
      <c r="I694" s="346" t="s">
        <v>290</v>
      </c>
      <c r="J694" s="85">
        <f>IF(B694="",IF(CONCATENATE(C694,D694,E694,F694,G694,H694,I694)="","",ws3_EU_ID_blank),IF(ISERROR(MATCH(B694,'2. Emissions Units &amp; Activities'!$B$7:$B$193,0)),ws3_matching_error_msg,G694*IF(E694="Y",1,1-F694)*INDEX('2. Emissions Units &amp; Activities'!$G$7:$G$193,MATCH(B694,'2. Emissions Units &amp; Activities'!$B$7:$B$193,0))))</f>
        <v>176.5009040341742</v>
      </c>
      <c r="K694" s="85">
        <f>CONVERT(J694,"lbm","g")/8760/3600</f>
        <v>2.5386689297312165E-3</v>
      </c>
      <c r="L694" s="85">
        <f>IF(B694="",IF(CONCATENATE(C694,D694,E694,F694,G694,H694,I694)="","",ws3_EU_ID_blank),IF(ISERROR(MATCH(B694,'2. Emissions Units &amp; Activities'!$B$7:$B$193,0)),ws3_matching_error_msg,G694*IF(E694="Y",1,1-F694)*INDEX('2. Emissions Units &amp; Activities'!$J$7:$J$193,MATCH(B694,'2. Emissions Units &amp; Activities'!$B$7:$B$193,0))))</f>
        <v>0.48356412064157317</v>
      </c>
      <c r="M694" s="509">
        <f>CONVERT(L694,"lbm","g")/24/3600</f>
        <v>2.5386689297312165E-3</v>
      </c>
      <c r="N694" s="284"/>
    </row>
    <row r="695" spans="1:14" ht="15.75" x14ac:dyDescent="0.25">
      <c r="A695" s="86"/>
      <c r="B695" s="513" t="s">
        <v>174</v>
      </c>
      <c r="C695" s="339" t="s">
        <v>343</v>
      </c>
      <c r="D695" s="345" t="s">
        <v>344</v>
      </c>
      <c r="E695" s="346" t="s">
        <v>214</v>
      </c>
      <c r="F695" s="341">
        <v>0.9</v>
      </c>
      <c r="G695" s="346">
        <f>'Photoresist and Organics PTE'!H42</f>
        <v>0.2</v>
      </c>
      <c r="H695" s="346" t="s">
        <v>289</v>
      </c>
      <c r="I695" s="346" t="s">
        <v>290</v>
      </c>
      <c r="J695" s="85">
        <f>IF(B695="",IF(CONCATENATE(C695,D695,E695,F695,G695,H695,I695)="","",ws3_EU_ID_blank),IF(ISERROR(MATCH(B695,'2. Emissions Units &amp; Activities'!$B$7:$B$193,0)),ws3_matching_error_msg,G695*IF(E695="Y",1,1-F695)*INDEX('2. Emissions Units &amp; Activities'!$G$7:$G$193,MATCH(B695,'2. Emissions Units &amp; Activities'!$B$7:$B$193,0))))</f>
        <v>208.55999999999997</v>
      </c>
      <c r="K695" s="85">
        <f t="shared" si="24"/>
        <v>2.9997851562404872E-3</v>
      </c>
      <c r="L695" s="85">
        <f>IF(B695="",IF(CONCATENATE(C695,D695,E695,F695,G695,H695,I695)="","",ws3_EU_ID_blank),IF(ISERROR(MATCH(B695,'2. Emissions Units &amp; Activities'!$B$7:$B$193,0)),ws3_matching_error_msg,G695*IF(E695="Y",1,1-F695)*INDEX('2. Emissions Units &amp; Activities'!$J$7:$J$193,MATCH(B695,'2. Emissions Units &amp; Activities'!$B$7:$B$193,0))))</f>
        <v>0.57139726027397253</v>
      </c>
      <c r="M695" s="509">
        <f t="shared" si="25"/>
        <v>2.9997851562404872E-3</v>
      </c>
      <c r="N695" s="284"/>
    </row>
    <row r="696" spans="1:14" ht="15.75" x14ac:dyDescent="0.25">
      <c r="A696" s="86"/>
      <c r="B696" s="513" t="s">
        <v>175</v>
      </c>
      <c r="C696" s="339" t="s">
        <v>309</v>
      </c>
      <c r="D696" s="345" t="s">
        <v>310</v>
      </c>
      <c r="E696" s="346" t="s">
        <v>214</v>
      </c>
      <c r="F696" s="341">
        <v>0</v>
      </c>
      <c r="G696" s="346">
        <f>'Acids Bases Plating CMP PTE'!G106</f>
        <v>1E-3</v>
      </c>
      <c r="H696" s="346" t="s">
        <v>289</v>
      </c>
      <c r="I696" s="346" t="s">
        <v>290</v>
      </c>
      <c r="J696" s="85">
        <f>IF(B696="",IF(CONCATENATE(C696,D696,E696,F696,G696,H696,I696)="","",ws3_EU_ID_blank),IF(ISERROR(MATCH(B696,'2. Emissions Units &amp; Activities'!$B$7:$B$193,0)),ws3_matching_error_msg,G696*IF(E696="Y",1,1-F696)*INDEX('2. Emissions Units &amp; Activities'!$G$7:$G$193,MATCH(B696,'2. Emissions Units &amp; Activities'!$B$7:$B$193,0))))</f>
        <v>381.23212806171307</v>
      </c>
      <c r="K696" s="85">
        <f t="shared" si="24"/>
        <v>5.4833835771073052E-3</v>
      </c>
      <c r="L696" s="85">
        <f>IF(B696="",IF(CONCATENATE(C696,D696,E696,F696,G696,H696,I696)="","",ws3_EU_ID_blank),IF(ISERROR(MATCH(B696,'2. Emissions Units &amp; Activities'!$B$7:$B$193,0)),ws3_matching_error_msg,G696*IF(E696="Y",1,1-F696)*INDEX('2. Emissions Units &amp; Activities'!$J$7:$J$193,MATCH(B696,'2. Emissions Units &amp; Activities'!$B$7:$B$193,0))))</f>
        <v>1.0444715837307208</v>
      </c>
      <c r="M696" s="509">
        <f t="shared" si="25"/>
        <v>5.4833835771073034E-3</v>
      </c>
      <c r="N696" s="284"/>
    </row>
    <row r="697" spans="1:14" ht="15.75" x14ac:dyDescent="0.25">
      <c r="A697" s="86"/>
      <c r="B697" s="515" t="s">
        <v>177</v>
      </c>
      <c r="C697" s="339" t="s">
        <v>309</v>
      </c>
      <c r="D697" s="345" t="s">
        <v>310</v>
      </c>
      <c r="E697" s="346" t="s">
        <v>214</v>
      </c>
      <c r="F697" s="341">
        <f>'Gas and Liquid Precursor PTE'!H94</f>
        <v>0.5</v>
      </c>
      <c r="G697" s="346">
        <f>'Gas and Liquid Precursor PTE'!G94</f>
        <v>0.57699999999999996</v>
      </c>
      <c r="H697" s="346" t="s">
        <v>289</v>
      </c>
      <c r="I697" s="346" t="s">
        <v>290</v>
      </c>
      <c r="J697" s="85">
        <f>IF(B697="",IF(CONCATENATE(C697,D697,E697,F697,G697,H697,I697)="","",ws3_EU_ID_blank),IF(ISERROR(MATCH(B697,'2. Emissions Units &amp; Activities'!$B$7:$B$193,0)),ws3_matching_error_msg,G697*IF(E697="Y",1,1-F697)*INDEX('2. Emissions Units &amp; Activities'!$G$7:$G$193,MATCH(B697,'2. Emissions Units &amp; Activities'!$B$7:$B$193,0))))</f>
        <v>11.54</v>
      </c>
      <c r="K697" s="85">
        <f>CONVERT(J697,"lbm","g")/8760/3600</f>
        <v>1.6598350931633688E-4</v>
      </c>
      <c r="L697" s="85">
        <f>IF(B697="",IF(CONCATENATE(C697,D697,E697,F697,G697,H697,I697)="","",ws3_EU_ID_blank),IF(ISERROR(MATCH(B697,'2. Emissions Units &amp; Activities'!$B$7:$B$193,0)),ws3_matching_error_msg,G697*IF(E697="Y",1,1-F697)*INDEX('2. Emissions Units &amp; Activities'!$J$7:$J$193,MATCH(B697,'2. Emissions Units &amp; Activities'!$B$7:$B$193,0))))</f>
        <v>3.1616438356164379E-2</v>
      </c>
      <c r="M697" s="509">
        <f t="shared" ref="M697:M698" si="38">CONVERT(L697,"lbm","g")/24/3600</f>
        <v>1.6598350931633685E-4</v>
      </c>
      <c r="N697" s="284"/>
    </row>
    <row r="698" spans="1:14" ht="15.75" x14ac:dyDescent="0.25">
      <c r="A698" s="86"/>
      <c r="B698" s="515" t="s">
        <v>177</v>
      </c>
      <c r="C698" s="339" t="s">
        <v>292</v>
      </c>
      <c r="D698" s="345" t="s">
        <v>293</v>
      </c>
      <c r="E698" s="346" t="s">
        <v>214</v>
      </c>
      <c r="F698" s="341">
        <f>(1-(1-'Gas and Liquid Precursor PTE'!H95)*(1-'Gas and Liquid Precursor PTE'!K95))</f>
        <v>0.96</v>
      </c>
      <c r="G698" s="346">
        <f>'Gas and Liquid Precursor PTE'!G95</f>
        <v>0.76900000000000002</v>
      </c>
      <c r="H698" s="346" t="s">
        <v>289</v>
      </c>
      <c r="I698" s="346" t="s">
        <v>290</v>
      </c>
      <c r="J698" s="85">
        <f>IF(B698="",IF(CONCATENATE(C698,D698,E698,F698,G698,H698,I698)="","",ws3_EU_ID_blank),IF(ISERROR(MATCH(B698,'2. Emissions Units &amp; Activities'!$B$7:$B$193,0)),ws3_matching_error_msg,G698*IF(E698="Y",1,1-F698)*INDEX('2. Emissions Units &amp; Activities'!$G$7:$G$193,MATCH(B698,'2. Emissions Units &amp; Activities'!$B$7:$B$193,0))))</f>
        <v>1.230400000000001</v>
      </c>
      <c r="K698" s="85">
        <f>CONVERT(J698,"lbm","g")/8760/3600</f>
        <v>1.7697236556570288E-5</v>
      </c>
      <c r="L698" s="85">
        <f>IF(B698="",IF(CONCATENATE(C698,D698,E698,F698,G698,H698,I698)="","",ws3_EU_ID_blank),IF(ISERROR(MATCH(B698,'2. Emissions Units &amp; Activities'!$B$7:$B$193,0)),ws3_matching_error_msg,G698*IF(E698="Y",1,1-F698)*INDEX('2. Emissions Units &amp; Activities'!$J$7:$J$193,MATCH(B698,'2. Emissions Units &amp; Activities'!$B$7:$B$193,0))))</f>
        <v>3.3709589041095917E-3</v>
      </c>
      <c r="M698" s="509">
        <f t="shared" si="38"/>
        <v>1.7697236556570285E-5</v>
      </c>
      <c r="N698" s="284"/>
    </row>
    <row r="699" spans="1:14" ht="15.75" x14ac:dyDescent="0.25">
      <c r="A699" s="86"/>
      <c r="B699" s="513" t="s">
        <v>1</v>
      </c>
      <c r="C699" s="339">
        <v>239</v>
      </c>
      <c r="D699" s="345" t="s">
        <v>1</v>
      </c>
      <c r="E699" s="346" t="s">
        <v>214</v>
      </c>
      <c r="F699" s="341">
        <v>0</v>
      </c>
      <c r="G699" s="346">
        <v>0.58299999999999996</v>
      </c>
      <c r="H699" s="346" t="s">
        <v>345</v>
      </c>
      <c r="I699" s="346" t="s">
        <v>346</v>
      </c>
      <c r="J699" s="85">
        <f>IF(B699="",IF(CONCATENATE(C699,D699,E699,F699,G699,H699,I699)="","",ws3_EU_ID_blank),IF(ISERROR(MATCH(B699,'2. Emissions Units &amp; Activities'!$B$7:$B$193,0)),ws3_matching_error_msg,G699*IF(E699="Y",1,1-F699)*INDEX('2. Emissions Units &amp; Activities'!$G$7:$G$193,MATCH(B699,'2. Emissions Units &amp; Activities'!$B$7:$B$193,0))))</f>
        <v>5355.1367973880433</v>
      </c>
      <c r="K699" s="85">
        <f t="shared" ref="K699" si="39">CONVERT(J699,"lbm","g")/8760/3600</f>
        <v>7.7024644584013577E-2</v>
      </c>
      <c r="L699" s="85">
        <f>IF(B699="",IF(CONCATENATE(C699,D699,E699,F699,G699,H699,I699)="","",ws3_EU_ID_blank),IF(ISERROR(MATCH(B699,'2. Emissions Units &amp; Activities'!$B$7:$B$193,0)),ws3_matching_error_msg,G699*IF(E699="Y",1,1-F699)*INDEX('2. Emissions Units &amp; Activities'!$J$7:$J$193,MATCH(B699,'2. Emissions Units &amp; Activities'!$B$7:$B$193,0))))</f>
        <v>14.671607664076831</v>
      </c>
      <c r="M699" s="509">
        <f t="shared" ref="M699" si="40">CONVERT(L699,"lbm","g")/24/3600</f>
        <v>7.7024644584013591E-2</v>
      </c>
      <c r="N699" s="284"/>
    </row>
    <row r="700" spans="1:14" ht="15.75" x14ac:dyDescent="0.25">
      <c r="A700" s="86"/>
      <c r="B700" s="513" t="s">
        <v>180</v>
      </c>
      <c r="C700" s="339" t="s">
        <v>251</v>
      </c>
      <c r="D700" s="345" t="s">
        <v>252</v>
      </c>
      <c r="E700" s="346" t="s">
        <v>214</v>
      </c>
      <c r="F700" s="341">
        <v>0</v>
      </c>
      <c r="G700" s="346">
        <f>'Acids Bases Plating CMP PTE'!G42</f>
        <v>0.5</v>
      </c>
      <c r="H700" s="346" t="s">
        <v>289</v>
      </c>
      <c r="I700" s="346" t="s">
        <v>290</v>
      </c>
      <c r="J700" s="85">
        <f>IF(B700="",IF(CONCATENATE(C700,D700,E700,F700,G700,H700,I700)="","",ws3_EU_ID_blank),IF(ISERROR(MATCH(B700,'2. Emissions Units &amp; Activities'!$B$7:$B$193,0)),ws3_matching_error_msg,G700*IF(E700="Y",1,1-F700)*INDEX('2. Emissions Units &amp; Activities'!$G$7:$G$193,MATCH(B700,'2. Emissions Units &amp; Activities'!$B$7:$B$193,0))))</f>
        <v>49413.123909439244</v>
      </c>
      <c r="K700" s="85">
        <f t="shared" si="24"/>
        <v>0.71072475847241912</v>
      </c>
      <c r="L700" s="85">
        <f>IF(B700="",IF(CONCATENATE(C700,D700,E700,F700,G700,H700,I700)="","",ws3_EU_ID_blank),IF(ISERROR(MATCH(B700,'2. Emissions Units &amp; Activities'!$B$7:$B$193,0)),ws3_matching_error_msg,G700*IF(E700="Y",1,1-F700)*INDEX('2. Emissions Units &amp; Activities'!$J$7:$J$193,MATCH(B700,'2. Emissions Units &amp; Activities'!$B$7:$B$193,0))))</f>
        <v>135.37842166969656</v>
      </c>
      <c r="M700" s="509">
        <f t="shared" si="25"/>
        <v>0.71072475847241923</v>
      </c>
      <c r="N700" s="284"/>
    </row>
    <row r="701" spans="1:14" ht="15.75" x14ac:dyDescent="0.25">
      <c r="A701" s="86"/>
      <c r="B701" s="515" t="s">
        <v>181</v>
      </c>
      <c r="C701" s="352" t="s">
        <v>307</v>
      </c>
      <c r="D701" s="352" t="s">
        <v>347</v>
      </c>
      <c r="E701" s="346" t="s">
        <v>214</v>
      </c>
      <c r="F701" s="341">
        <v>0</v>
      </c>
      <c r="G701" s="346">
        <v>1E-3</v>
      </c>
      <c r="H701" s="346" t="s">
        <v>289</v>
      </c>
      <c r="I701" s="346" t="s">
        <v>290</v>
      </c>
      <c r="J701" s="85">
        <f>IF(B701="",IF(CONCATENATE(C701,D701,E701,F701,G701,H701,I701)="","",ws3_EU_ID_blank),IF(ISERROR(MATCH(B701,'2. Emissions Units &amp; Activities'!$B$7:$B$193,0)),ws3_matching_error_msg,G701*IF(E701="Y",1,1-F701)*INDEX('2. Emissions Units &amp; Activities'!$G$7:$G$193,MATCH(B701,'2. Emissions Units &amp; Activities'!$B$7:$B$193,0))))</f>
        <v>5.694720577829572</v>
      </c>
      <c r="K701" s="85">
        <f t="shared" ref="K701:K711" si="41">CONVERT(J701,"lbm","g")/8760/3600</f>
        <v>8.1908986662401238E-5</v>
      </c>
      <c r="L701" s="85">
        <f>IF(B701="",IF(CONCATENATE(C701,D701,E701,F701,G701,H701,I701)="","",ws3_EU_ID_blank),IF(ISERROR(MATCH(B701,'2. Emissions Units &amp; Activities'!$B$7:$B$193,0)),ws3_matching_error_msg,G701*IF(E701="Y",1,1-F701)*INDEX('2. Emissions Units &amp; Activities'!$J$7:$J$193,MATCH(B701,'2. Emissions Units &amp; Activities'!$B$7:$B$193,0))))</f>
        <v>1.5601974185834443E-2</v>
      </c>
      <c r="M701" s="509">
        <f t="shared" ref="M701:M711" si="42">CONVERT(L701,"lbm","g")/24/3600</f>
        <v>8.1908986662401225E-5</v>
      </c>
      <c r="N701" s="284"/>
    </row>
    <row r="702" spans="1:14" ht="15.75" x14ac:dyDescent="0.25">
      <c r="A702" s="86"/>
      <c r="B702" s="515" t="s">
        <v>183</v>
      </c>
      <c r="C702" s="352" t="s">
        <v>235</v>
      </c>
      <c r="D702" s="352" t="s">
        <v>348</v>
      </c>
      <c r="E702" s="346" t="s">
        <v>214</v>
      </c>
      <c r="F702" s="341">
        <v>0</v>
      </c>
      <c r="G702" s="346">
        <v>1E-3</v>
      </c>
      <c r="H702" s="346" t="s">
        <v>289</v>
      </c>
      <c r="I702" s="346" t="s">
        <v>290</v>
      </c>
      <c r="J702" s="85">
        <f>IF(B702="",IF(CONCATENATE(C702,D702,E702,F702,G702,H702,I702)="","",ws3_EU_ID_blank),IF(ISERROR(MATCH(B702,'2. Emissions Units &amp; Activities'!$B$7:$B$193,0)),ws3_matching_error_msg,G702*IF(E702="Y",1,1-F702)*INDEX('2. Emissions Units &amp; Activities'!$G$7:$G$193,MATCH(B702,'2. Emissions Units &amp; Activities'!$B$7:$B$193,0))))</f>
        <v>2.1128642957136003E-5</v>
      </c>
      <c r="K702" s="85">
        <f t="shared" si="41"/>
        <v>3.0390002643997743E-10</v>
      </c>
      <c r="L702" s="85">
        <f>IF(B702="",IF(CONCATENATE(C702,D702,E702,F702,G702,H702,I702)="","",ws3_EU_ID_blank),IF(ISERROR(MATCH(B702,'2. Emissions Units &amp; Activities'!$B$7:$B$193,0)),ws3_matching_error_msg,G702*IF(E702="Y",1,1-F702)*INDEX('2. Emissions Units &amp; Activities'!$J$7:$J$193,MATCH(B702,'2. Emissions Units &amp; Activities'!$B$7:$B$193,0))))</f>
        <v>5.7886693033249318E-8</v>
      </c>
      <c r="M702" s="509">
        <f t="shared" si="42"/>
        <v>3.0390002643997743E-10</v>
      </c>
      <c r="N702" s="284"/>
    </row>
    <row r="703" spans="1:14" ht="15.75" x14ac:dyDescent="0.25">
      <c r="A703" s="86"/>
      <c r="B703" s="515" t="s">
        <v>184</v>
      </c>
      <c r="C703" s="352" t="s">
        <v>330</v>
      </c>
      <c r="D703" s="352" t="s">
        <v>331</v>
      </c>
      <c r="E703" s="346" t="s">
        <v>214</v>
      </c>
      <c r="F703" s="341">
        <v>0</v>
      </c>
      <c r="G703" s="346">
        <v>1</v>
      </c>
      <c r="H703" s="346" t="s">
        <v>289</v>
      </c>
      <c r="I703" s="346" t="s">
        <v>290</v>
      </c>
      <c r="J703" s="85">
        <f>IF(B703="",IF(CONCATENATE(C703,D703,E703,F703,G703,H703,I703)="","",ws3_EU_ID_blank),IF(ISERROR(MATCH(B703,'2. Emissions Units &amp; Activities'!$B$7:$B$193,0)),ws3_matching_error_msg,G703*IF(E703="Y",1,1-F703)*INDEX('2. Emissions Units &amp; Activities'!$G$7:$G$193,MATCH(B703,'2. Emissions Units &amp; Activities'!$B$7:$B$193,0))))</f>
        <v>2.1638429571360002E-2</v>
      </c>
      <c r="K703" s="85">
        <f t="shared" si="41"/>
        <v>3.1123245029018481E-7</v>
      </c>
      <c r="L703" s="85">
        <f>IF(B703="",IF(CONCATENATE(C703,D703,E703,F703,G703,H703,I703)="","",ws3_EU_ID_blank),IF(ISERROR(MATCH(B703,'2. Emissions Units &amp; Activities'!$B$7:$B$193,0)),ws3_matching_error_msg,G703*IF(E703="Y",1,1-F703)*INDEX('2. Emissions Units &amp; Activities'!$J$7:$J$193,MATCH(B703,'2. Emissions Units &amp; Activities'!$B$7:$B$193,0))))</f>
        <v>5.928336868865754E-5</v>
      </c>
      <c r="M703" s="509">
        <f t="shared" si="42"/>
        <v>3.1123245029018481E-7</v>
      </c>
      <c r="N703" s="284"/>
    </row>
    <row r="704" spans="1:14" ht="15.75" x14ac:dyDescent="0.25">
      <c r="A704" s="86"/>
      <c r="B704" s="515" t="s">
        <v>185</v>
      </c>
      <c r="C704" s="352" t="s">
        <v>253</v>
      </c>
      <c r="D704" s="352" t="s">
        <v>349</v>
      </c>
      <c r="E704" s="346" t="s">
        <v>214</v>
      </c>
      <c r="F704" s="341">
        <v>0</v>
      </c>
      <c r="G704" s="346">
        <v>1E-3</v>
      </c>
      <c r="H704" s="346" t="s">
        <v>289</v>
      </c>
      <c r="I704" s="346" t="s">
        <v>290</v>
      </c>
      <c r="J704" s="85">
        <f>IF(B704="",IF(CONCATENATE(C704,D704,E704,F704,G704,H704,I704)="","",ws3_EU_ID_blank),IF(ISERROR(MATCH(B704,'2. Emissions Units &amp; Activities'!$B$7:$B$193,0)),ws3_matching_error_msg,G704*IF(E704="Y",1,1-F704)*INDEX('2. Emissions Units &amp; Activities'!$G$7:$G$193,MATCH(B704,'2. Emissions Units &amp; Activities'!$B$7:$B$193,0))))</f>
        <v>177.55613211485914</v>
      </c>
      <c r="K704" s="85">
        <f t="shared" si="41"/>
        <v>2.5538466125701446E-3</v>
      </c>
      <c r="L704" s="85">
        <f>IF(B704="",IF(CONCATENATE(C704,D704,E704,F704,G704,H704,I704)="","",ws3_EU_ID_blank),IF(ISERROR(MATCH(B704,'2. Emissions Units &amp; Activities'!$B$7:$B$193,0)),ws3_matching_error_msg,G704*IF(E704="Y",1,1-F704)*INDEX('2. Emissions Units &amp; Activities'!$J$7:$J$193,MATCH(B704,'2. Emissions Units &amp; Activities'!$B$7:$B$193,0))))</f>
        <v>0.48645515647906612</v>
      </c>
      <c r="M704" s="509">
        <f t="shared" si="42"/>
        <v>2.5538466125701442E-3</v>
      </c>
      <c r="N704" s="284"/>
    </row>
    <row r="705" spans="1:14" ht="15.75" x14ac:dyDescent="0.25">
      <c r="A705" s="86"/>
      <c r="B705" s="515" t="s">
        <v>186</v>
      </c>
      <c r="C705" s="352" t="s">
        <v>261</v>
      </c>
      <c r="D705" s="352" t="s">
        <v>350</v>
      </c>
      <c r="E705" s="346" t="s">
        <v>214</v>
      </c>
      <c r="F705" s="341">
        <v>0</v>
      </c>
      <c r="G705" s="346">
        <v>1E-3</v>
      </c>
      <c r="H705" s="346" t="s">
        <v>289</v>
      </c>
      <c r="I705" s="346" t="s">
        <v>290</v>
      </c>
      <c r="J705" s="85">
        <f>IF(B705="",IF(CONCATENATE(C705,D705,E705,F705,G705,H705,I705)="","",ws3_EU_ID_blank),IF(ISERROR(MATCH(B705,'2. Emissions Units &amp; Activities'!$B$7:$B$193,0)),ws3_matching_error_msg,G705*IF(E705="Y",1,1-F705)*INDEX('2. Emissions Units &amp; Activities'!$G$7:$G$193,MATCH(B705,'2. Emissions Units &amp; Activities'!$B$7:$B$193,0))))</f>
        <v>2.1638429571360002E-5</v>
      </c>
      <c r="K705" s="85">
        <f t="shared" si="41"/>
        <v>3.1123245029018481E-10</v>
      </c>
      <c r="L705" s="85">
        <f>IF(B705="",IF(CONCATENATE(C705,D705,E705,F705,G705,H705,I705)="","",ws3_EU_ID_blank),IF(ISERROR(MATCH(B705,'2. Emissions Units &amp; Activities'!$B$7:$B$193,0)),ws3_matching_error_msg,G705*IF(E705="Y",1,1-F705)*INDEX('2. Emissions Units &amp; Activities'!$J$7:$J$193,MATCH(B705,'2. Emissions Units &amp; Activities'!$B$7:$B$193,0))))</f>
        <v>5.928336868865754E-8</v>
      </c>
      <c r="M705" s="509">
        <f t="shared" si="42"/>
        <v>3.1123245029018481E-10</v>
      </c>
      <c r="N705" s="284"/>
    </row>
    <row r="706" spans="1:14" ht="15.75" x14ac:dyDescent="0.25">
      <c r="A706" s="86"/>
      <c r="B706" s="515" t="s">
        <v>187</v>
      </c>
      <c r="C706" s="352">
        <v>365</v>
      </c>
      <c r="D706" s="352" t="s">
        <v>351</v>
      </c>
      <c r="E706" s="346" t="s">
        <v>214</v>
      </c>
      <c r="F706" s="341">
        <v>0</v>
      </c>
      <c r="G706" s="346">
        <v>1E-3</v>
      </c>
      <c r="H706" s="346" t="s">
        <v>289</v>
      </c>
      <c r="I706" s="346" t="s">
        <v>290</v>
      </c>
      <c r="J706" s="85">
        <f>IF(B706="",IF(CONCATENATE(C706,D706,E706,F706,G706,H706,I706)="","",ws3_EU_ID_blank),IF(ISERROR(MATCH(B706,'2. Emissions Units &amp; Activities'!$B$7:$B$193,0)),ws3_matching_error_msg,G706*IF(E706="Y",1,1-F706)*INDEX('2. Emissions Units &amp; Activities'!$G$7:$G$193,MATCH(B706,'2. Emissions Units &amp; Activities'!$B$7:$B$193,0))))</f>
        <v>1.9342997742815998E-4</v>
      </c>
      <c r="K706" s="85">
        <f t="shared" si="41"/>
        <v>2.7821652045498985E-9</v>
      </c>
      <c r="L706" s="85">
        <f>IF(B706="",IF(CONCATENATE(C706,D706,E706,F706,G706,H706,I706)="","",ws3_EU_ID_blank),IF(ISERROR(MATCH(B706,'2. Emissions Units &amp; Activities'!$B$7:$B$193,0)),ws3_matching_error_msg,G706*IF(E706="Y",1,1-F706)*INDEX('2. Emissions Units &amp; Activities'!$J$7:$J$193,MATCH(B706,'2. Emissions Units &amp; Activities'!$B$7:$B$193,0))))</f>
        <v>5.2994514363879452E-7</v>
      </c>
      <c r="M706" s="509">
        <f t="shared" si="42"/>
        <v>2.7821652045498985E-9</v>
      </c>
      <c r="N706" s="284"/>
    </row>
    <row r="707" spans="1:14" ht="15.75" x14ac:dyDescent="0.25">
      <c r="A707" s="86"/>
      <c r="B707" s="515" t="s">
        <v>188</v>
      </c>
      <c r="C707" s="352" t="s">
        <v>241</v>
      </c>
      <c r="D707" s="352" t="s">
        <v>352</v>
      </c>
      <c r="E707" s="346" t="s">
        <v>214</v>
      </c>
      <c r="F707" s="341">
        <v>0</v>
      </c>
      <c r="G707" s="346">
        <v>1E-3</v>
      </c>
      <c r="H707" s="346" t="s">
        <v>289</v>
      </c>
      <c r="I707" s="346" t="s">
        <v>290</v>
      </c>
      <c r="J707" s="85">
        <f>IF(B707="",IF(CONCATENATE(C707,D707,E707,F707,G707,H707,I707)="","",ws3_EU_ID_blank),IF(ISERROR(MATCH(B707,'2. Emissions Units &amp; Activities'!$B$7:$B$193,0)),ws3_matching_error_msg,G707*IF(E707="Y",1,1-F707)*INDEX('2. Emissions Units &amp; Activities'!$G$7:$G$193,MATCH(B707,'2. Emissions Units &amp; Activities'!$B$7:$B$193,0))))</f>
        <v>1.1497718429571357E-3</v>
      </c>
      <c r="K707" s="85">
        <f t="shared" si="41"/>
        <v>1.6537535997152302E-8</v>
      </c>
      <c r="L707" s="85">
        <f>IF(B707="",IF(CONCATENATE(C707,D707,E707,F707,G707,H707,I707)="","",ws3_EU_ID_blank),IF(ISERROR(MATCH(B707,'2. Emissions Units &amp; Activities'!$B$7:$B$193,0)),ws3_matching_error_msg,G707*IF(E707="Y",1,1-F707)*INDEX('2. Emissions Units &amp; Activities'!$J$7:$J$193,MATCH(B707,'2. Emissions Units &amp; Activities'!$B$7:$B$193,0))))</f>
        <v>3.15005984371818E-6</v>
      </c>
      <c r="M707" s="509">
        <f t="shared" si="42"/>
        <v>1.6537535997152305E-8</v>
      </c>
      <c r="N707" s="284"/>
    </row>
    <row r="708" spans="1:14" ht="15.75" x14ac:dyDescent="0.25">
      <c r="A708" s="86"/>
      <c r="B708" s="515" t="s">
        <v>189</v>
      </c>
      <c r="C708" s="352" t="s">
        <v>283</v>
      </c>
      <c r="D708" s="352" t="s">
        <v>353</v>
      </c>
      <c r="E708" s="346" t="s">
        <v>214</v>
      </c>
      <c r="F708" s="341">
        <v>0</v>
      </c>
      <c r="G708" s="346">
        <v>1E-3</v>
      </c>
      <c r="H708" s="346" t="s">
        <v>289</v>
      </c>
      <c r="I708" s="346" t="s">
        <v>290</v>
      </c>
      <c r="J708" s="85">
        <f>IF(B708="",IF(CONCATENATE(C708,D708,E708,F708,G708,H708,I708)="","",ws3_EU_ID_blank),IF(ISERROR(MATCH(B708,'2. Emissions Units &amp; Activities'!$B$7:$B$193,0)),ws3_matching_error_msg,G708*IF(E708="Y",1,1-F708)*INDEX('2. Emissions Units &amp; Activities'!$G$7:$G$193,MATCH(B708,'2. Emissions Units &amp; Activities'!$B$7:$B$193,0))))</f>
        <v>4.3276859142720003E-5</v>
      </c>
      <c r="K708" s="85">
        <f t="shared" si="41"/>
        <v>6.2246490058036961E-10</v>
      </c>
      <c r="L708" s="85">
        <f>IF(B708="",IF(CONCATENATE(C708,D708,E708,F708,G708,H708,I708)="","",ws3_EU_ID_blank),IF(ISERROR(MATCH(B708,'2. Emissions Units &amp; Activities'!$B$7:$B$193,0)),ws3_matching_error_msg,G708*IF(E708="Y",1,1-F708)*INDEX('2. Emissions Units &amp; Activities'!$J$7:$J$193,MATCH(B708,'2. Emissions Units &amp; Activities'!$B$7:$B$193,0))))</f>
        <v>1.1856673737731508E-7</v>
      </c>
      <c r="M708" s="509">
        <f t="shared" si="42"/>
        <v>6.2246490058036961E-10</v>
      </c>
      <c r="N708" s="284"/>
    </row>
    <row r="709" spans="1:14" ht="15.75" x14ac:dyDescent="0.25">
      <c r="A709" s="86"/>
      <c r="B709" s="515" t="s">
        <v>190</v>
      </c>
      <c r="C709" s="352" t="s">
        <v>354</v>
      </c>
      <c r="D709" s="352" t="s">
        <v>355</v>
      </c>
      <c r="E709" s="346" t="s">
        <v>214</v>
      </c>
      <c r="F709" s="341">
        <v>0</v>
      </c>
      <c r="G709" s="346">
        <v>1E-3</v>
      </c>
      <c r="H709" s="346" t="s">
        <v>289</v>
      </c>
      <c r="I709" s="346" t="s">
        <v>290</v>
      </c>
      <c r="J709" s="85">
        <f>IF(B709="",IF(CONCATENATE(C709,D709,E709,F709,G709,H709,I709)="","",ws3_EU_ID_blank),IF(ISERROR(MATCH(B709,'2. Emissions Units &amp; Activities'!$B$7:$B$193,0)),ws3_matching_error_msg,G709*IF(E709="Y",1,1-F709)*INDEX('2. Emissions Units &amp; Activities'!$G$7:$G$193,MATCH(B709,'2. Emissions Units &amp; Activities'!$B$7:$B$193,0))))</f>
        <v>1.9834750800000003E-3</v>
      </c>
      <c r="K709" s="85">
        <f t="shared" si="41"/>
        <v>2.8528956188899663E-8</v>
      </c>
      <c r="L709" s="85">
        <f>IF(B709="",IF(CONCATENATE(C709,D709,E709,F709,G709,H709,I709)="","",ws3_EU_ID_blank),IF(ISERROR(MATCH(B709,'2. Emissions Units &amp; Activities'!$B$7:$B$193,0)),ws3_matching_error_msg,G709*IF(E709="Y",1,1-F709)*INDEX('2. Emissions Units &amp; Activities'!$J$7:$J$193,MATCH(B709,'2. Emissions Units &amp; Activities'!$B$7:$B$193,0))))</f>
        <v>5.4341783013698632E-6</v>
      </c>
      <c r="M709" s="509">
        <f t="shared" si="42"/>
        <v>2.8528956188899659E-8</v>
      </c>
      <c r="N709" s="284"/>
    </row>
    <row r="710" spans="1:14" ht="15.75" x14ac:dyDescent="0.25">
      <c r="A710" s="86"/>
      <c r="B710" s="515" t="s">
        <v>191</v>
      </c>
      <c r="C710" s="352" t="s">
        <v>279</v>
      </c>
      <c r="D710" s="352" t="s">
        <v>356</v>
      </c>
      <c r="E710" s="346" t="s">
        <v>214</v>
      </c>
      <c r="F710" s="341">
        <v>0</v>
      </c>
      <c r="G710" s="346">
        <f>0.001</f>
        <v>1E-3</v>
      </c>
      <c r="H710" s="346" t="s">
        <v>289</v>
      </c>
      <c r="I710" s="346" t="s">
        <v>290</v>
      </c>
      <c r="J710" s="85">
        <f>IF(B710="",IF(CONCATENATE(C710,D710,E710,F710,G710,H710,I710)="","",ws3_EU_ID_blank),IF(ISERROR(MATCH(B710,'2. Emissions Units &amp; Activities'!$B$7:$B$193,0)),ws3_matching_error_msg,G710*IF(E710="Y",1,1-F710)*INDEX('2. Emissions Units &amp; Activities'!$G$7:$G$193,MATCH(B710,'2. Emissions Units &amp; Activities'!$B$7:$B$193,0))))</f>
        <v>0.56635471768808521</v>
      </c>
      <c r="K710" s="85">
        <f t="shared" si="41"/>
        <v>8.1460609670478025E-6</v>
      </c>
      <c r="L710" s="85">
        <f>IF(B710="",IF(CONCATENATE(C710,D710,E710,F710,G710,H710,I710)="","",ws3_EU_ID_blank),IF(ISERROR(MATCH(B710,'2. Emissions Units &amp; Activities'!$B$7:$B$193,0)),ws3_matching_error_msg,G710*IF(E710="Y",1,1-F710)*INDEX('2. Emissions Units &amp; Activities'!$J$7:$J$193,MATCH(B710,'2. Emissions Units &amp; Activities'!$B$7:$B$193,0))))</f>
        <v>1.5516567607892747E-3</v>
      </c>
      <c r="M710" s="509">
        <f t="shared" si="42"/>
        <v>8.1460609670478042E-6</v>
      </c>
      <c r="N710" s="284"/>
    </row>
    <row r="711" spans="1:14" ht="15.75" x14ac:dyDescent="0.25">
      <c r="A711" s="86"/>
      <c r="B711" s="515" t="s">
        <v>192</v>
      </c>
      <c r="C711" s="352" t="s">
        <v>218</v>
      </c>
      <c r="D711" s="352" t="s">
        <v>357</v>
      </c>
      <c r="E711" s="346" t="s">
        <v>214</v>
      </c>
      <c r="F711" s="341">
        <v>0</v>
      </c>
      <c r="G711" s="346">
        <v>1E-3</v>
      </c>
      <c r="H711" s="346" t="s">
        <v>289</v>
      </c>
      <c r="I711" s="346" t="s">
        <v>290</v>
      </c>
      <c r="J711" s="85">
        <f>IF(B711="",IF(CONCATENATE(C711,D711,E711,F711,G711,H711,I711)="","",ws3_EU_ID_blank),IF(ISERROR(MATCH(B711,'2. Emissions Units &amp; Activities'!$B$7:$B$193,0)),ws3_matching_error_msg,G711*IF(E711="Y",1,1-F711)*INDEX('2. Emissions Units &amp; Activities'!$G$7:$G$193,MATCH(B711,'2. Emissions Units &amp; Activities'!$B$7:$B$193,0))))</f>
        <v>5.5639079999999992E-5</v>
      </c>
      <c r="K711" s="85">
        <f t="shared" si="41"/>
        <v>8.0027467534942922E-10</v>
      </c>
      <c r="L711" s="85">
        <f>IF(B711="",IF(CONCATENATE(C711,D711,E711,F711,G711,H711,I711)="","",ws3_EU_ID_blank),IF(ISERROR(MATCH(B711,'2. Emissions Units &amp; Activities'!$B$7:$B$193,0)),ws3_matching_error_msg,G711*IF(E711="Y",1,1-F711)*INDEX('2. Emissions Units &amp; Activities'!$J$7:$J$193,MATCH(B711,'2. Emissions Units &amp; Activities'!$B$7:$B$193,0))))</f>
        <v>1.5243583561643835E-7</v>
      </c>
      <c r="M711" s="509">
        <f t="shared" si="42"/>
        <v>8.0027467534942922E-10</v>
      </c>
      <c r="N711" s="284"/>
    </row>
    <row r="712" spans="1:14" s="477" customFormat="1" ht="15.75" x14ac:dyDescent="0.25">
      <c r="A712" s="472"/>
      <c r="B712" s="516" t="s">
        <v>193</v>
      </c>
      <c r="C712" s="473" t="s">
        <v>358</v>
      </c>
      <c r="D712" s="473" t="s">
        <v>359</v>
      </c>
      <c r="E712" s="474" t="s">
        <v>214</v>
      </c>
      <c r="F712" s="341">
        <v>0</v>
      </c>
      <c r="G712" s="474">
        <v>1E-3</v>
      </c>
      <c r="H712" s="474" t="s">
        <v>289</v>
      </c>
      <c r="I712" s="474" t="s">
        <v>290</v>
      </c>
      <c r="J712" s="475">
        <f>IF(B712="",IF(CONCATENATE(C712,D712,E712,F712,G712,H712,I712)="","",ws3_EU_ID_blank),IF(ISERROR(MATCH(B712,'2. Emissions Units &amp; Activities'!$B$7:$B$193,0)),ws3_matching_error_msg,G712*IF(E712="Y",1,1-F712)*INDEX('2. Emissions Units &amp; Activities'!$G$7:$G$193,MATCH(B712,'2. Emissions Units &amp; Activities'!$B$7:$B$193,0))))</f>
        <v>1.8392642957136004E-8</v>
      </c>
      <c r="K712" s="475">
        <f t="shared" ref="K712" si="43">CONVERT(J712,"lbm","g")/8760/3600</f>
        <v>2.6454726374591354E-13</v>
      </c>
      <c r="L712" s="475">
        <f>IF(B712="",IF(CONCATENATE(C712,D712,E712,F712,G712,H712,I712)="","",ws3_EU_ID_blank),IF(ISERROR(MATCH(B712,'2. Emissions Units &amp; Activities'!$B$7:$B$193,0)),ws3_matching_error_msg,G712*IF(E712="Y",1,1-F712)*INDEX('2. Emissions Units &amp; Activities'!$J$7:$J$193,MATCH(B712,'2. Emissions Units &amp; Activities'!$B$7:$B$193,0))))</f>
        <v>5.0390802622290428E-11</v>
      </c>
      <c r="M712" s="517">
        <f t="shared" ref="M712" si="44">CONVERT(L712,"lbm","g")/24/3600</f>
        <v>2.6454726374591359E-13</v>
      </c>
      <c r="N712" s="476"/>
    </row>
    <row r="713" spans="1:14" ht="15.75" x14ac:dyDescent="0.25">
      <c r="A713" s="86"/>
      <c r="B713" s="515" t="s">
        <v>194</v>
      </c>
      <c r="C713" s="352" t="s">
        <v>326</v>
      </c>
      <c r="D713" s="352" t="s">
        <v>327</v>
      </c>
      <c r="E713" s="346" t="s">
        <v>214</v>
      </c>
      <c r="F713" s="341">
        <v>0</v>
      </c>
      <c r="G713" s="346">
        <f>'Gas and Liquid Precursor PTE'!G128</f>
        <v>0.19400000000000001</v>
      </c>
      <c r="H713" s="346" t="s">
        <v>289</v>
      </c>
      <c r="I713" s="346" t="s">
        <v>290</v>
      </c>
      <c r="J713" s="85">
        <f>IF(B713="",IF(CONCATENATE(C713,D713,E713,F713,G713,H713,I713)="","",ws3_EU_ID_blank),IF(ISERROR(MATCH(B713,'2. Emissions Units &amp; Activities'!$B$7:$B$193,0)),ws3_matching_error_msg,G713*IF(E713="Y",1,1-F713)*INDEX('2. Emissions Units &amp; Activities'!$G$7:$G$193,MATCH(B713,'2. Emissions Units &amp; Activities'!$B$7:$B$193,0))))</f>
        <v>63.438000000000002</v>
      </c>
      <c r="K713" s="85">
        <f t="shared" ref="K713:K716" si="45">CONVERT(J713,"lbm","g")/8760/3600</f>
        <v>9.1244903500951294E-4</v>
      </c>
      <c r="L713" s="85">
        <f>IF(B713="",IF(CONCATENATE(C713,D713,E713,F713,G713,H713,I713)="","",ws3_EU_ID_blank),IF(ISERROR(MATCH(B713,'2. Emissions Units &amp; Activities'!$B$7:$B$193,0)),ws3_matching_error_msg,G713*IF(E713="Y",1,1-F713)*INDEX('2. Emissions Units &amp; Activities'!$J$7:$J$193,MATCH(B713,'2. Emissions Units &amp; Activities'!$B$7:$B$193,0))))</f>
        <v>0.17380273972602739</v>
      </c>
      <c r="M713" s="509">
        <f t="shared" ref="M713:M716" si="46">CONVERT(L713,"lbm","g")/24/3600</f>
        <v>9.1244903500951294E-4</v>
      </c>
      <c r="N713" s="284"/>
    </row>
    <row r="714" spans="1:14" ht="15.75" x14ac:dyDescent="0.25">
      <c r="A714" s="86"/>
      <c r="B714" s="515" t="s">
        <v>194</v>
      </c>
      <c r="C714" s="352" t="s">
        <v>313</v>
      </c>
      <c r="D714" s="352" t="s">
        <v>314</v>
      </c>
      <c r="E714" s="346" t="s">
        <v>214</v>
      </c>
      <c r="F714" s="341">
        <v>0</v>
      </c>
      <c r="G714" s="346">
        <f>'Gas and Liquid Precursor PTE'!G131</f>
        <v>0.56999999999999995</v>
      </c>
      <c r="H714" s="346" t="s">
        <v>289</v>
      </c>
      <c r="I714" s="346" t="s">
        <v>290</v>
      </c>
      <c r="J714" s="85">
        <f>IF(B714="",IF(CONCATENATE(C714,D714,E714,F714,G714,H714,I714)="","",ws3_EU_ID_blank),IF(ISERROR(MATCH(B714,'2. Emissions Units &amp; Activities'!$B$7:$B$193,0)),ws3_matching_error_msg,G714*IF(E714="Y",1,1-F714)*INDEX('2. Emissions Units &amp; Activities'!$G$7:$G$193,MATCH(B714,'2. Emissions Units &amp; Activities'!$B$7:$B$193,0))))</f>
        <v>186.39</v>
      </c>
      <c r="K714" s="85">
        <f t="shared" ref="K714" si="47">CONVERT(J714,"lbm","g")/8760/3600</f>
        <v>2.6809069585331051E-3</v>
      </c>
      <c r="L714" s="85">
        <f>IF(B714="",IF(CONCATENATE(C714,D714,E714,F714,G714,H714,I714)="","",ws3_EU_ID_blank),IF(ISERROR(MATCH(B714,'2. Emissions Units &amp; Activities'!$B$7:$B$193,0)),ws3_matching_error_msg,G714*IF(E714="Y",1,1-F714)*INDEX('2. Emissions Units &amp; Activities'!$J$7:$J$193,MATCH(B714,'2. Emissions Units &amp; Activities'!$B$7:$B$193,0))))</f>
        <v>0.51065753424657534</v>
      </c>
      <c r="M714" s="509">
        <f t="shared" ref="M714" si="48">CONVERT(L714,"lbm","g")/24/3600</f>
        <v>2.6809069585331051E-3</v>
      </c>
      <c r="N714" s="284"/>
    </row>
    <row r="715" spans="1:14" ht="15.75" x14ac:dyDescent="0.25">
      <c r="A715" s="86"/>
      <c r="B715" s="515" t="s">
        <v>195</v>
      </c>
      <c r="C715" s="352" t="s">
        <v>303</v>
      </c>
      <c r="D715" s="352" t="s">
        <v>360</v>
      </c>
      <c r="E715" s="346" t="s">
        <v>214</v>
      </c>
      <c r="F715" s="341">
        <v>0</v>
      </c>
      <c r="G715" s="346">
        <f>'Acids Bases Plating CMP PTE'!G111</f>
        <v>1E-3</v>
      </c>
      <c r="H715" s="346" t="s">
        <v>289</v>
      </c>
      <c r="I715" s="346" t="s">
        <v>290</v>
      </c>
      <c r="J715" s="85">
        <f>IF(B715="",IF(CONCATENATE(C715,D715,E715,F715,G715,H715,I715)="","",ws3_EU_ID_blank),IF(ISERROR(MATCH(B715,'2. Emissions Units &amp; Activities'!$B$7:$B$193,0)),ws3_matching_error_msg,G715*IF(E715="Y",1,1-F715)*INDEX('2. Emissions Units &amp; Activities'!$G$7:$G$193,MATCH(B715,'2. Emissions Units &amp; Activities'!$B$7:$B$193,0))))</f>
        <v>0.158555</v>
      </c>
      <c r="K715" s="85">
        <f t="shared" si="45"/>
        <v>2.2805472547358579E-6</v>
      </c>
      <c r="L715" s="85">
        <f>IF(B715="",IF(CONCATENATE(C715,D715,E715,F715,G715,H715,I715)="","",ws3_EU_ID_blank),IF(ISERROR(MATCH(B715,'2. Emissions Units &amp; Activities'!$B$7:$B$193,0)),ws3_matching_error_msg,G715*IF(E715="Y",1,1-F715)*INDEX('2. Emissions Units &amp; Activities'!$J$7:$J$193,MATCH(B715,'2. Emissions Units &amp; Activities'!$B$7:$B$193,0))))</f>
        <v>4.3439726027397262E-4</v>
      </c>
      <c r="M715" s="509">
        <f t="shared" si="46"/>
        <v>2.2805472547358579E-6</v>
      </c>
      <c r="N715" s="284"/>
    </row>
    <row r="716" spans="1:14" ht="16.5" thickBot="1" x14ac:dyDescent="0.3">
      <c r="A716" s="86"/>
      <c r="B716" s="518" t="s">
        <v>197</v>
      </c>
      <c r="C716" s="519" t="s">
        <v>303</v>
      </c>
      <c r="D716" s="519" t="s">
        <v>360</v>
      </c>
      <c r="E716" s="520" t="s">
        <v>214</v>
      </c>
      <c r="F716" s="521">
        <v>0</v>
      </c>
      <c r="G716" s="520">
        <f>'Acids Bases Plating CMP PTE'!G112</f>
        <v>1E-3</v>
      </c>
      <c r="H716" s="520" t="s">
        <v>289</v>
      </c>
      <c r="I716" s="520" t="s">
        <v>290</v>
      </c>
      <c r="J716" s="89">
        <f>IF(B716="",IF(CONCATENATE(C716,D716,E716,F716,G716,H716,I716)="","",ws3_EU_ID_blank),IF(ISERROR(MATCH(B716,'2. Emissions Units &amp; Activities'!$B$7:$B$193,0)),ws3_matching_error_msg,G716*IF(E716="Y",1,1-F716)*INDEX('2. Emissions Units &amp; Activities'!$G$7:$G$193,MATCH(B716,'2. Emissions Units &amp; Activities'!$B$7:$B$193,0))))</f>
        <v>0.158555</v>
      </c>
      <c r="K716" s="89">
        <f t="shared" si="45"/>
        <v>2.2805472547358579E-6</v>
      </c>
      <c r="L716" s="89">
        <f>IF(B716="",IF(CONCATENATE(C716,D716,E716,F716,G716,H716,I716)="","",ws3_EU_ID_blank),IF(ISERROR(MATCH(B716,'2. Emissions Units &amp; Activities'!$B$7:$B$193,0)),ws3_matching_error_msg,G716*IF(E716="Y",1,1-F716)*INDEX('2. Emissions Units &amp; Activities'!$J$7:$J$193,MATCH(B716,'2. Emissions Units &amp; Activities'!$B$7:$B$193,0))))</f>
        <v>4.3439726027397262E-4</v>
      </c>
      <c r="M716" s="512">
        <f t="shared" si="46"/>
        <v>2.2805472547358579E-6</v>
      </c>
      <c r="N716" s="284"/>
    </row>
  </sheetData>
  <autoFilter ref="A7:O716" xr:uid="{00000000-0001-0000-0700-000000000000}"/>
  <mergeCells count="8">
    <mergeCell ref="A2:A6"/>
    <mergeCell ref="K2:K3"/>
    <mergeCell ref="M2:M3"/>
    <mergeCell ref="B2:B3"/>
    <mergeCell ref="C2:D2"/>
    <mergeCell ref="E2:I2"/>
    <mergeCell ref="J2:J3"/>
    <mergeCell ref="L2:L3"/>
  </mergeCells>
  <phoneticPr fontId="7" type="noConversion"/>
  <dataValidations count="2">
    <dataValidation type="list" errorStyle="information" allowBlank="1" showErrorMessage="1" errorTitle="Not in list" error="This CAS is not in the DEQ CAO pollutant list." promptTitle="CAS Selection" prompt="Select CAS from the list, or copy and paste directly." sqref="C7" xr:uid="{00000000-0002-0000-0700-000000000000}">
      <formula1>#REF!</formula1>
    </dataValidation>
    <dataValidation type="list" allowBlank="1" showInputMessage="1" showErrorMessage="1" sqref="E4:E6 E8:E145" xr:uid="{00000000-0002-0000-0700-000001000000}">
      <formula1>"Y,N"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2752-B7AC-4C68-909D-EB960AC007E9}">
  <sheetPr>
    <tabColor theme="1"/>
  </sheetPr>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7EC6-D858-4BDF-9E33-D3A31D9E1F3D}">
  <sheetPr>
    <pageSetUpPr fitToPage="1"/>
  </sheetPr>
  <dimension ref="A1:M161"/>
  <sheetViews>
    <sheetView topLeftCell="B1" zoomScale="70" zoomScaleNormal="70" workbookViewId="0">
      <selection activeCell="E53" sqref="E53:E60"/>
    </sheetView>
  </sheetViews>
  <sheetFormatPr defaultColWidth="9.140625" defaultRowHeight="14.25" x14ac:dyDescent="0.2"/>
  <cols>
    <col min="1" max="1" width="9.5703125" style="46" hidden="1" customWidth="1"/>
    <col min="2" max="2" width="2.140625" style="109" customWidth="1"/>
    <col min="3" max="3" width="28.85546875" style="253" customWidth="1"/>
    <col min="4" max="4" width="14.5703125" style="231" customWidth="1"/>
    <col min="5" max="5" width="11.42578125" style="230" customWidth="1"/>
    <col min="6" max="6" width="23.5703125" style="230" customWidth="1"/>
    <col min="7" max="7" width="26.85546875" style="230" customWidth="1"/>
    <col min="8" max="8" width="12.42578125" style="228" customWidth="1"/>
    <col min="9" max="9" width="29.28515625" style="231" customWidth="1"/>
    <col min="10" max="10" width="14.7109375" style="230" customWidth="1"/>
    <col min="11" max="11" width="13.5703125" style="228" customWidth="1"/>
    <col min="12" max="12" width="15.85546875" style="260" customWidth="1"/>
    <col min="13" max="13" width="2.42578125" style="46" customWidth="1"/>
    <col min="14" max="16384" width="9.140625" style="46"/>
  </cols>
  <sheetData>
    <row r="1" spans="3:12" ht="15" thickBot="1" x14ac:dyDescent="0.25">
      <c r="C1" s="276" t="s">
        <v>1902</v>
      </c>
    </row>
    <row r="2" spans="3:12" ht="15" customHeight="1" x14ac:dyDescent="0.2">
      <c r="C2" s="557" t="s">
        <v>803</v>
      </c>
      <c r="D2" s="543" t="s">
        <v>804</v>
      </c>
      <c r="E2" s="545" t="s">
        <v>210</v>
      </c>
      <c r="F2" s="545" t="s">
        <v>805</v>
      </c>
      <c r="G2" s="545" t="s">
        <v>806</v>
      </c>
      <c r="H2" s="547" t="s">
        <v>807</v>
      </c>
      <c r="I2" s="543" t="s">
        <v>808</v>
      </c>
      <c r="J2" s="545" t="s">
        <v>809</v>
      </c>
      <c r="K2" s="547" t="s">
        <v>810</v>
      </c>
      <c r="L2" s="549" t="s">
        <v>811</v>
      </c>
    </row>
    <row r="3" spans="3:12" ht="15" thickBot="1" x14ac:dyDescent="0.25">
      <c r="C3" s="558"/>
      <c r="D3" s="544"/>
      <c r="E3" s="546"/>
      <c r="F3" s="546"/>
      <c r="G3" s="546"/>
      <c r="H3" s="548"/>
      <c r="I3" s="544"/>
      <c r="J3" s="546"/>
      <c r="K3" s="548"/>
      <c r="L3" s="550"/>
    </row>
    <row r="4" spans="3:12" x14ac:dyDescent="0.2">
      <c r="C4" s="551" t="s">
        <v>812</v>
      </c>
      <c r="D4" s="553">
        <v>12777.825148875989</v>
      </c>
      <c r="E4" s="555" t="s">
        <v>81</v>
      </c>
      <c r="F4" s="261" t="s">
        <v>813</v>
      </c>
      <c r="G4" s="261">
        <v>0.9</v>
      </c>
      <c r="H4" s="358">
        <v>0</v>
      </c>
      <c r="I4" s="262">
        <f>D4*G4*(1-H4)</f>
        <v>11500.042633988391</v>
      </c>
      <c r="J4" s="261" t="s">
        <v>252</v>
      </c>
      <c r="K4" s="358">
        <v>0</v>
      </c>
      <c r="L4" s="359">
        <f>I4*(1-K4)</f>
        <v>11500.042633988391</v>
      </c>
    </row>
    <row r="5" spans="3:12" x14ac:dyDescent="0.2">
      <c r="C5" s="552"/>
      <c r="D5" s="554"/>
      <c r="E5" s="556"/>
      <c r="F5" s="361" t="s">
        <v>814</v>
      </c>
      <c r="G5" s="362">
        <v>0.27</v>
      </c>
      <c r="H5" s="363">
        <v>0</v>
      </c>
      <c r="I5" s="312">
        <f>D4*G5*(1-H5)</f>
        <v>3450.012790196517</v>
      </c>
      <c r="J5" s="361" t="s">
        <v>252</v>
      </c>
      <c r="K5" s="363">
        <v>0</v>
      </c>
      <c r="L5" s="364">
        <f t="shared" ref="L5:L37" si="0">I5*(1-K5)</f>
        <v>3450.012790196517</v>
      </c>
    </row>
    <row r="6" spans="3:12" x14ac:dyDescent="0.2">
      <c r="C6" s="470" t="s">
        <v>707</v>
      </c>
      <c r="D6" s="327">
        <v>64.478081804720503</v>
      </c>
      <c r="E6" s="361" t="s">
        <v>81</v>
      </c>
      <c r="F6" s="361" t="s">
        <v>815</v>
      </c>
      <c r="G6" s="361">
        <v>0.05</v>
      </c>
      <c r="H6" s="363">
        <v>0</v>
      </c>
      <c r="I6" s="315">
        <f>D6*G6*(1-H6)</f>
        <v>3.2239040902360254</v>
      </c>
      <c r="J6" s="361" t="s">
        <v>291</v>
      </c>
      <c r="K6" s="363">
        <v>0</v>
      </c>
      <c r="L6" s="365">
        <f t="shared" si="0"/>
        <v>3.2239040902360254</v>
      </c>
    </row>
    <row r="7" spans="3:12" ht="15" customHeight="1" x14ac:dyDescent="0.2">
      <c r="C7" s="559" t="s">
        <v>708</v>
      </c>
      <c r="D7" s="560">
        <v>2195.864175028039</v>
      </c>
      <c r="E7" s="556" t="s">
        <v>81</v>
      </c>
      <c r="F7" s="361" t="s">
        <v>816</v>
      </c>
      <c r="G7" s="361">
        <v>0.93400000000000005</v>
      </c>
      <c r="H7" s="363">
        <v>0.9</v>
      </c>
      <c r="I7" s="312">
        <f>D7*G7*(1-H7)</f>
        <v>205.0937139476188</v>
      </c>
      <c r="J7" s="361" t="s">
        <v>291</v>
      </c>
      <c r="K7" s="363">
        <v>0.6</v>
      </c>
      <c r="L7" s="366">
        <f t="shared" si="0"/>
        <v>82.037485579047527</v>
      </c>
    </row>
    <row r="8" spans="3:12" x14ac:dyDescent="0.2">
      <c r="C8" s="559"/>
      <c r="D8" s="561"/>
      <c r="E8" s="556"/>
      <c r="F8" s="361" t="s">
        <v>817</v>
      </c>
      <c r="G8" s="361">
        <v>0.29699999999999999</v>
      </c>
      <c r="H8" s="363">
        <v>0</v>
      </c>
      <c r="I8" s="312">
        <f>D7*G8*(1-H8)</f>
        <v>652.17165998332757</v>
      </c>
      <c r="J8" s="361" t="s">
        <v>291</v>
      </c>
      <c r="K8" s="363">
        <v>0</v>
      </c>
      <c r="L8" s="366">
        <f t="shared" si="0"/>
        <v>652.17165998332757</v>
      </c>
    </row>
    <row r="9" spans="3:12" x14ac:dyDescent="0.2">
      <c r="C9" s="559"/>
      <c r="D9" s="554"/>
      <c r="E9" s="556"/>
      <c r="F9" s="361" t="s">
        <v>818</v>
      </c>
      <c r="G9" s="367">
        <v>8.6999999999999994E-2</v>
      </c>
      <c r="H9" s="363">
        <v>0</v>
      </c>
      <c r="I9" s="312">
        <f>D7*G9*(1-H9)</f>
        <v>191.04018322743937</v>
      </c>
      <c r="J9" s="361" t="s">
        <v>291</v>
      </c>
      <c r="K9" s="363">
        <v>0</v>
      </c>
      <c r="L9" s="366">
        <f t="shared" si="0"/>
        <v>191.04018322743937</v>
      </c>
    </row>
    <row r="10" spans="3:12" ht="15" customHeight="1" x14ac:dyDescent="0.2">
      <c r="C10" s="559" t="s">
        <v>709</v>
      </c>
      <c r="D10" s="562">
        <v>82.996294737813244</v>
      </c>
      <c r="E10" s="556" t="s">
        <v>81</v>
      </c>
      <c r="F10" s="361" t="s">
        <v>817</v>
      </c>
      <c r="G10" s="361">
        <v>0.128</v>
      </c>
      <c r="H10" s="363">
        <v>0</v>
      </c>
      <c r="I10" s="315">
        <f>D10*G10*(1-H10)</f>
        <v>10.623525726440095</v>
      </c>
      <c r="J10" s="361" t="s">
        <v>291</v>
      </c>
      <c r="K10" s="363">
        <v>0</v>
      </c>
      <c r="L10" s="365">
        <f t="shared" si="0"/>
        <v>10.623525726440095</v>
      </c>
    </row>
    <row r="11" spans="3:12" x14ac:dyDescent="0.2">
      <c r="C11" s="559"/>
      <c r="D11" s="563"/>
      <c r="E11" s="556"/>
      <c r="F11" s="361" t="s">
        <v>819</v>
      </c>
      <c r="G11" s="361">
        <v>0.88500000000000001</v>
      </c>
      <c r="H11" s="363">
        <v>0.9</v>
      </c>
      <c r="I11" s="312">
        <f>D10*G11*(1-H11)</f>
        <v>7.3451720842964701</v>
      </c>
      <c r="J11" s="361" t="s">
        <v>291</v>
      </c>
      <c r="K11" s="363">
        <v>0.6</v>
      </c>
      <c r="L11" s="366">
        <f t="shared" si="0"/>
        <v>2.9380688337185883</v>
      </c>
    </row>
    <row r="12" spans="3:12" x14ac:dyDescent="0.2">
      <c r="C12" s="470" t="s">
        <v>710</v>
      </c>
      <c r="D12" s="312">
        <v>22019.999999999996</v>
      </c>
      <c r="E12" s="361" t="s">
        <v>81</v>
      </c>
      <c r="F12" s="361" t="s">
        <v>820</v>
      </c>
      <c r="G12" s="361">
        <v>1</v>
      </c>
      <c r="H12" s="363">
        <v>0</v>
      </c>
      <c r="I12" s="312">
        <f>D12*G12*(1-H12)</f>
        <v>22019.999999999996</v>
      </c>
      <c r="J12" s="361" t="s">
        <v>291</v>
      </c>
      <c r="K12" s="363">
        <v>0</v>
      </c>
      <c r="L12" s="364">
        <f t="shared" si="0"/>
        <v>22019.999999999996</v>
      </c>
    </row>
    <row r="13" spans="3:12" x14ac:dyDescent="0.2">
      <c r="C13" s="470" t="s">
        <v>711</v>
      </c>
      <c r="D13" s="312">
        <v>1037.48031496063</v>
      </c>
      <c r="E13" s="361" t="s">
        <v>81</v>
      </c>
      <c r="F13" s="361" t="s">
        <v>821</v>
      </c>
      <c r="G13" s="361">
        <v>1</v>
      </c>
      <c r="H13" s="363">
        <v>0</v>
      </c>
      <c r="I13" s="312">
        <f>D13*G13*(1-H13)</f>
        <v>1037.48031496063</v>
      </c>
      <c r="J13" s="361" t="s">
        <v>291</v>
      </c>
      <c r="K13" s="363">
        <v>0</v>
      </c>
      <c r="L13" s="366">
        <f t="shared" si="0"/>
        <v>1037.48031496063</v>
      </c>
    </row>
    <row r="14" spans="3:12" x14ac:dyDescent="0.2">
      <c r="C14" s="470" t="s">
        <v>712</v>
      </c>
      <c r="D14" s="312">
        <v>3007.8030372552189</v>
      </c>
      <c r="E14" s="361" t="s">
        <v>81</v>
      </c>
      <c r="F14" s="361" t="s">
        <v>823</v>
      </c>
      <c r="G14" s="361">
        <v>1</v>
      </c>
      <c r="H14" s="363">
        <f>((0.6533)*0.5)</f>
        <v>0.32665</v>
      </c>
      <c r="I14" s="312">
        <f>D14*G14*(1-H14)</f>
        <v>2025.3041751358016</v>
      </c>
      <c r="J14" s="361" t="s">
        <v>291</v>
      </c>
      <c r="K14" s="363">
        <v>0.5</v>
      </c>
      <c r="L14" s="364">
        <f t="shared" ref="L14" si="1">I14*(1-K14)</f>
        <v>1012.6520875679008</v>
      </c>
    </row>
    <row r="15" spans="3:12" ht="15" customHeight="1" x14ac:dyDescent="0.2">
      <c r="C15" s="559" t="s">
        <v>713</v>
      </c>
      <c r="D15" s="560">
        <v>44.825122482308117</v>
      </c>
      <c r="E15" s="556" t="s">
        <v>81</v>
      </c>
      <c r="F15" s="361" t="s">
        <v>824</v>
      </c>
      <c r="G15" s="361">
        <v>0.2</v>
      </c>
      <c r="H15" s="363">
        <v>0</v>
      </c>
      <c r="I15" s="312">
        <f>D15*G15*(1-H15)</f>
        <v>8.9650244964616235</v>
      </c>
      <c r="J15" s="361" t="s">
        <v>291</v>
      </c>
      <c r="K15" s="363">
        <v>0.6</v>
      </c>
      <c r="L15" s="365">
        <f t="shared" si="0"/>
        <v>3.5860097985846497</v>
      </c>
    </row>
    <row r="16" spans="3:12" x14ac:dyDescent="0.2">
      <c r="C16" s="559"/>
      <c r="D16" s="554"/>
      <c r="E16" s="556"/>
      <c r="F16" s="361" t="s">
        <v>817</v>
      </c>
      <c r="G16" s="361">
        <v>2.0099999999999998</v>
      </c>
      <c r="H16" s="363">
        <v>0</v>
      </c>
      <c r="I16" s="312">
        <f>D15*G16*(1-H16)</f>
        <v>90.098496189439302</v>
      </c>
      <c r="J16" s="361" t="s">
        <v>291</v>
      </c>
      <c r="K16" s="363">
        <v>0</v>
      </c>
      <c r="L16" s="364">
        <f t="shared" si="0"/>
        <v>90.098496189439302</v>
      </c>
    </row>
    <row r="17" spans="1:12" ht="15" customHeight="1" x14ac:dyDescent="0.2">
      <c r="C17" s="559" t="s">
        <v>714</v>
      </c>
      <c r="D17" s="560">
        <v>626.36397374596925</v>
      </c>
      <c r="E17" s="556" t="s">
        <v>81</v>
      </c>
      <c r="F17" s="361" t="s">
        <v>825</v>
      </c>
      <c r="G17" s="361">
        <v>0.59499999999999997</v>
      </c>
      <c r="H17" s="363">
        <v>0.5</v>
      </c>
      <c r="I17" s="312">
        <f>D17*G17*(1-H17)</f>
        <v>186.34328218942585</v>
      </c>
      <c r="J17" s="361" t="s">
        <v>291</v>
      </c>
      <c r="K17" s="363">
        <v>0</v>
      </c>
      <c r="L17" s="366">
        <f>I17*(1-K17)</f>
        <v>186.34328218942585</v>
      </c>
    </row>
    <row r="18" spans="1:12" x14ac:dyDescent="0.2">
      <c r="C18" s="559"/>
      <c r="D18" s="554"/>
      <c r="E18" s="556"/>
      <c r="F18" s="361" t="s">
        <v>816</v>
      </c>
      <c r="G18" s="361">
        <v>0.72199999999999998</v>
      </c>
      <c r="H18" s="363">
        <v>0</v>
      </c>
      <c r="I18" s="312">
        <f>D17*G18*(1-H18)</f>
        <v>452.23478904458977</v>
      </c>
      <c r="J18" s="361" t="s">
        <v>291</v>
      </c>
      <c r="K18" s="363">
        <v>0.6</v>
      </c>
      <c r="L18" s="366">
        <f t="shared" si="0"/>
        <v>180.89391561783592</v>
      </c>
    </row>
    <row r="19" spans="1:12" ht="15" customHeight="1" x14ac:dyDescent="0.2">
      <c r="C19" s="559" t="s">
        <v>715</v>
      </c>
      <c r="D19" s="560">
        <v>919.58804659077941</v>
      </c>
      <c r="E19" s="566" t="s">
        <v>81</v>
      </c>
      <c r="F19" s="361" t="s">
        <v>826</v>
      </c>
      <c r="G19" s="361">
        <v>0.13</v>
      </c>
      <c r="H19" s="363">
        <v>0</v>
      </c>
      <c r="I19" s="312">
        <f>D19*G19*(1-H19)</f>
        <v>119.54644605680133</v>
      </c>
      <c r="J19" s="361" t="s">
        <v>291</v>
      </c>
      <c r="K19" s="363">
        <v>0</v>
      </c>
      <c r="L19" s="366">
        <f t="shared" si="0"/>
        <v>119.54644605680133</v>
      </c>
    </row>
    <row r="20" spans="1:12" x14ac:dyDescent="0.2">
      <c r="C20" s="559"/>
      <c r="D20" s="561"/>
      <c r="E20" s="566"/>
      <c r="F20" s="361" t="s">
        <v>827</v>
      </c>
      <c r="G20" s="361">
        <v>7.9000000000000001E-2</v>
      </c>
      <c r="H20" s="363">
        <v>0</v>
      </c>
      <c r="I20" s="312">
        <f>D19*G20*(1-H20)</f>
        <v>72.64745568067157</v>
      </c>
      <c r="J20" s="361" t="s">
        <v>291</v>
      </c>
      <c r="K20" s="363">
        <v>0</v>
      </c>
      <c r="L20" s="366">
        <f t="shared" si="0"/>
        <v>72.64745568067157</v>
      </c>
    </row>
    <row r="21" spans="1:12" x14ac:dyDescent="0.2">
      <c r="C21" s="559"/>
      <c r="D21" s="561"/>
      <c r="E21" s="566"/>
      <c r="F21" s="361" t="s">
        <v>828</v>
      </c>
      <c r="G21" s="361">
        <v>2.5000000000000001E-2</v>
      </c>
      <c r="H21" s="363">
        <v>0</v>
      </c>
      <c r="I21" s="315">
        <f>D19*G21*(1-H21)</f>
        <v>22.989701164769485</v>
      </c>
      <c r="J21" s="361" t="s">
        <v>291</v>
      </c>
      <c r="K21" s="363">
        <v>0</v>
      </c>
      <c r="L21" s="365">
        <f t="shared" si="0"/>
        <v>22.989701164769485</v>
      </c>
    </row>
    <row r="22" spans="1:12" x14ac:dyDescent="0.2">
      <c r="C22" s="559"/>
      <c r="D22" s="561"/>
      <c r="E22" s="566"/>
      <c r="F22" s="361" t="s">
        <v>829</v>
      </c>
      <c r="G22" s="361">
        <v>4.9000000000000002E-2</v>
      </c>
      <c r="H22" s="363">
        <v>0</v>
      </c>
      <c r="I22" s="312">
        <f>D19*G22*(1-H22)</f>
        <v>45.059814282948196</v>
      </c>
      <c r="J22" s="361" t="s">
        <v>291</v>
      </c>
      <c r="K22" s="363">
        <v>0</v>
      </c>
      <c r="L22" s="366">
        <f t="shared" si="0"/>
        <v>45.059814282948196</v>
      </c>
    </row>
    <row r="23" spans="1:12" x14ac:dyDescent="0.2">
      <c r="C23" s="559"/>
      <c r="D23" s="561"/>
      <c r="E23" s="566"/>
      <c r="F23" s="361" t="s">
        <v>819</v>
      </c>
      <c r="G23" s="362">
        <v>0.53300000000000003</v>
      </c>
      <c r="H23" s="363">
        <v>0</v>
      </c>
      <c r="I23" s="312">
        <f>D19*G23*(1-H23)</f>
        <v>490.14042883288545</v>
      </c>
      <c r="J23" s="361" t="s">
        <v>291</v>
      </c>
      <c r="K23" s="363">
        <v>0.6</v>
      </c>
      <c r="L23" s="366">
        <f t="shared" si="0"/>
        <v>196.05617153315418</v>
      </c>
    </row>
    <row r="24" spans="1:12" x14ac:dyDescent="0.2">
      <c r="C24" s="559"/>
      <c r="D24" s="561"/>
      <c r="E24" s="566"/>
      <c r="F24" s="361" t="s">
        <v>821</v>
      </c>
      <c r="G24" s="361">
        <v>0.26900000000000002</v>
      </c>
      <c r="H24" s="363">
        <v>0</v>
      </c>
      <c r="I24" s="312">
        <f>D19*G24*(1-H24)</f>
        <v>247.36918453291969</v>
      </c>
      <c r="J24" s="361" t="s">
        <v>291</v>
      </c>
      <c r="K24" s="363">
        <v>0</v>
      </c>
      <c r="L24" s="366">
        <f t="shared" si="0"/>
        <v>247.36918453291969</v>
      </c>
    </row>
    <row r="25" spans="1:12" x14ac:dyDescent="0.2">
      <c r="C25" s="559"/>
      <c r="D25" s="554"/>
      <c r="E25" s="566"/>
      <c r="F25" s="361" t="s">
        <v>820</v>
      </c>
      <c r="G25" s="361">
        <v>0.42299999999999999</v>
      </c>
      <c r="H25" s="363">
        <v>0</v>
      </c>
      <c r="I25" s="312">
        <f>D19*G25*(1-H25)</f>
        <v>388.9857437078997</v>
      </c>
      <c r="J25" s="361" t="s">
        <v>291</v>
      </c>
      <c r="K25" s="363">
        <v>0</v>
      </c>
      <c r="L25" s="366">
        <f t="shared" si="0"/>
        <v>388.9857437078997</v>
      </c>
    </row>
    <row r="26" spans="1:12" x14ac:dyDescent="0.2">
      <c r="C26" s="523" t="s">
        <v>716</v>
      </c>
      <c r="D26" s="327">
        <v>2.1962371546747597</v>
      </c>
      <c r="E26" s="361" t="s">
        <v>81</v>
      </c>
      <c r="F26" s="361" t="s">
        <v>819</v>
      </c>
      <c r="G26" s="361">
        <v>1.05</v>
      </c>
      <c r="H26" s="363">
        <v>0</v>
      </c>
      <c r="I26" s="327">
        <f>D26*G26*(1-H26)</f>
        <v>2.3060490124084976</v>
      </c>
      <c r="J26" s="361" t="s">
        <v>291</v>
      </c>
      <c r="K26" s="363">
        <v>0.6</v>
      </c>
      <c r="L26" s="365">
        <f t="shared" si="0"/>
        <v>0.92241960496339903</v>
      </c>
    </row>
    <row r="27" spans="1:12" x14ac:dyDescent="0.2">
      <c r="A27" s="287" t="s">
        <v>830</v>
      </c>
      <c r="C27" s="568" t="s">
        <v>717</v>
      </c>
      <c r="D27" s="562">
        <v>0</v>
      </c>
      <c r="E27" s="361" t="s">
        <v>81</v>
      </c>
      <c r="F27" s="361" t="s">
        <v>819</v>
      </c>
      <c r="G27" s="361">
        <v>0.52</v>
      </c>
      <c r="H27" s="363">
        <v>0</v>
      </c>
      <c r="I27" s="327">
        <f>D27*G27*(1-H27)</f>
        <v>0</v>
      </c>
      <c r="J27" s="361" t="s">
        <v>291</v>
      </c>
      <c r="K27" s="363">
        <v>0.6</v>
      </c>
      <c r="L27" s="365">
        <f t="shared" si="0"/>
        <v>0</v>
      </c>
    </row>
    <row r="28" spans="1:12" x14ac:dyDescent="0.2">
      <c r="A28" s="287" t="s">
        <v>830</v>
      </c>
      <c r="C28" s="568"/>
      <c r="D28" s="563"/>
      <c r="E28" s="361" t="s">
        <v>81</v>
      </c>
      <c r="F28" s="361" t="s">
        <v>831</v>
      </c>
      <c r="G28" s="309">
        <v>0.17699999999999999</v>
      </c>
      <c r="H28" s="363">
        <v>0</v>
      </c>
      <c r="I28" s="327">
        <f>D27*G28*(1-H28)</f>
        <v>0</v>
      </c>
      <c r="J28" s="361" t="s">
        <v>291</v>
      </c>
      <c r="K28" s="363">
        <v>0</v>
      </c>
      <c r="L28" s="365">
        <f t="shared" si="0"/>
        <v>0</v>
      </c>
    </row>
    <row r="29" spans="1:12" ht="14.25" customHeight="1" x14ac:dyDescent="0.2">
      <c r="A29" s="287" t="s">
        <v>830</v>
      </c>
      <c r="C29" s="568" t="s">
        <v>718</v>
      </c>
      <c r="D29" s="562">
        <v>15.637092382975995</v>
      </c>
      <c r="E29" s="361" t="s">
        <v>81</v>
      </c>
      <c r="F29" s="361" t="s">
        <v>819</v>
      </c>
      <c r="G29" s="361">
        <v>0.52</v>
      </c>
      <c r="H29" s="363">
        <v>0</v>
      </c>
      <c r="I29" s="327">
        <f>D29*G29*(1-H29)</f>
        <v>8.1312880391475169</v>
      </c>
      <c r="J29" s="361" t="s">
        <v>291</v>
      </c>
      <c r="K29" s="363">
        <v>0.6</v>
      </c>
      <c r="L29" s="365">
        <f t="shared" si="0"/>
        <v>3.2525152156590069</v>
      </c>
    </row>
    <row r="30" spans="1:12" x14ac:dyDescent="0.2">
      <c r="A30" s="287" t="s">
        <v>830</v>
      </c>
      <c r="C30" s="568"/>
      <c r="D30" s="563"/>
      <c r="E30" s="361" t="s">
        <v>81</v>
      </c>
      <c r="F30" s="361" t="s">
        <v>831</v>
      </c>
      <c r="G30" s="309">
        <v>0.17699999999999999</v>
      </c>
      <c r="H30" s="363">
        <v>0</v>
      </c>
      <c r="I30" s="327">
        <f>D29*G30*(1-H30)</f>
        <v>2.7677653517867511</v>
      </c>
      <c r="J30" s="361" t="s">
        <v>291</v>
      </c>
      <c r="K30" s="363">
        <v>0</v>
      </c>
      <c r="L30" s="365">
        <f t="shared" si="0"/>
        <v>2.7677653517867511</v>
      </c>
    </row>
    <row r="31" spans="1:12" ht="15" customHeight="1" x14ac:dyDescent="0.2">
      <c r="C31" s="559" t="s">
        <v>719</v>
      </c>
      <c r="D31" s="560">
        <v>9566.4716546239943</v>
      </c>
      <c r="E31" s="566" t="s">
        <v>81</v>
      </c>
      <c r="F31" s="361" t="s">
        <v>828</v>
      </c>
      <c r="G31" s="361">
        <v>0.55000000000000004</v>
      </c>
      <c r="H31" s="363">
        <v>0</v>
      </c>
      <c r="I31" s="312">
        <f>D31*G31*(1-H31)</f>
        <v>5261.5594100431972</v>
      </c>
      <c r="J31" s="361" t="s">
        <v>291</v>
      </c>
      <c r="K31" s="363">
        <v>0</v>
      </c>
      <c r="L31" s="364">
        <f>I31*(1-K31)</f>
        <v>5261.5594100431972</v>
      </c>
    </row>
    <row r="32" spans="1:12" s="233" customFormat="1" x14ac:dyDescent="0.2">
      <c r="B32" s="109"/>
      <c r="C32" s="559"/>
      <c r="D32" s="561"/>
      <c r="E32" s="566"/>
      <c r="F32" s="361" t="s">
        <v>827</v>
      </c>
      <c r="G32" s="361">
        <v>0.19</v>
      </c>
      <c r="H32" s="363">
        <v>0</v>
      </c>
      <c r="I32" s="312">
        <f>D31*G32*(1-H32)</f>
        <v>1817.6296143785589</v>
      </c>
      <c r="J32" s="361" t="s">
        <v>291</v>
      </c>
      <c r="K32" s="363">
        <v>0</v>
      </c>
      <c r="L32" s="364">
        <f t="shared" si="0"/>
        <v>1817.6296143785589</v>
      </c>
    </row>
    <row r="33" spans="2:12" x14ac:dyDescent="0.2">
      <c r="C33" s="559"/>
      <c r="D33" s="561"/>
      <c r="E33" s="566"/>
      <c r="F33" s="361" t="s">
        <v>819</v>
      </c>
      <c r="G33" s="362">
        <v>0.219</v>
      </c>
      <c r="H33" s="363">
        <v>0.9</v>
      </c>
      <c r="I33" s="312">
        <f>D31*G33*(1-H33)</f>
        <v>209.50572923626541</v>
      </c>
      <c r="J33" s="361" t="s">
        <v>291</v>
      </c>
      <c r="K33" s="363">
        <v>0.6</v>
      </c>
      <c r="L33" s="364">
        <f t="shared" si="0"/>
        <v>83.802291694506167</v>
      </c>
    </row>
    <row r="34" spans="2:12" x14ac:dyDescent="0.2">
      <c r="C34" s="559"/>
      <c r="D34" s="561"/>
      <c r="E34" s="566"/>
      <c r="F34" s="361" t="s">
        <v>832</v>
      </c>
      <c r="G34" s="362">
        <f>G31*6*20.01/138.01*0.98</f>
        <v>0.46889602202738945</v>
      </c>
      <c r="H34" s="363">
        <v>0.9</v>
      </c>
      <c r="I34" s="312">
        <f>G34*D31</f>
        <v>4485.6805036909691</v>
      </c>
      <c r="J34" s="361" t="s">
        <v>291</v>
      </c>
      <c r="K34" s="363">
        <v>0.6</v>
      </c>
      <c r="L34" s="364">
        <f t="shared" si="0"/>
        <v>1794.2722014763876</v>
      </c>
    </row>
    <row r="35" spans="2:12" x14ac:dyDescent="0.2">
      <c r="C35" s="559"/>
      <c r="D35" s="561"/>
      <c r="E35" s="566"/>
      <c r="F35" s="361" t="s">
        <v>833</v>
      </c>
      <c r="G35" s="362">
        <f>G32*4*20.01/88*(0.87)</f>
        <v>0.15034786363636363</v>
      </c>
      <c r="H35" s="363">
        <v>0.9</v>
      </c>
      <c r="I35" s="312">
        <f>G35*D31</f>
        <v>1438.2985758105463</v>
      </c>
      <c r="J35" s="361" t="s">
        <v>291</v>
      </c>
      <c r="K35" s="363">
        <v>0.6</v>
      </c>
      <c r="L35" s="364">
        <f t="shared" si="0"/>
        <v>575.3194303242185</v>
      </c>
    </row>
    <row r="36" spans="2:12" x14ac:dyDescent="0.2">
      <c r="C36" s="559"/>
      <c r="D36" s="561"/>
      <c r="E36" s="566"/>
      <c r="F36" s="361" t="s">
        <v>821</v>
      </c>
      <c r="G36" s="361">
        <v>0.20300000000000001</v>
      </c>
      <c r="H36" s="363">
        <v>0</v>
      </c>
      <c r="I36" s="312">
        <f>D31*G36*(1-H36)</f>
        <v>1941.9937458886709</v>
      </c>
      <c r="J36" s="361" t="s">
        <v>291</v>
      </c>
      <c r="K36" s="363">
        <v>0</v>
      </c>
      <c r="L36" s="364">
        <f t="shared" si="0"/>
        <v>1941.9937458886709</v>
      </c>
    </row>
    <row r="37" spans="2:12" ht="15" thickBot="1" x14ac:dyDescent="0.25">
      <c r="C37" s="564"/>
      <c r="D37" s="565"/>
      <c r="E37" s="567"/>
      <c r="F37" s="370" t="s">
        <v>820</v>
      </c>
      <c r="G37" s="370">
        <v>0.31900000000000001</v>
      </c>
      <c r="H37" s="369">
        <v>0</v>
      </c>
      <c r="I37" s="368">
        <f>D31*G37*(1-H37)</f>
        <v>3051.7044578250543</v>
      </c>
      <c r="J37" s="370" t="s">
        <v>291</v>
      </c>
      <c r="K37" s="369">
        <v>0</v>
      </c>
      <c r="L37" s="371">
        <f t="shared" si="0"/>
        <v>3051.7044578250543</v>
      </c>
    </row>
    <row r="38" spans="2:12" x14ac:dyDescent="0.2">
      <c r="C38" s="235"/>
      <c r="D38" s="236"/>
      <c r="E38" s="237"/>
      <c r="F38" s="234"/>
      <c r="G38" s="234"/>
      <c r="H38" s="237"/>
      <c r="I38" s="236"/>
      <c r="J38" s="234"/>
      <c r="K38" s="237"/>
      <c r="L38" s="236"/>
    </row>
    <row r="39" spans="2:12" ht="15" thickBot="1" x14ac:dyDescent="0.25">
      <c r="C39" s="276" t="s">
        <v>1903</v>
      </c>
    </row>
    <row r="40" spans="2:12" ht="15" customHeight="1" x14ac:dyDescent="0.2">
      <c r="C40" s="557" t="s">
        <v>803</v>
      </c>
      <c r="D40" s="543" t="s">
        <v>804</v>
      </c>
      <c r="E40" s="545" t="s">
        <v>210</v>
      </c>
      <c r="F40" s="545" t="s">
        <v>805</v>
      </c>
      <c r="G40" s="545" t="s">
        <v>806</v>
      </c>
      <c r="H40" s="547" t="s">
        <v>807</v>
      </c>
      <c r="I40" s="543" t="s">
        <v>808</v>
      </c>
      <c r="J40" s="545" t="s">
        <v>809</v>
      </c>
      <c r="K40" s="547" t="s">
        <v>810</v>
      </c>
      <c r="L40" s="549" t="s">
        <v>811</v>
      </c>
    </row>
    <row r="41" spans="2:12" ht="15" thickBot="1" x14ac:dyDescent="0.25">
      <c r="C41" s="558"/>
      <c r="D41" s="544"/>
      <c r="E41" s="546"/>
      <c r="F41" s="546"/>
      <c r="G41" s="546"/>
      <c r="H41" s="548"/>
      <c r="I41" s="544"/>
      <c r="J41" s="546"/>
      <c r="K41" s="548"/>
      <c r="L41" s="550"/>
    </row>
    <row r="42" spans="2:12" x14ac:dyDescent="0.2">
      <c r="C42" s="524" t="s">
        <v>720</v>
      </c>
      <c r="D42" s="262">
        <v>4376.3266764386799</v>
      </c>
      <c r="E42" s="358" t="s">
        <v>81</v>
      </c>
      <c r="F42" s="261" t="s">
        <v>834</v>
      </c>
      <c r="G42" s="261">
        <v>1</v>
      </c>
      <c r="H42" s="358">
        <v>0</v>
      </c>
      <c r="I42" s="262">
        <f>D42*G42*(1-H42)</f>
        <v>4376.3266764386799</v>
      </c>
      <c r="J42" s="261" t="s">
        <v>291</v>
      </c>
      <c r="K42" s="358">
        <v>0.5</v>
      </c>
      <c r="L42" s="359">
        <f t="shared" ref="L42:L62" si="2">I42*(1-K42)</f>
        <v>2188.1633382193399</v>
      </c>
    </row>
    <row r="43" spans="2:12" x14ac:dyDescent="0.2">
      <c r="C43" s="470" t="s">
        <v>721</v>
      </c>
      <c r="D43" s="312">
        <v>1070.9158996158585</v>
      </c>
      <c r="E43" s="363" t="s">
        <v>81</v>
      </c>
      <c r="F43" s="361" t="s">
        <v>816</v>
      </c>
      <c r="G43" s="361">
        <v>1</v>
      </c>
      <c r="H43" s="363">
        <v>0</v>
      </c>
      <c r="I43" s="312">
        <f>D43*G43*(1-H43)</f>
        <v>1070.9158996158585</v>
      </c>
      <c r="J43" s="361" t="s">
        <v>291</v>
      </c>
      <c r="K43" s="363">
        <v>0.6</v>
      </c>
      <c r="L43" s="366">
        <f t="shared" si="2"/>
        <v>428.36635984634341</v>
      </c>
    </row>
    <row r="44" spans="2:12" x14ac:dyDescent="0.2">
      <c r="C44" s="470" t="s">
        <v>722</v>
      </c>
      <c r="D44" s="312">
        <v>34.926206828354474</v>
      </c>
      <c r="E44" s="363" t="s">
        <v>81</v>
      </c>
      <c r="F44" s="361" t="s">
        <v>835</v>
      </c>
      <c r="G44" s="361">
        <v>1</v>
      </c>
      <c r="H44" s="363">
        <v>0</v>
      </c>
      <c r="I44" s="312">
        <f>D44*G44*(1-H44)</f>
        <v>34.926206828354474</v>
      </c>
      <c r="J44" s="361" t="s">
        <v>291</v>
      </c>
      <c r="K44" s="363">
        <v>0</v>
      </c>
      <c r="L44" s="366">
        <f t="shared" si="2"/>
        <v>34.926206828354474</v>
      </c>
    </row>
    <row r="45" spans="2:12" ht="15" customHeight="1" x14ac:dyDescent="0.2">
      <c r="C45" s="559" t="s">
        <v>723</v>
      </c>
      <c r="D45" s="562">
        <v>0</v>
      </c>
      <c r="E45" s="566" t="s">
        <v>81</v>
      </c>
      <c r="F45" s="361" t="s">
        <v>836</v>
      </c>
      <c r="G45" s="361">
        <v>0.18</v>
      </c>
      <c r="H45" s="363">
        <v>0</v>
      </c>
      <c r="I45" s="312">
        <f>D45*G45*(1-H45)</f>
        <v>0</v>
      </c>
      <c r="J45" s="361" t="s">
        <v>291</v>
      </c>
      <c r="K45" s="363">
        <v>0</v>
      </c>
      <c r="L45" s="364">
        <f t="shared" si="2"/>
        <v>0</v>
      </c>
    </row>
    <row r="46" spans="2:12" s="233" customFormat="1" x14ac:dyDescent="0.2">
      <c r="B46" s="109"/>
      <c r="C46" s="559"/>
      <c r="D46" s="572"/>
      <c r="E46" s="566"/>
      <c r="F46" s="361" t="s">
        <v>827</v>
      </c>
      <c r="G46" s="362">
        <v>0.14000000000000001</v>
      </c>
      <c r="H46" s="363">
        <v>0</v>
      </c>
      <c r="I46" s="312">
        <f>D45*G46*(1-H46)</f>
        <v>0</v>
      </c>
      <c r="J46" s="361" t="s">
        <v>291</v>
      </c>
      <c r="K46" s="363">
        <v>0</v>
      </c>
      <c r="L46" s="364">
        <f t="shared" si="2"/>
        <v>0</v>
      </c>
    </row>
    <row r="47" spans="2:12" x14ac:dyDescent="0.2">
      <c r="C47" s="559"/>
      <c r="D47" s="572"/>
      <c r="E47" s="566"/>
      <c r="F47" s="361" t="s">
        <v>819</v>
      </c>
      <c r="G47" s="361">
        <v>0.56599999999999995</v>
      </c>
      <c r="H47" s="363">
        <v>0.9</v>
      </c>
      <c r="I47" s="312">
        <f>D45*G47*(1-H47)</f>
        <v>0</v>
      </c>
      <c r="J47" s="361" t="s">
        <v>291</v>
      </c>
      <c r="K47" s="363">
        <v>0.6</v>
      </c>
      <c r="L47" s="364">
        <f t="shared" si="2"/>
        <v>0</v>
      </c>
    </row>
    <row r="48" spans="2:12" x14ac:dyDescent="0.2">
      <c r="C48" s="559"/>
      <c r="D48" s="572"/>
      <c r="E48" s="566"/>
      <c r="F48" s="361" t="s">
        <v>837</v>
      </c>
      <c r="G48" s="362">
        <f>G45*20.01/71*3/1*0.96</f>
        <v>0.14610118309859157</v>
      </c>
      <c r="H48" s="363">
        <v>0.9</v>
      </c>
      <c r="I48" s="312">
        <f>D45*G48*(1-H48)</f>
        <v>0</v>
      </c>
      <c r="J48" s="361" t="s">
        <v>291</v>
      </c>
      <c r="K48" s="363">
        <v>0.6</v>
      </c>
      <c r="L48" s="364">
        <f t="shared" si="2"/>
        <v>0</v>
      </c>
    </row>
    <row r="49" spans="2:12" x14ac:dyDescent="0.2">
      <c r="C49" s="559"/>
      <c r="D49" s="572"/>
      <c r="E49" s="566"/>
      <c r="F49" s="361" t="s">
        <v>833</v>
      </c>
      <c r="G49" s="362">
        <f>G46*20.01/88*4/1*0.87</f>
        <v>0.11078263636363639</v>
      </c>
      <c r="H49" s="363">
        <v>0.9</v>
      </c>
      <c r="I49" s="312">
        <f>D45*G49*(1-H49)</f>
        <v>0</v>
      </c>
      <c r="J49" s="361" t="s">
        <v>291</v>
      </c>
      <c r="K49" s="363">
        <v>0.6</v>
      </c>
      <c r="L49" s="364">
        <f>I49*(1-K49)</f>
        <v>0</v>
      </c>
    </row>
    <row r="50" spans="2:12" x14ac:dyDescent="0.2">
      <c r="C50" s="559"/>
      <c r="D50" s="572"/>
      <c r="E50" s="566"/>
      <c r="F50" s="361" t="s">
        <v>814</v>
      </c>
      <c r="G50" s="361">
        <v>0.64800000000000002</v>
      </c>
      <c r="H50" s="363">
        <v>0</v>
      </c>
      <c r="I50" s="312">
        <f>D45*G50*(1-H50)</f>
        <v>0</v>
      </c>
      <c r="J50" s="361" t="s">
        <v>291</v>
      </c>
      <c r="K50" s="363">
        <v>0</v>
      </c>
      <c r="L50" s="364">
        <f t="shared" si="2"/>
        <v>0</v>
      </c>
    </row>
    <row r="51" spans="2:12" x14ac:dyDescent="0.2">
      <c r="C51" s="559"/>
      <c r="D51" s="572"/>
      <c r="E51" s="566"/>
      <c r="F51" s="361" t="s">
        <v>821</v>
      </c>
      <c r="G51" s="362">
        <f>0.5*28.01/88*1/1*G46*(1-H46)</f>
        <v>2.2280681818181821E-2</v>
      </c>
      <c r="H51" s="363">
        <v>0</v>
      </c>
      <c r="I51" s="312">
        <f>D45*G51*(1-H51)</f>
        <v>0</v>
      </c>
      <c r="J51" s="361" t="s">
        <v>291</v>
      </c>
      <c r="K51" s="363">
        <v>0</v>
      </c>
      <c r="L51" s="364">
        <f>I51*(1-K51)</f>
        <v>0</v>
      </c>
    </row>
    <row r="52" spans="2:12" x14ac:dyDescent="0.2">
      <c r="C52" s="559"/>
      <c r="D52" s="563"/>
      <c r="E52" s="566"/>
      <c r="F52" s="361" t="s">
        <v>820</v>
      </c>
      <c r="G52" s="362">
        <f>0.5*44.01/88*1/1*G46*(1-H46)</f>
        <v>3.500795454545455E-2</v>
      </c>
      <c r="H52" s="363">
        <v>0</v>
      </c>
      <c r="I52" s="312">
        <f>D45*G52*(1-H52)</f>
        <v>0</v>
      </c>
      <c r="J52" s="361" t="s">
        <v>291</v>
      </c>
      <c r="K52" s="363">
        <v>0</v>
      </c>
      <c r="L52" s="364">
        <f>I52*(1-K52)</f>
        <v>0</v>
      </c>
    </row>
    <row r="53" spans="2:12" ht="14.25" customHeight="1" x14ac:dyDescent="0.2">
      <c r="C53" s="559" t="s">
        <v>723</v>
      </c>
      <c r="D53" s="560">
        <v>32527.65451390887</v>
      </c>
      <c r="E53" s="566" t="s">
        <v>81</v>
      </c>
      <c r="F53" s="361" t="s">
        <v>836</v>
      </c>
      <c r="G53" s="361">
        <v>2.8000000000000001E-2</v>
      </c>
      <c r="H53" s="363">
        <v>0</v>
      </c>
      <c r="I53" s="312">
        <f>D53*G53*(1-H53)</f>
        <v>910.77432638944833</v>
      </c>
      <c r="J53" s="361" t="s">
        <v>291</v>
      </c>
      <c r="K53" s="363">
        <v>0</v>
      </c>
      <c r="L53" s="364">
        <f t="shared" si="2"/>
        <v>910.77432638944833</v>
      </c>
    </row>
    <row r="54" spans="2:12" s="233" customFormat="1" x14ac:dyDescent="0.2">
      <c r="B54" s="109"/>
      <c r="C54" s="559"/>
      <c r="D54" s="561"/>
      <c r="E54" s="566"/>
      <c r="F54" s="361" t="s">
        <v>827</v>
      </c>
      <c r="G54" s="362">
        <v>1.4999999999999999E-2</v>
      </c>
      <c r="H54" s="363">
        <v>0</v>
      </c>
      <c r="I54" s="312">
        <f>D53*G54*(1-H54)</f>
        <v>487.91481770863305</v>
      </c>
      <c r="J54" s="361" t="s">
        <v>291</v>
      </c>
      <c r="K54" s="363">
        <v>0</v>
      </c>
      <c r="L54" s="364">
        <f t="shared" si="2"/>
        <v>487.91481770863305</v>
      </c>
    </row>
    <row r="55" spans="2:12" x14ac:dyDescent="0.2">
      <c r="C55" s="559"/>
      <c r="D55" s="561"/>
      <c r="E55" s="566"/>
      <c r="F55" s="361" t="s">
        <v>819</v>
      </c>
      <c r="G55" s="361">
        <v>0.80800000000000005</v>
      </c>
      <c r="H55" s="372">
        <f>((0.9866)*0.9)</f>
        <v>0.88794000000000006</v>
      </c>
      <c r="I55" s="312">
        <f>D53*G55*(1-H55)</f>
        <v>2945.1995635815297</v>
      </c>
      <c r="J55" s="361" t="s">
        <v>291</v>
      </c>
      <c r="K55" s="363">
        <v>0.6</v>
      </c>
      <c r="L55" s="364">
        <f t="shared" si="2"/>
        <v>1178.0798254326119</v>
      </c>
    </row>
    <row r="56" spans="2:12" x14ac:dyDescent="0.2">
      <c r="C56" s="559"/>
      <c r="D56" s="561"/>
      <c r="E56" s="566"/>
      <c r="F56" s="361" t="s">
        <v>837</v>
      </c>
      <c r="G56" s="362">
        <f>G53*20.01/71*3/1*0.96</f>
        <v>2.2726850704225351E-2</v>
      </c>
      <c r="H56" s="372">
        <f>((0.9866)*0.9)</f>
        <v>0.88794000000000006</v>
      </c>
      <c r="I56" s="312">
        <f>D53*G56*(1-H56)</f>
        <v>82.840483633251353</v>
      </c>
      <c r="J56" s="361" t="s">
        <v>291</v>
      </c>
      <c r="K56" s="363">
        <v>0.6</v>
      </c>
      <c r="L56" s="373">
        <f>I56*(1-K56)</f>
        <v>33.136193453300542</v>
      </c>
    </row>
    <row r="57" spans="2:12" x14ac:dyDescent="0.2">
      <c r="C57" s="559"/>
      <c r="D57" s="561"/>
      <c r="E57" s="566"/>
      <c r="F57" s="361" t="s">
        <v>833</v>
      </c>
      <c r="G57" s="362">
        <f>G54*20.01/88*4/1*0.87</f>
        <v>1.1869568181818183E-2</v>
      </c>
      <c r="H57" s="372">
        <f>((0.9866)*0.9)</f>
        <v>0.88794000000000006</v>
      </c>
      <c r="I57" s="312">
        <f>D53*G57*(1-H57)</f>
        <v>43.265157214099162</v>
      </c>
      <c r="J57" s="361" t="s">
        <v>291</v>
      </c>
      <c r="K57" s="363">
        <v>0.6</v>
      </c>
      <c r="L57" s="373">
        <f>I57*(1-K57)</f>
        <v>17.306062885639665</v>
      </c>
    </row>
    <row r="58" spans="2:12" x14ac:dyDescent="0.2">
      <c r="C58" s="559"/>
      <c r="D58" s="561"/>
      <c r="E58" s="566"/>
      <c r="F58" s="361" t="s">
        <v>814</v>
      </c>
      <c r="G58" s="362">
        <v>0.64800000000000002</v>
      </c>
      <c r="H58" s="363">
        <v>0</v>
      </c>
      <c r="I58" s="312">
        <f>D53*G58*(1-H58)</f>
        <v>21077.920125012948</v>
      </c>
      <c r="J58" s="361" t="s">
        <v>291</v>
      </c>
      <c r="K58" s="363">
        <v>0</v>
      </c>
      <c r="L58" s="364">
        <f>I58*(1-K58)</f>
        <v>21077.920125012948</v>
      </c>
    </row>
    <row r="59" spans="2:12" x14ac:dyDescent="0.2">
      <c r="C59" s="559"/>
      <c r="D59" s="561"/>
      <c r="E59" s="566"/>
      <c r="F59" s="361" t="s">
        <v>821</v>
      </c>
      <c r="G59" s="362">
        <f>0.5*28.01/88*1/1*G54*(1-H54)</f>
        <v>2.3872159090909091E-3</v>
      </c>
      <c r="H59" s="363">
        <v>0</v>
      </c>
      <c r="I59" s="312">
        <f>D53*G59*(1-H59)</f>
        <v>77.650534341015984</v>
      </c>
      <c r="J59" s="361" t="s">
        <v>291</v>
      </c>
      <c r="K59" s="363">
        <v>0</v>
      </c>
      <c r="L59" s="364">
        <f>I59*(1-K59)</f>
        <v>77.650534341015984</v>
      </c>
    </row>
    <row r="60" spans="2:12" x14ac:dyDescent="0.2">
      <c r="C60" s="559"/>
      <c r="D60" s="554"/>
      <c r="E60" s="566"/>
      <c r="F60" s="361" t="s">
        <v>820</v>
      </c>
      <c r="G60" s="362">
        <f>0.5*44.01/88*1/1*G54*(1-H54)</f>
        <v>3.7508522727272725E-3</v>
      </c>
      <c r="H60" s="363">
        <v>0</v>
      </c>
      <c r="I60" s="312">
        <f>D53*G60*(1-H60)</f>
        <v>122.00642685998261</v>
      </c>
      <c r="J60" s="361" t="s">
        <v>291</v>
      </c>
      <c r="K60" s="363">
        <v>0</v>
      </c>
      <c r="L60" s="364">
        <f>I60*(1-K60)</f>
        <v>122.00642685998261</v>
      </c>
    </row>
    <row r="61" spans="2:12" ht="15" customHeight="1" x14ac:dyDescent="0.2">
      <c r="C61" s="569" t="s">
        <v>838</v>
      </c>
      <c r="D61" s="570">
        <v>136804.93999999721</v>
      </c>
      <c r="E61" s="566" t="s">
        <v>81</v>
      </c>
      <c r="F61" s="361" t="s">
        <v>839</v>
      </c>
      <c r="G61" s="361">
        <v>1</v>
      </c>
      <c r="H61" s="363">
        <v>0</v>
      </c>
      <c r="I61" s="312">
        <f>D61*G61*(1-H61)</f>
        <v>136804.93999999721</v>
      </c>
      <c r="J61" s="361" t="s">
        <v>291</v>
      </c>
      <c r="K61" s="363">
        <v>0</v>
      </c>
      <c r="L61" s="364">
        <f t="shared" si="2"/>
        <v>136804.93999999721</v>
      </c>
    </row>
    <row r="62" spans="2:12" ht="15" thickBot="1" x14ac:dyDescent="0.25">
      <c r="C62" s="564"/>
      <c r="D62" s="571"/>
      <c r="E62" s="567"/>
      <c r="F62" s="370" t="s">
        <v>814</v>
      </c>
      <c r="G62" s="370">
        <v>0.20899999999999999</v>
      </c>
      <c r="H62" s="369">
        <v>0</v>
      </c>
      <c r="I62" s="368">
        <f>D61*G62*(1-H62)</f>
        <v>28592.232459999414</v>
      </c>
      <c r="J62" s="370" t="s">
        <v>291</v>
      </c>
      <c r="K62" s="369">
        <v>0</v>
      </c>
      <c r="L62" s="371">
        <f t="shared" si="2"/>
        <v>28592.232459999414</v>
      </c>
    </row>
    <row r="63" spans="2:12" x14ac:dyDescent="0.2">
      <c r="C63" s="235"/>
      <c r="D63" s="236"/>
      <c r="E63" s="237"/>
      <c r="F63" s="234">
        <f>G61/G63/2*G64*0.5</f>
        <v>0.26128643809783475</v>
      </c>
      <c r="G63" s="234">
        <v>44.012999999999998</v>
      </c>
      <c r="H63" s="237"/>
      <c r="I63" s="236"/>
      <c r="J63" s="234"/>
      <c r="K63" s="237"/>
      <c r="L63" s="236"/>
    </row>
    <row r="64" spans="2:12" ht="15" thickBot="1" x14ac:dyDescent="0.25">
      <c r="C64" s="276" t="s">
        <v>1903</v>
      </c>
      <c r="G64" s="230">
        <v>46</v>
      </c>
    </row>
    <row r="65" spans="2:12" ht="15" customHeight="1" x14ac:dyDescent="0.2">
      <c r="C65" s="557" t="s">
        <v>803</v>
      </c>
      <c r="D65" s="543" t="s">
        <v>804</v>
      </c>
      <c r="E65" s="545" t="s">
        <v>210</v>
      </c>
      <c r="F65" s="545" t="s">
        <v>805</v>
      </c>
      <c r="G65" s="545" t="s">
        <v>806</v>
      </c>
      <c r="H65" s="547" t="s">
        <v>807</v>
      </c>
      <c r="I65" s="543" t="s">
        <v>808</v>
      </c>
      <c r="J65" s="545" t="s">
        <v>809</v>
      </c>
      <c r="K65" s="547" t="s">
        <v>810</v>
      </c>
      <c r="L65" s="549" t="s">
        <v>811</v>
      </c>
    </row>
    <row r="66" spans="2:12" ht="15" thickBot="1" x14ac:dyDescent="0.25">
      <c r="C66" s="558"/>
      <c r="D66" s="544"/>
      <c r="E66" s="546"/>
      <c r="F66" s="546"/>
      <c r="G66" s="546"/>
      <c r="H66" s="548"/>
      <c r="I66" s="544"/>
      <c r="J66" s="546"/>
      <c r="K66" s="548"/>
      <c r="L66" s="550"/>
    </row>
    <row r="67" spans="2:12" s="233" customFormat="1" ht="15" customHeight="1" x14ac:dyDescent="0.2">
      <c r="B67" s="109"/>
      <c r="C67" s="573" t="s">
        <v>724</v>
      </c>
      <c r="D67" s="574">
        <v>594</v>
      </c>
      <c r="E67" s="577" t="s">
        <v>81</v>
      </c>
      <c r="F67" s="261" t="s">
        <v>840</v>
      </c>
      <c r="G67" s="261">
        <v>0.14000000000000001</v>
      </c>
      <c r="H67" s="358">
        <v>0</v>
      </c>
      <c r="I67" s="262">
        <f>D67*G67*(1-H67)</f>
        <v>83.160000000000011</v>
      </c>
      <c r="J67" s="261" t="s">
        <v>291</v>
      </c>
      <c r="K67" s="358">
        <v>0</v>
      </c>
      <c r="L67" s="375">
        <f t="shared" ref="L67:L95" si="3">I67*(1-K67)</f>
        <v>83.160000000000011</v>
      </c>
    </row>
    <row r="68" spans="2:12" x14ac:dyDescent="0.2">
      <c r="C68" s="559"/>
      <c r="D68" s="575"/>
      <c r="E68" s="566"/>
      <c r="F68" s="361" t="s">
        <v>827</v>
      </c>
      <c r="G68" s="361">
        <v>0.11</v>
      </c>
      <c r="H68" s="363">
        <v>0</v>
      </c>
      <c r="I68" s="312">
        <f>D67*G68*(1-H68)</f>
        <v>65.34</v>
      </c>
      <c r="J68" s="361" t="s">
        <v>291</v>
      </c>
      <c r="K68" s="363">
        <v>0</v>
      </c>
      <c r="L68" s="366">
        <f t="shared" si="3"/>
        <v>65.34</v>
      </c>
    </row>
    <row r="69" spans="2:12" x14ac:dyDescent="0.2">
      <c r="C69" s="559"/>
      <c r="D69" s="575"/>
      <c r="E69" s="566"/>
      <c r="F69" s="361" t="s">
        <v>828</v>
      </c>
      <c r="G69" s="361">
        <v>3.6999999999999998E-2</v>
      </c>
      <c r="H69" s="363">
        <v>0</v>
      </c>
      <c r="I69" s="315">
        <f>D67*G69*(1-H69)</f>
        <v>21.977999999999998</v>
      </c>
      <c r="J69" s="361" t="s">
        <v>291</v>
      </c>
      <c r="K69" s="363">
        <v>0</v>
      </c>
      <c r="L69" s="365">
        <f t="shared" si="3"/>
        <v>21.977999999999998</v>
      </c>
    </row>
    <row r="70" spans="2:12" x14ac:dyDescent="0.2">
      <c r="C70" s="559"/>
      <c r="D70" s="575"/>
      <c r="E70" s="566"/>
      <c r="F70" s="361" t="s">
        <v>829</v>
      </c>
      <c r="G70" s="362">
        <v>0.04</v>
      </c>
      <c r="H70" s="363">
        <v>0</v>
      </c>
      <c r="I70" s="315">
        <f>D67*G70*(1-H70)</f>
        <v>23.76</v>
      </c>
      <c r="J70" s="361" t="s">
        <v>291</v>
      </c>
      <c r="K70" s="363">
        <v>0</v>
      </c>
      <c r="L70" s="365">
        <f>I70*(1-K70)</f>
        <v>23.76</v>
      </c>
    </row>
    <row r="71" spans="2:12" x14ac:dyDescent="0.2">
      <c r="C71" s="559"/>
      <c r="D71" s="575"/>
      <c r="E71" s="566"/>
      <c r="F71" s="361" t="s">
        <v>819</v>
      </c>
      <c r="G71" s="362">
        <v>0.52200000000000002</v>
      </c>
      <c r="H71" s="363">
        <v>0</v>
      </c>
      <c r="I71" s="312">
        <f>D67*G71*(1-H71)</f>
        <v>310.06799999999998</v>
      </c>
      <c r="J71" s="361" t="s">
        <v>291</v>
      </c>
      <c r="K71" s="363">
        <v>0.6</v>
      </c>
      <c r="L71" s="366">
        <f t="shared" si="3"/>
        <v>124.02719999999999</v>
      </c>
    </row>
    <row r="72" spans="2:12" x14ac:dyDescent="0.2">
      <c r="C72" s="559"/>
      <c r="D72" s="575"/>
      <c r="E72" s="566"/>
      <c r="F72" s="361" t="s">
        <v>821</v>
      </c>
      <c r="G72" s="362">
        <v>0.28000000000000003</v>
      </c>
      <c r="H72" s="363">
        <v>0</v>
      </c>
      <c r="I72" s="312">
        <f>D67*G72*(1-H72)</f>
        <v>166.32000000000002</v>
      </c>
      <c r="J72" s="361" t="s">
        <v>291</v>
      </c>
      <c r="K72" s="363">
        <v>0</v>
      </c>
      <c r="L72" s="366">
        <f t="shared" si="3"/>
        <v>166.32000000000002</v>
      </c>
    </row>
    <row r="73" spans="2:12" x14ac:dyDescent="0.2">
      <c r="C73" s="559"/>
      <c r="D73" s="576"/>
      <c r="E73" s="566"/>
      <c r="F73" s="361" t="s">
        <v>820</v>
      </c>
      <c r="G73" s="362">
        <v>0.44</v>
      </c>
      <c r="H73" s="363">
        <v>0</v>
      </c>
      <c r="I73" s="312">
        <f>D67*G73*(1-H73)</f>
        <v>261.36</v>
      </c>
      <c r="J73" s="361" t="s">
        <v>291</v>
      </c>
      <c r="K73" s="363">
        <v>0</v>
      </c>
      <c r="L73" s="366">
        <f t="shared" si="3"/>
        <v>261.36</v>
      </c>
    </row>
    <row r="74" spans="2:12" s="233" customFormat="1" ht="15" customHeight="1" x14ac:dyDescent="0.2">
      <c r="B74" s="109"/>
      <c r="C74" s="569" t="s">
        <v>725</v>
      </c>
      <c r="D74" s="570">
        <v>2738.6190494981001</v>
      </c>
      <c r="E74" s="566" t="s">
        <v>81</v>
      </c>
      <c r="F74" s="361" t="s">
        <v>841</v>
      </c>
      <c r="G74" s="361">
        <v>7.1999999999999995E-2</v>
      </c>
      <c r="H74" s="363">
        <v>0</v>
      </c>
      <c r="I74" s="312">
        <f>D74*G74*(1-H74)</f>
        <v>197.1805715638632</v>
      </c>
      <c r="J74" s="361" t="s">
        <v>291</v>
      </c>
      <c r="K74" s="363">
        <v>0</v>
      </c>
      <c r="L74" s="366">
        <f t="shared" si="3"/>
        <v>197.1805715638632</v>
      </c>
    </row>
    <row r="75" spans="2:12" ht="12.95" customHeight="1" x14ac:dyDescent="0.2">
      <c r="C75" s="559"/>
      <c r="D75" s="575"/>
      <c r="E75" s="566"/>
      <c r="F75" s="361" t="s">
        <v>828</v>
      </c>
      <c r="G75" s="361">
        <v>1.4E-2</v>
      </c>
      <c r="H75" s="363">
        <v>0</v>
      </c>
      <c r="I75" s="312">
        <f>D74*G75*(1-H75)</f>
        <v>38.3406666929734</v>
      </c>
      <c r="J75" s="361" t="s">
        <v>291</v>
      </c>
      <c r="K75" s="363">
        <v>0</v>
      </c>
      <c r="L75" s="366">
        <f t="shared" si="3"/>
        <v>38.3406666929734</v>
      </c>
    </row>
    <row r="76" spans="2:12" x14ac:dyDescent="0.2">
      <c r="C76" s="559"/>
      <c r="D76" s="575"/>
      <c r="E76" s="566"/>
      <c r="F76" s="361" t="s">
        <v>829</v>
      </c>
      <c r="G76" s="361">
        <v>3.8999999999999998E-3</v>
      </c>
      <c r="H76" s="363">
        <v>0</v>
      </c>
      <c r="I76" s="315">
        <f>D74*G76*(1-H76)</f>
        <v>10.68061429304259</v>
      </c>
      <c r="J76" s="361" t="s">
        <v>291</v>
      </c>
      <c r="K76" s="363">
        <v>0</v>
      </c>
      <c r="L76" s="365">
        <f t="shared" si="3"/>
        <v>10.68061429304259</v>
      </c>
    </row>
    <row r="77" spans="2:12" x14ac:dyDescent="0.2">
      <c r="C77" s="559"/>
      <c r="D77" s="575"/>
      <c r="E77" s="566"/>
      <c r="F77" s="361" t="s">
        <v>819</v>
      </c>
      <c r="G77" s="362">
        <v>0.68600000000000005</v>
      </c>
      <c r="H77" s="363">
        <v>0</v>
      </c>
      <c r="I77" s="312">
        <f>D74*G77*(1-H77)</f>
        <v>1878.6926679556968</v>
      </c>
      <c r="J77" s="361" t="s">
        <v>291</v>
      </c>
      <c r="K77" s="363">
        <v>0.6</v>
      </c>
      <c r="L77" s="366">
        <f t="shared" si="3"/>
        <v>751.4770671822788</v>
      </c>
    </row>
    <row r="78" spans="2:12" x14ac:dyDescent="0.2">
      <c r="C78" s="559"/>
      <c r="D78" s="575"/>
      <c r="E78" s="566"/>
      <c r="F78" s="361" t="s">
        <v>821</v>
      </c>
      <c r="G78" s="362">
        <v>0.33</v>
      </c>
      <c r="H78" s="363">
        <v>0</v>
      </c>
      <c r="I78" s="312">
        <f>D74*G78*(1-H78)</f>
        <v>903.7442863343731</v>
      </c>
      <c r="J78" s="361" t="s">
        <v>291</v>
      </c>
      <c r="K78" s="363">
        <v>0</v>
      </c>
      <c r="L78" s="366">
        <f t="shared" si="3"/>
        <v>903.7442863343731</v>
      </c>
    </row>
    <row r="79" spans="2:12" x14ac:dyDescent="0.2">
      <c r="C79" s="559"/>
      <c r="D79" s="576"/>
      <c r="E79" s="566"/>
      <c r="F79" s="361" t="s">
        <v>820</v>
      </c>
      <c r="G79" s="362">
        <v>0.51900000000000002</v>
      </c>
      <c r="H79" s="363">
        <v>0</v>
      </c>
      <c r="I79" s="312">
        <f>D74*G79*(1-H79)</f>
        <v>1421.3432866895141</v>
      </c>
      <c r="J79" s="361" t="s">
        <v>291</v>
      </c>
      <c r="K79" s="363">
        <v>0</v>
      </c>
      <c r="L79" s="366">
        <f t="shared" si="3"/>
        <v>1421.3432866895141</v>
      </c>
    </row>
    <row r="80" spans="2:12" ht="15" customHeight="1" x14ac:dyDescent="0.2">
      <c r="C80" s="569" t="s">
        <v>726</v>
      </c>
      <c r="D80" s="570">
        <v>29717.696346742967</v>
      </c>
      <c r="E80" s="566" t="s">
        <v>81</v>
      </c>
      <c r="F80" s="361" t="s">
        <v>842</v>
      </c>
      <c r="G80" s="325">
        <v>0.4</v>
      </c>
      <c r="H80" s="363">
        <v>0</v>
      </c>
      <c r="I80" s="312">
        <f>D80*G80*(1-H80)</f>
        <v>11887.078538697187</v>
      </c>
      <c r="J80" s="361" t="s">
        <v>291</v>
      </c>
      <c r="K80" s="363">
        <v>0</v>
      </c>
      <c r="L80" s="364">
        <f t="shared" si="3"/>
        <v>11887.078538697187</v>
      </c>
    </row>
    <row r="81" spans="2:12" x14ac:dyDescent="0.2">
      <c r="C81" s="559"/>
      <c r="D81" s="575"/>
      <c r="E81" s="566"/>
      <c r="F81" s="361" t="s">
        <v>827</v>
      </c>
      <c r="G81" s="325">
        <v>0.2</v>
      </c>
      <c r="H81" s="363">
        <v>0</v>
      </c>
      <c r="I81" s="312">
        <f>D80*G81*(1-H81)</f>
        <v>5943.5392693485937</v>
      </c>
      <c r="J81" s="361" t="s">
        <v>291</v>
      </c>
      <c r="K81" s="363">
        <v>0</v>
      </c>
      <c r="L81" s="364">
        <f t="shared" si="3"/>
        <v>5943.5392693485937</v>
      </c>
    </row>
    <row r="82" spans="2:12" x14ac:dyDescent="0.2">
      <c r="C82" s="559"/>
      <c r="D82" s="575"/>
      <c r="E82" s="566"/>
      <c r="F82" s="361" t="s">
        <v>819</v>
      </c>
      <c r="G82" s="362">
        <v>0.32900000000000001</v>
      </c>
      <c r="H82" s="363">
        <v>0.9</v>
      </c>
      <c r="I82" s="312">
        <f>D80*G82*(1-H82)</f>
        <v>977.71220980784346</v>
      </c>
      <c r="J82" s="361" t="s">
        <v>291</v>
      </c>
      <c r="K82" s="363">
        <v>0.6</v>
      </c>
      <c r="L82" s="364">
        <f t="shared" si="3"/>
        <v>391.0848839231374</v>
      </c>
    </row>
    <row r="83" spans="2:12" x14ac:dyDescent="0.2">
      <c r="C83" s="559"/>
      <c r="D83" s="575"/>
      <c r="E83" s="566"/>
      <c r="F83" s="361" t="s">
        <v>843</v>
      </c>
      <c r="G83" s="362">
        <f>G80*20.01/188.02*8/1*0.98</f>
        <v>0.33374832464631426</v>
      </c>
      <c r="H83" s="363">
        <v>0.9</v>
      </c>
      <c r="I83" s="312">
        <f>D80*G83*(1-H83)</f>
        <v>991.82313680733569</v>
      </c>
      <c r="J83" s="361" t="s">
        <v>291</v>
      </c>
      <c r="K83" s="363">
        <v>0.6</v>
      </c>
      <c r="L83" s="364">
        <f t="shared" si="3"/>
        <v>396.72925472293429</v>
      </c>
    </row>
    <row r="84" spans="2:12" x14ac:dyDescent="0.2">
      <c r="C84" s="559"/>
      <c r="D84" s="575"/>
      <c r="E84" s="566"/>
      <c r="F84" s="361" t="s">
        <v>833</v>
      </c>
      <c r="G84" s="362">
        <f>G81*20.01/88*4/1*0.87</f>
        <v>0.15826090909090912</v>
      </c>
      <c r="H84" s="363">
        <v>0.9</v>
      </c>
      <c r="I84" s="312">
        <f>D80*G84*(1-H84)</f>
        <v>470.31496399231298</v>
      </c>
      <c r="J84" s="361" t="s">
        <v>291</v>
      </c>
      <c r="K84" s="363">
        <v>0.6</v>
      </c>
      <c r="L84" s="364">
        <f t="shared" si="3"/>
        <v>188.1259855969252</v>
      </c>
    </row>
    <row r="85" spans="2:12" x14ac:dyDescent="0.2">
      <c r="C85" s="559"/>
      <c r="D85" s="575"/>
      <c r="E85" s="566"/>
      <c r="F85" s="361" t="s">
        <v>821</v>
      </c>
      <c r="G85" s="362">
        <v>0.223</v>
      </c>
      <c r="H85" s="363">
        <v>0</v>
      </c>
      <c r="I85" s="312">
        <f>D80*G85*(1-H85)</f>
        <v>6627.0462853236813</v>
      </c>
      <c r="J85" s="361" t="s">
        <v>291</v>
      </c>
      <c r="K85" s="363">
        <v>0</v>
      </c>
      <c r="L85" s="364">
        <f t="shared" si="3"/>
        <v>6627.0462853236813</v>
      </c>
    </row>
    <row r="86" spans="2:12" x14ac:dyDescent="0.2">
      <c r="C86" s="559"/>
      <c r="D86" s="576"/>
      <c r="E86" s="566"/>
      <c r="F86" s="361" t="s">
        <v>820</v>
      </c>
      <c r="G86" s="361">
        <v>0.35099999999999998</v>
      </c>
      <c r="H86" s="363">
        <v>0</v>
      </c>
      <c r="I86" s="312">
        <f>D80*G86*(1-H86)</f>
        <v>10430.91141770678</v>
      </c>
      <c r="J86" s="361" t="s">
        <v>291</v>
      </c>
      <c r="K86" s="363">
        <v>0</v>
      </c>
      <c r="L86" s="364">
        <f t="shared" si="3"/>
        <v>10430.91141770678</v>
      </c>
    </row>
    <row r="87" spans="2:12" x14ac:dyDescent="0.2">
      <c r="C87" s="522" t="s">
        <v>727</v>
      </c>
      <c r="D87" s="374">
        <v>66.956066657933988</v>
      </c>
      <c r="E87" s="363" t="s">
        <v>81</v>
      </c>
      <c r="F87" s="361" t="s">
        <v>844</v>
      </c>
      <c r="G87" s="361">
        <v>0.05</v>
      </c>
      <c r="H87" s="363">
        <v>0</v>
      </c>
      <c r="I87" s="315">
        <f>D87*G87*(1-H87)</f>
        <v>3.3478033328966994</v>
      </c>
      <c r="J87" s="361" t="s">
        <v>291</v>
      </c>
      <c r="K87" s="363">
        <v>0</v>
      </c>
      <c r="L87" s="365">
        <f t="shared" si="3"/>
        <v>3.3478033328966994</v>
      </c>
    </row>
    <row r="88" spans="2:12" ht="12.95" customHeight="1" x14ac:dyDescent="0.2">
      <c r="C88" s="569" t="s">
        <v>728</v>
      </c>
      <c r="D88" s="570">
        <v>0</v>
      </c>
      <c r="E88" s="566" t="s">
        <v>81</v>
      </c>
      <c r="F88" s="361" t="s">
        <v>844</v>
      </c>
      <c r="G88" s="361">
        <v>0.2</v>
      </c>
      <c r="H88" s="363">
        <v>0</v>
      </c>
      <c r="I88" s="312">
        <f>D88*G88*(1-H88)</f>
        <v>0</v>
      </c>
      <c r="J88" s="361" t="s">
        <v>291</v>
      </c>
      <c r="K88" s="363">
        <v>0</v>
      </c>
      <c r="L88" s="366">
        <f t="shared" si="3"/>
        <v>0</v>
      </c>
    </row>
    <row r="89" spans="2:12" x14ac:dyDescent="0.2">
      <c r="C89" s="559"/>
      <c r="D89" s="576"/>
      <c r="E89" s="566"/>
      <c r="F89" s="361" t="s">
        <v>845</v>
      </c>
      <c r="G89" s="361">
        <v>1.67</v>
      </c>
      <c r="H89" s="363">
        <v>0</v>
      </c>
      <c r="I89" s="312">
        <f>D88*G89*(1-H89)</f>
        <v>0</v>
      </c>
      <c r="J89" s="361" t="s">
        <v>291</v>
      </c>
      <c r="K89" s="363">
        <v>0</v>
      </c>
      <c r="L89" s="364">
        <f t="shared" si="3"/>
        <v>0</v>
      </c>
    </row>
    <row r="90" spans="2:12" x14ac:dyDescent="0.2">
      <c r="C90" s="522" t="s">
        <v>728</v>
      </c>
      <c r="D90" s="374">
        <v>61.320365698883734</v>
      </c>
      <c r="E90" s="363" t="s">
        <v>81</v>
      </c>
      <c r="F90" s="361" t="s">
        <v>844</v>
      </c>
      <c r="G90" s="361">
        <v>1</v>
      </c>
      <c r="H90" s="363">
        <v>0</v>
      </c>
      <c r="I90" s="312">
        <f>D90*G90*(1-H90)</f>
        <v>61.320365698883734</v>
      </c>
      <c r="J90" s="361" t="s">
        <v>291</v>
      </c>
      <c r="K90" s="363">
        <v>0</v>
      </c>
      <c r="L90" s="366">
        <f t="shared" si="3"/>
        <v>61.320365698883734</v>
      </c>
    </row>
    <row r="91" spans="2:12" s="233" customFormat="1" ht="15" customHeight="1" x14ac:dyDescent="0.2">
      <c r="B91" s="109"/>
      <c r="C91" s="569" t="s">
        <v>729</v>
      </c>
      <c r="D91" s="570">
        <v>381.21145579735247</v>
      </c>
      <c r="E91" s="566" t="s">
        <v>81</v>
      </c>
      <c r="F91" s="361" t="s">
        <v>823</v>
      </c>
      <c r="G91" s="361">
        <v>0.69399999999999995</v>
      </c>
      <c r="H91" s="363">
        <v>0</v>
      </c>
      <c r="I91" s="312">
        <f>D91*G91*(1-H91)</f>
        <v>264.56075032336258</v>
      </c>
      <c r="J91" s="361" t="s">
        <v>291</v>
      </c>
      <c r="K91" s="363">
        <v>0.5</v>
      </c>
      <c r="L91" s="376">
        <f t="shared" si="3"/>
        <v>132.28037516168129</v>
      </c>
    </row>
    <row r="92" spans="2:12" x14ac:dyDescent="0.2">
      <c r="C92" s="559"/>
      <c r="D92" s="576"/>
      <c r="E92" s="566"/>
      <c r="F92" s="361" t="s">
        <v>845</v>
      </c>
      <c r="G92" s="361">
        <v>0.46300000000000002</v>
      </c>
      <c r="H92" s="363">
        <v>0</v>
      </c>
      <c r="I92" s="315">
        <f>D91*G92*(1-H92)</f>
        <v>176.5009040341742</v>
      </c>
      <c r="J92" s="361" t="s">
        <v>291</v>
      </c>
      <c r="K92" s="363">
        <v>0</v>
      </c>
      <c r="L92" s="366">
        <f t="shared" si="3"/>
        <v>176.5009040341742</v>
      </c>
    </row>
    <row r="93" spans="2:12" ht="12.95" customHeight="1" x14ac:dyDescent="0.2">
      <c r="C93" s="522" t="s">
        <v>730</v>
      </c>
      <c r="D93" s="374">
        <v>18704.238601033314</v>
      </c>
      <c r="E93" s="363" t="s">
        <v>81</v>
      </c>
      <c r="F93" s="361" t="s">
        <v>825</v>
      </c>
      <c r="G93" s="361">
        <v>1.87</v>
      </c>
      <c r="H93" s="363">
        <v>0.5</v>
      </c>
      <c r="I93" s="312">
        <f>D93*G93*(1-H93)</f>
        <v>17488.46309196615</v>
      </c>
      <c r="J93" s="361" t="s">
        <v>291</v>
      </c>
      <c r="K93" s="363">
        <v>0</v>
      </c>
      <c r="L93" s="364">
        <f t="shared" si="3"/>
        <v>17488.46309196615</v>
      </c>
    </row>
    <row r="94" spans="2:12" ht="15" customHeight="1" x14ac:dyDescent="0.2">
      <c r="C94" s="569" t="s">
        <v>731</v>
      </c>
      <c r="D94" s="570">
        <v>40</v>
      </c>
      <c r="E94" s="566" t="s">
        <v>81</v>
      </c>
      <c r="F94" s="361" t="s">
        <v>825</v>
      </c>
      <c r="G94" s="361">
        <v>0.57699999999999996</v>
      </c>
      <c r="H94" s="363">
        <v>0.5</v>
      </c>
      <c r="I94" s="312">
        <f>D94*G94*(1-H94)</f>
        <v>11.54</v>
      </c>
      <c r="J94" s="361" t="s">
        <v>291</v>
      </c>
      <c r="K94" s="363">
        <v>0</v>
      </c>
      <c r="L94" s="366">
        <f t="shared" si="3"/>
        <v>11.54</v>
      </c>
    </row>
    <row r="95" spans="2:12" ht="15" thickBot="1" x14ac:dyDescent="0.25">
      <c r="C95" s="578"/>
      <c r="D95" s="571"/>
      <c r="E95" s="567"/>
      <c r="F95" s="370" t="s">
        <v>819</v>
      </c>
      <c r="G95" s="370">
        <v>0.76900000000000002</v>
      </c>
      <c r="H95" s="369">
        <v>0.9</v>
      </c>
      <c r="I95" s="368">
        <f>D94*G95*(1-H95)</f>
        <v>3.0759999999999996</v>
      </c>
      <c r="J95" s="370" t="s">
        <v>291</v>
      </c>
      <c r="K95" s="369">
        <v>0.6</v>
      </c>
      <c r="L95" s="377">
        <f t="shared" si="3"/>
        <v>1.2303999999999999</v>
      </c>
    </row>
    <row r="96" spans="2:12" x14ac:dyDescent="0.2">
      <c r="C96" s="235"/>
      <c r="D96" s="236"/>
      <c r="E96" s="237"/>
      <c r="F96" s="234"/>
      <c r="G96" s="234"/>
      <c r="H96" s="237"/>
      <c r="I96" s="236"/>
      <c r="J96" s="234"/>
      <c r="K96" s="237"/>
      <c r="L96" s="236"/>
    </row>
    <row r="97" spans="2:12" ht="15" thickBot="1" x14ac:dyDescent="0.25">
      <c r="C97" s="276" t="s">
        <v>1903</v>
      </c>
    </row>
    <row r="98" spans="2:12" ht="15" customHeight="1" x14ac:dyDescent="0.2">
      <c r="C98" s="557" t="s">
        <v>803</v>
      </c>
      <c r="D98" s="543" t="s">
        <v>804</v>
      </c>
      <c r="E98" s="545" t="s">
        <v>210</v>
      </c>
      <c r="F98" s="545" t="s">
        <v>805</v>
      </c>
      <c r="G98" s="545" t="s">
        <v>806</v>
      </c>
      <c r="H98" s="547" t="s">
        <v>807</v>
      </c>
      <c r="I98" s="543" t="s">
        <v>808</v>
      </c>
      <c r="J98" s="545" t="s">
        <v>809</v>
      </c>
      <c r="K98" s="547" t="s">
        <v>810</v>
      </c>
      <c r="L98" s="549" t="s">
        <v>811</v>
      </c>
    </row>
    <row r="99" spans="2:12" ht="15" thickBot="1" x14ac:dyDescent="0.25">
      <c r="C99" s="558"/>
      <c r="D99" s="544"/>
      <c r="E99" s="546"/>
      <c r="F99" s="546"/>
      <c r="G99" s="546"/>
      <c r="H99" s="548"/>
      <c r="I99" s="544"/>
      <c r="J99" s="546"/>
      <c r="K99" s="548"/>
      <c r="L99" s="550"/>
    </row>
    <row r="100" spans="2:12" ht="15" customHeight="1" x14ac:dyDescent="0.2">
      <c r="C100" s="579" t="s">
        <v>732</v>
      </c>
      <c r="D100" s="553">
        <v>3119.1282296655313</v>
      </c>
      <c r="E100" s="577" t="s">
        <v>81</v>
      </c>
      <c r="F100" s="261" t="s">
        <v>846</v>
      </c>
      <c r="G100" s="378">
        <v>0.55000000000000004</v>
      </c>
      <c r="H100" s="358">
        <v>0</v>
      </c>
      <c r="I100" s="262">
        <f>D100*G100*(1-H100)</f>
        <v>1715.5205263160424</v>
      </c>
      <c r="J100" s="261" t="s">
        <v>291</v>
      </c>
      <c r="K100" s="358">
        <v>0</v>
      </c>
      <c r="L100" s="359">
        <f t="shared" ref="L100:L121" si="4">I100*(1-K100)</f>
        <v>1715.5205263160424</v>
      </c>
    </row>
    <row r="101" spans="2:12" x14ac:dyDescent="0.2">
      <c r="C101" s="559"/>
      <c r="D101" s="561"/>
      <c r="E101" s="566"/>
      <c r="F101" s="361" t="s">
        <v>827</v>
      </c>
      <c r="G101" s="325">
        <v>0.13</v>
      </c>
      <c r="H101" s="363">
        <v>0</v>
      </c>
      <c r="I101" s="312">
        <f>D100*G101*(1-H101)</f>
        <v>405.48666985651909</v>
      </c>
      <c r="J101" s="361" t="s">
        <v>291</v>
      </c>
      <c r="K101" s="363">
        <v>0</v>
      </c>
      <c r="L101" s="364">
        <f t="shared" si="4"/>
        <v>405.48666985651909</v>
      </c>
    </row>
    <row r="102" spans="2:12" x14ac:dyDescent="0.2">
      <c r="C102" s="559"/>
      <c r="D102" s="561"/>
      <c r="E102" s="566"/>
      <c r="F102" s="361" t="s">
        <v>828</v>
      </c>
      <c r="G102" s="325">
        <v>0.11</v>
      </c>
      <c r="H102" s="363">
        <v>0</v>
      </c>
      <c r="I102" s="312">
        <f>D100*G102*(1-H102)</f>
        <v>343.10410526320845</v>
      </c>
      <c r="J102" s="361" t="s">
        <v>291</v>
      </c>
      <c r="K102" s="363">
        <v>0</v>
      </c>
      <c r="L102" s="364">
        <f t="shared" si="4"/>
        <v>343.10410526320845</v>
      </c>
    </row>
    <row r="103" spans="2:12" x14ac:dyDescent="0.2">
      <c r="C103" s="559"/>
      <c r="D103" s="561"/>
      <c r="E103" s="566"/>
      <c r="F103" s="361" t="s">
        <v>829</v>
      </c>
      <c r="G103" s="367">
        <v>1.1999999999999999E-3</v>
      </c>
      <c r="H103" s="363">
        <v>0</v>
      </c>
      <c r="I103" s="315">
        <f>D100*G103*(1-H103)</f>
        <v>3.7429538755986371</v>
      </c>
      <c r="J103" s="361" t="s">
        <v>291</v>
      </c>
      <c r="K103" s="363">
        <v>0</v>
      </c>
      <c r="L103" s="379">
        <f t="shared" si="4"/>
        <v>3.7429538755986371</v>
      </c>
    </row>
    <row r="104" spans="2:12" x14ac:dyDescent="0.2">
      <c r="C104" s="559"/>
      <c r="D104" s="561"/>
      <c r="E104" s="566"/>
      <c r="F104" s="361" t="s">
        <v>819</v>
      </c>
      <c r="G104" s="361">
        <v>0.155</v>
      </c>
      <c r="H104" s="363">
        <f>0.9*0.37</f>
        <v>0.33300000000000002</v>
      </c>
      <c r="I104" s="312">
        <f>D100*G104*(1-H104)</f>
        <v>322.47107202397098</v>
      </c>
      <c r="J104" s="361" t="s">
        <v>291</v>
      </c>
      <c r="K104" s="363">
        <v>0.6</v>
      </c>
      <c r="L104" s="366">
        <f>I104*(1-K104)</f>
        <v>128.98842880958838</v>
      </c>
    </row>
    <row r="105" spans="2:12" ht="12.95" customHeight="1" x14ac:dyDescent="0.2">
      <c r="C105" s="559"/>
      <c r="D105" s="554"/>
      <c r="E105" s="566"/>
      <c r="F105" s="361" t="s">
        <v>847</v>
      </c>
      <c r="G105" s="361">
        <v>0.439</v>
      </c>
      <c r="H105" s="363">
        <v>0</v>
      </c>
      <c r="I105" s="312">
        <f>D100*G105*(1-H105)</f>
        <v>1369.2972928231682</v>
      </c>
      <c r="J105" s="361" t="s">
        <v>291</v>
      </c>
      <c r="K105" s="363">
        <v>0.4</v>
      </c>
      <c r="L105" s="366">
        <f t="shared" si="4"/>
        <v>821.57837569390085</v>
      </c>
    </row>
    <row r="106" spans="2:12" x14ac:dyDescent="0.2">
      <c r="C106" s="470" t="s">
        <v>732</v>
      </c>
      <c r="D106" s="312">
        <v>0</v>
      </c>
      <c r="E106" s="363" t="s">
        <v>81</v>
      </c>
      <c r="F106" s="361" t="s">
        <v>846</v>
      </c>
      <c r="G106" s="324">
        <v>1</v>
      </c>
      <c r="H106" s="363">
        <v>0</v>
      </c>
      <c r="I106" s="312">
        <f>D106*G106*(1-H106)</f>
        <v>0</v>
      </c>
      <c r="J106" s="361" t="s">
        <v>32</v>
      </c>
      <c r="K106" s="363">
        <v>0</v>
      </c>
      <c r="L106" s="366">
        <f t="shared" si="4"/>
        <v>0</v>
      </c>
    </row>
    <row r="107" spans="2:12" s="233" customFormat="1" ht="15" customHeight="1" x14ac:dyDescent="0.2">
      <c r="B107" s="109"/>
      <c r="C107" s="559" t="s">
        <v>733</v>
      </c>
      <c r="D107" s="560">
        <v>4173.1448583817019</v>
      </c>
      <c r="E107" s="566" t="s">
        <v>81</v>
      </c>
      <c r="F107" s="361" t="s">
        <v>825</v>
      </c>
      <c r="G107" s="361">
        <v>0.28799999999999998</v>
      </c>
      <c r="H107" s="363">
        <v>0.5</v>
      </c>
      <c r="I107" s="312">
        <f>D107*G107*(1-H107)</f>
        <v>600.93285960696505</v>
      </c>
      <c r="J107" s="361" t="s">
        <v>291</v>
      </c>
      <c r="K107" s="363">
        <v>0</v>
      </c>
      <c r="L107" s="364">
        <f t="shared" si="4"/>
        <v>600.93285960696505</v>
      </c>
    </row>
    <row r="108" spans="2:12" x14ac:dyDescent="0.2">
      <c r="C108" s="559"/>
      <c r="D108" s="561"/>
      <c r="E108" s="566"/>
      <c r="F108" s="361" t="s">
        <v>848</v>
      </c>
      <c r="G108" s="361">
        <v>0.221</v>
      </c>
      <c r="H108" s="363">
        <v>0</v>
      </c>
      <c r="I108" s="312">
        <f>D107*G108*(1-H108)</f>
        <v>922.2650137023561</v>
      </c>
      <c r="J108" s="361" t="s">
        <v>291</v>
      </c>
      <c r="K108" s="363">
        <v>0</v>
      </c>
      <c r="L108" s="364">
        <f t="shared" si="4"/>
        <v>922.2650137023561</v>
      </c>
    </row>
    <row r="109" spans="2:12" ht="12.95" customHeight="1" x14ac:dyDescent="0.2">
      <c r="C109" s="559"/>
      <c r="D109" s="561"/>
      <c r="E109" s="566"/>
      <c r="F109" s="361" t="s">
        <v>821</v>
      </c>
      <c r="G109" s="361">
        <v>0.26900000000000002</v>
      </c>
      <c r="H109" s="363">
        <v>0</v>
      </c>
      <c r="I109" s="312">
        <f>D107*G109*(1-H109)</f>
        <v>1122.5759669046779</v>
      </c>
      <c r="J109" s="361" t="s">
        <v>291</v>
      </c>
      <c r="K109" s="363">
        <v>0</v>
      </c>
      <c r="L109" s="364">
        <f t="shared" si="4"/>
        <v>1122.5759669046779</v>
      </c>
    </row>
    <row r="110" spans="2:12" x14ac:dyDescent="0.2">
      <c r="C110" s="559"/>
      <c r="D110" s="554"/>
      <c r="E110" s="566"/>
      <c r="F110" s="361" t="s">
        <v>820</v>
      </c>
      <c r="G110" s="361">
        <v>0.84499999999999997</v>
      </c>
      <c r="H110" s="363">
        <v>0</v>
      </c>
      <c r="I110" s="312">
        <f>D107*G110*(1-H110)</f>
        <v>3526.3074053325381</v>
      </c>
      <c r="J110" s="361" t="s">
        <v>291</v>
      </c>
      <c r="K110" s="363">
        <v>0</v>
      </c>
      <c r="L110" s="364">
        <f t="shared" si="4"/>
        <v>3526.3074053325381</v>
      </c>
    </row>
    <row r="111" spans="2:12" ht="15" customHeight="1" x14ac:dyDescent="0.2">
      <c r="C111" s="559" t="s">
        <v>849</v>
      </c>
      <c r="D111" s="560">
        <v>0</v>
      </c>
      <c r="E111" s="566" t="s">
        <v>81</v>
      </c>
      <c r="F111" s="361" t="s">
        <v>827</v>
      </c>
      <c r="G111" s="361">
        <v>0.92</v>
      </c>
      <c r="H111" s="363">
        <v>0</v>
      </c>
      <c r="I111" s="312">
        <f>D111*G111*(1-H111)</f>
        <v>0</v>
      </c>
      <c r="J111" s="361" t="s">
        <v>291</v>
      </c>
      <c r="K111" s="363">
        <v>0</v>
      </c>
      <c r="L111" s="364">
        <f t="shared" si="4"/>
        <v>0</v>
      </c>
    </row>
    <row r="112" spans="2:12" x14ac:dyDescent="0.2">
      <c r="C112" s="559"/>
      <c r="D112" s="561"/>
      <c r="E112" s="566"/>
      <c r="F112" s="361" t="s">
        <v>819</v>
      </c>
      <c r="G112" s="361">
        <v>7.2999999999999995E-2</v>
      </c>
      <c r="H112" s="363">
        <v>0.9</v>
      </c>
      <c r="I112" s="312">
        <f>D111*G112*(1-H112)</f>
        <v>0</v>
      </c>
      <c r="J112" s="361" t="s">
        <v>291</v>
      </c>
      <c r="K112" s="363">
        <v>0.6</v>
      </c>
      <c r="L112" s="364">
        <f t="shared" si="4"/>
        <v>0</v>
      </c>
    </row>
    <row r="113" spans="2:12" x14ac:dyDescent="0.2">
      <c r="C113" s="559"/>
      <c r="D113" s="561"/>
      <c r="E113" s="566"/>
      <c r="F113" s="361" t="s">
        <v>833</v>
      </c>
      <c r="G113" s="362">
        <f>G111*20.01/88*4/1*0.87</f>
        <v>0.72800018181818194</v>
      </c>
      <c r="H113" s="363">
        <v>0.9</v>
      </c>
      <c r="I113" s="312">
        <f>D111*G113*(1-H113)</f>
        <v>0</v>
      </c>
      <c r="J113" s="361" t="s">
        <v>291</v>
      </c>
      <c r="K113" s="363">
        <v>0.6</v>
      </c>
      <c r="L113" s="364">
        <f>I113*(1-K113)</f>
        <v>0</v>
      </c>
    </row>
    <row r="114" spans="2:12" x14ac:dyDescent="0.2">
      <c r="C114" s="559"/>
      <c r="D114" s="561"/>
      <c r="E114" s="566"/>
      <c r="F114" s="361" t="s">
        <v>821</v>
      </c>
      <c r="G114" s="361">
        <v>0.159</v>
      </c>
      <c r="H114" s="363">
        <v>0</v>
      </c>
      <c r="I114" s="312">
        <f>D111*G114*(1-H114)</f>
        <v>0</v>
      </c>
      <c r="J114" s="361" t="s">
        <v>291</v>
      </c>
      <c r="K114" s="363">
        <v>0</v>
      </c>
      <c r="L114" s="364">
        <f t="shared" si="4"/>
        <v>0</v>
      </c>
    </row>
    <row r="115" spans="2:12" x14ac:dyDescent="0.2">
      <c r="C115" s="559"/>
      <c r="D115" s="554"/>
      <c r="E115" s="566"/>
      <c r="F115" s="361" t="s">
        <v>820</v>
      </c>
      <c r="G115" s="362">
        <v>0.25</v>
      </c>
      <c r="H115" s="363">
        <v>0</v>
      </c>
      <c r="I115" s="312">
        <f>D111*G115*(1-H115)</f>
        <v>0</v>
      </c>
      <c r="J115" s="361" t="s">
        <v>291</v>
      </c>
      <c r="K115" s="363">
        <v>0</v>
      </c>
      <c r="L115" s="364">
        <f t="shared" si="4"/>
        <v>0</v>
      </c>
    </row>
    <row r="116" spans="2:12" ht="15" customHeight="1" x14ac:dyDescent="0.2">
      <c r="C116" s="559" t="s">
        <v>849</v>
      </c>
      <c r="D116" s="560">
        <v>48335.545568291549</v>
      </c>
      <c r="E116" s="566" t="s">
        <v>81</v>
      </c>
      <c r="F116" s="361" t="s">
        <v>827</v>
      </c>
      <c r="G116" s="361">
        <v>0.73</v>
      </c>
      <c r="H116" s="363">
        <v>0</v>
      </c>
      <c r="I116" s="312">
        <f>D116*G116*(1-H116)</f>
        <v>35284.948264852828</v>
      </c>
      <c r="J116" s="361" t="s">
        <v>291</v>
      </c>
      <c r="K116" s="363">
        <v>0</v>
      </c>
      <c r="L116" s="364">
        <f t="shared" si="4"/>
        <v>35284.948264852828</v>
      </c>
    </row>
    <row r="117" spans="2:12" x14ac:dyDescent="0.2">
      <c r="C117" s="559"/>
      <c r="D117" s="561"/>
      <c r="E117" s="566"/>
      <c r="F117" s="361" t="s">
        <v>828</v>
      </c>
      <c r="G117" s="361">
        <v>4.1000000000000002E-2</v>
      </c>
      <c r="H117" s="363">
        <v>0</v>
      </c>
      <c r="I117" s="312">
        <f>D116*G117*(1-H117)</f>
        <v>1981.7573682999537</v>
      </c>
      <c r="J117" s="361" t="s">
        <v>291</v>
      </c>
      <c r="K117" s="363">
        <v>0</v>
      </c>
      <c r="L117" s="364">
        <f t="shared" si="4"/>
        <v>1981.7573682999537</v>
      </c>
    </row>
    <row r="118" spans="2:12" x14ac:dyDescent="0.2">
      <c r="C118" s="559"/>
      <c r="D118" s="561"/>
      <c r="E118" s="566"/>
      <c r="F118" s="361" t="s">
        <v>829</v>
      </c>
      <c r="G118" s="325">
        <v>9.0999999999999998E-2</v>
      </c>
      <c r="H118" s="363">
        <v>0</v>
      </c>
      <c r="I118" s="312">
        <f>D116*G118*(1-H118)</f>
        <v>4398.5346467145309</v>
      </c>
      <c r="J118" s="361" t="s">
        <v>291</v>
      </c>
      <c r="K118" s="363">
        <v>0</v>
      </c>
      <c r="L118" s="364">
        <f>I118*(1-K118)</f>
        <v>4398.5346467145309</v>
      </c>
    </row>
    <row r="119" spans="2:12" x14ac:dyDescent="0.2">
      <c r="C119" s="559"/>
      <c r="D119" s="561"/>
      <c r="E119" s="566"/>
      <c r="F119" s="361" t="s">
        <v>819</v>
      </c>
      <c r="G119" s="361">
        <v>0.13200000000000001</v>
      </c>
      <c r="H119" s="363">
        <v>0</v>
      </c>
      <c r="I119" s="312">
        <f>D116*G119*(1-H119)</f>
        <v>6380.2920150144846</v>
      </c>
      <c r="J119" s="361" t="s">
        <v>291</v>
      </c>
      <c r="K119" s="363">
        <v>0.6</v>
      </c>
      <c r="L119" s="364">
        <f t="shared" si="4"/>
        <v>2552.1168060057939</v>
      </c>
    </row>
    <row r="120" spans="2:12" x14ac:dyDescent="0.2">
      <c r="C120" s="559"/>
      <c r="D120" s="561"/>
      <c r="E120" s="566"/>
      <c r="F120" s="361" t="s">
        <v>821</v>
      </c>
      <c r="G120" s="361">
        <v>0.159</v>
      </c>
      <c r="H120" s="363">
        <v>0</v>
      </c>
      <c r="I120" s="312">
        <f>D116*G120*(1-H120)</f>
        <v>7685.3517453583563</v>
      </c>
      <c r="J120" s="361" t="s">
        <v>291</v>
      </c>
      <c r="K120" s="363">
        <v>0</v>
      </c>
      <c r="L120" s="364">
        <f t="shared" si="4"/>
        <v>7685.3517453583563</v>
      </c>
    </row>
    <row r="121" spans="2:12" x14ac:dyDescent="0.2">
      <c r="C121" s="559"/>
      <c r="D121" s="554"/>
      <c r="E121" s="566"/>
      <c r="F121" s="361" t="s">
        <v>820</v>
      </c>
      <c r="G121" s="362">
        <v>0.25</v>
      </c>
      <c r="H121" s="363">
        <v>0</v>
      </c>
      <c r="I121" s="312">
        <f>D116*G121*(1-H121)</f>
        <v>12083.886392072887</v>
      </c>
      <c r="J121" s="361" t="s">
        <v>291</v>
      </c>
      <c r="K121" s="363">
        <v>0</v>
      </c>
      <c r="L121" s="364">
        <f t="shared" si="4"/>
        <v>12083.886392072887</v>
      </c>
    </row>
    <row r="122" spans="2:12" s="233" customFormat="1" ht="15" customHeight="1" x14ac:dyDescent="0.2">
      <c r="B122" s="109"/>
      <c r="C122" s="559" t="s">
        <v>734</v>
      </c>
      <c r="D122" s="560">
        <v>55.00285815352823</v>
      </c>
      <c r="E122" s="566" t="s">
        <v>81</v>
      </c>
      <c r="F122" s="361" t="s">
        <v>850</v>
      </c>
      <c r="G122" s="361">
        <v>0.80400000000000005</v>
      </c>
      <c r="H122" s="363">
        <v>0</v>
      </c>
      <c r="I122" s="312">
        <f>D122*G122*(1-H122)</f>
        <v>44.222297955436701</v>
      </c>
      <c r="J122" s="361" t="s">
        <v>291</v>
      </c>
      <c r="K122" s="363">
        <v>0</v>
      </c>
      <c r="L122" s="366">
        <f>I122*(1-K122)</f>
        <v>44.222297955436701</v>
      </c>
    </row>
    <row r="123" spans="2:12" ht="15" thickBot="1" x14ac:dyDescent="0.25">
      <c r="C123" s="564"/>
      <c r="D123" s="565"/>
      <c r="E123" s="567"/>
      <c r="F123" s="370" t="s">
        <v>851</v>
      </c>
      <c r="G123" s="370">
        <v>0.35599999999999998</v>
      </c>
      <c r="H123" s="369">
        <v>0</v>
      </c>
      <c r="I123" s="368">
        <f>D122*G123*(1-H123)</f>
        <v>19.581017502656049</v>
      </c>
      <c r="J123" s="370" t="s">
        <v>291</v>
      </c>
      <c r="K123" s="369">
        <v>0</v>
      </c>
      <c r="L123" s="377">
        <f>I123*(1-K123)</f>
        <v>19.581017502656049</v>
      </c>
    </row>
    <row r="124" spans="2:12" x14ac:dyDescent="0.2">
      <c r="C124" s="235"/>
      <c r="D124" s="236"/>
      <c r="E124" s="237"/>
      <c r="F124" s="234"/>
      <c r="G124" s="234"/>
      <c r="H124" s="237"/>
      <c r="I124" s="236"/>
      <c r="J124" s="234"/>
      <c r="K124" s="237"/>
      <c r="L124" s="236"/>
    </row>
    <row r="125" spans="2:12" ht="15" thickBot="1" x14ac:dyDescent="0.25">
      <c r="C125" s="276" t="s">
        <v>1903</v>
      </c>
    </row>
    <row r="126" spans="2:12" ht="15" customHeight="1" x14ac:dyDescent="0.2">
      <c r="C126" s="557" t="s">
        <v>803</v>
      </c>
      <c r="D126" s="543" t="s">
        <v>804</v>
      </c>
      <c r="E126" s="545" t="s">
        <v>210</v>
      </c>
      <c r="F126" s="545" t="s">
        <v>805</v>
      </c>
      <c r="G126" s="545" t="s">
        <v>806</v>
      </c>
      <c r="H126" s="547" t="s">
        <v>807</v>
      </c>
      <c r="I126" s="543" t="s">
        <v>808</v>
      </c>
      <c r="J126" s="545" t="s">
        <v>809</v>
      </c>
      <c r="K126" s="547" t="s">
        <v>810</v>
      </c>
      <c r="L126" s="549" t="s">
        <v>811</v>
      </c>
    </row>
    <row r="127" spans="2:12" ht="15" thickBot="1" x14ac:dyDescent="0.25">
      <c r="C127" s="584"/>
      <c r="D127" s="580"/>
      <c r="E127" s="581"/>
      <c r="F127" s="581"/>
      <c r="G127" s="581"/>
      <c r="H127" s="582"/>
      <c r="I127" s="580"/>
      <c r="J127" s="581"/>
      <c r="K127" s="582"/>
      <c r="L127" s="583"/>
    </row>
    <row r="128" spans="2:12" x14ac:dyDescent="0.2">
      <c r="C128" s="589" t="s">
        <v>852</v>
      </c>
      <c r="D128" s="586">
        <v>327</v>
      </c>
      <c r="E128" s="585" t="s">
        <v>81</v>
      </c>
      <c r="F128" s="272" t="s">
        <v>853</v>
      </c>
      <c r="G128" s="272">
        <v>0.19400000000000001</v>
      </c>
      <c r="H128" s="271">
        <v>0</v>
      </c>
      <c r="I128" s="273">
        <f>D128*G128*(1-H128)</f>
        <v>63.438000000000002</v>
      </c>
      <c r="J128" s="272" t="s">
        <v>291</v>
      </c>
      <c r="K128" s="271">
        <v>0</v>
      </c>
      <c r="L128" s="274">
        <f>I128*(1-K128)</f>
        <v>63.438000000000002</v>
      </c>
    </row>
    <row r="129" spans="1:13" x14ac:dyDescent="0.2">
      <c r="C129" s="590"/>
      <c r="D129" s="587"/>
      <c r="E129" s="566"/>
      <c r="F129" s="361" t="s">
        <v>821</v>
      </c>
      <c r="G129" s="361">
        <v>0.16900000000000001</v>
      </c>
      <c r="H129" s="363">
        <v>0</v>
      </c>
      <c r="I129" s="312">
        <f>D128*G129*(1-H129)</f>
        <v>55.263000000000005</v>
      </c>
      <c r="J129" s="361" t="s">
        <v>291</v>
      </c>
      <c r="K129" s="363">
        <v>0</v>
      </c>
      <c r="L129" s="364">
        <f>I129*(1-K129)</f>
        <v>55.263000000000005</v>
      </c>
    </row>
    <row r="130" spans="1:13" x14ac:dyDescent="0.2">
      <c r="C130" s="590"/>
      <c r="D130" s="587"/>
      <c r="E130" s="566"/>
      <c r="F130" s="361" t="s">
        <v>820</v>
      </c>
      <c r="G130" s="361">
        <v>0.53200000000000003</v>
      </c>
      <c r="H130" s="363">
        <v>0</v>
      </c>
      <c r="I130" s="312">
        <f>D128*G130*(1-H130)</f>
        <v>173.964</v>
      </c>
      <c r="J130" s="361" t="s">
        <v>291</v>
      </c>
      <c r="K130" s="363">
        <v>0</v>
      </c>
      <c r="L130" s="364">
        <f>I130*(1-K130)</f>
        <v>173.964</v>
      </c>
    </row>
    <row r="131" spans="1:13" x14ac:dyDescent="0.2">
      <c r="C131" s="591"/>
      <c r="D131" s="588"/>
      <c r="E131" s="566"/>
      <c r="F131" s="380" t="s">
        <v>854</v>
      </c>
      <c r="G131" s="361">
        <v>0.56999999999999995</v>
      </c>
      <c r="H131" s="363">
        <v>0</v>
      </c>
      <c r="I131" s="312">
        <f>D128*G131*(1-H131)</f>
        <v>186.39</v>
      </c>
      <c r="J131" s="361" t="s">
        <v>291</v>
      </c>
      <c r="K131" s="363">
        <v>0</v>
      </c>
      <c r="L131" s="364">
        <f>I131*(1-K131)</f>
        <v>186.39</v>
      </c>
    </row>
    <row r="132" spans="1:13" ht="15" customHeight="1" x14ac:dyDescent="0.2">
      <c r="C132" s="559" t="s">
        <v>735</v>
      </c>
      <c r="D132" s="560">
        <v>1486.3050420529712</v>
      </c>
      <c r="E132" s="566" t="s">
        <v>81</v>
      </c>
      <c r="F132" s="361" t="s">
        <v>829</v>
      </c>
      <c r="G132" s="325">
        <v>0.51</v>
      </c>
      <c r="H132" s="363">
        <v>0</v>
      </c>
      <c r="I132" s="312">
        <f>D132*G132*(1-H132)</f>
        <v>758.0155714470153</v>
      </c>
      <c r="J132" s="361" t="s">
        <v>291</v>
      </c>
      <c r="K132" s="363">
        <v>0</v>
      </c>
      <c r="L132" s="364">
        <f t="shared" ref="L132:L137" si="5">I132*(1-K132)</f>
        <v>758.0155714470153</v>
      </c>
    </row>
    <row r="133" spans="1:13" x14ac:dyDescent="0.2">
      <c r="C133" s="559"/>
      <c r="D133" s="561"/>
      <c r="E133" s="566"/>
      <c r="F133" s="361" t="s">
        <v>827</v>
      </c>
      <c r="G133" s="361">
        <v>8.5000000000000006E-2</v>
      </c>
      <c r="H133" s="363">
        <v>0</v>
      </c>
      <c r="I133" s="312">
        <f>D132*G133*(1-H133)</f>
        <v>126.33592857450256</v>
      </c>
      <c r="J133" s="361" t="s">
        <v>291</v>
      </c>
      <c r="K133" s="363">
        <v>0</v>
      </c>
      <c r="L133" s="364">
        <f t="shared" si="5"/>
        <v>126.33592857450256</v>
      </c>
    </row>
    <row r="134" spans="1:13" x14ac:dyDescent="0.2">
      <c r="C134" s="559"/>
      <c r="D134" s="561"/>
      <c r="E134" s="566"/>
      <c r="F134" s="361" t="s">
        <v>828</v>
      </c>
      <c r="G134" s="362">
        <v>3.5000000000000003E-2</v>
      </c>
      <c r="H134" s="363">
        <v>0</v>
      </c>
      <c r="I134" s="312">
        <f>D132*G134*(1-H134)</f>
        <v>52.020676471853996</v>
      </c>
      <c r="J134" s="361" t="s">
        <v>291</v>
      </c>
      <c r="K134" s="363">
        <v>0</v>
      </c>
      <c r="L134" s="364">
        <f t="shared" si="5"/>
        <v>52.020676471853996</v>
      </c>
    </row>
    <row r="135" spans="1:13" x14ac:dyDescent="0.2">
      <c r="C135" s="559"/>
      <c r="D135" s="561"/>
      <c r="E135" s="566"/>
      <c r="F135" s="361" t="s">
        <v>819</v>
      </c>
      <c r="G135" s="362">
        <v>0.312</v>
      </c>
      <c r="H135" s="363">
        <f>0.9*0.09</f>
        <v>8.1000000000000003E-2</v>
      </c>
      <c r="I135" s="312">
        <f>D132*G135*(1-H135)</f>
        <v>426.16527209776433</v>
      </c>
      <c r="J135" s="361" t="s">
        <v>291</v>
      </c>
      <c r="K135" s="363">
        <v>0.6</v>
      </c>
      <c r="L135" s="364">
        <f t="shared" si="5"/>
        <v>170.46610883910574</v>
      </c>
    </row>
    <row r="136" spans="1:13" ht="12.95" customHeight="1" x14ac:dyDescent="0.2">
      <c r="C136" s="559"/>
      <c r="D136" s="561"/>
      <c r="E136" s="566"/>
      <c r="F136" s="361" t="s">
        <v>821</v>
      </c>
      <c r="G136" s="362">
        <v>0.2</v>
      </c>
      <c r="H136" s="363">
        <v>0</v>
      </c>
      <c r="I136" s="312">
        <f>D132*G136*(1-H136)</f>
        <v>297.26100841059423</v>
      </c>
      <c r="J136" s="361" t="s">
        <v>291</v>
      </c>
      <c r="K136" s="363">
        <v>0</v>
      </c>
      <c r="L136" s="364">
        <f t="shared" si="5"/>
        <v>297.26100841059423</v>
      </c>
    </row>
    <row r="137" spans="1:13" x14ac:dyDescent="0.2">
      <c r="C137" s="559"/>
      <c r="D137" s="554"/>
      <c r="E137" s="566"/>
      <c r="F137" s="361" t="s">
        <v>820</v>
      </c>
      <c r="G137" s="361">
        <v>0.314</v>
      </c>
      <c r="H137" s="363">
        <v>0</v>
      </c>
      <c r="I137" s="312">
        <f>D132*G137*(1-H137)</f>
        <v>466.69978320463298</v>
      </c>
      <c r="J137" s="361" t="s">
        <v>291</v>
      </c>
      <c r="K137" s="363">
        <v>0</v>
      </c>
      <c r="L137" s="364">
        <f t="shared" si="5"/>
        <v>466.69978320463298</v>
      </c>
    </row>
    <row r="138" spans="1:13" ht="15" customHeight="1" x14ac:dyDescent="0.2">
      <c r="C138" s="559" t="s">
        <v>736</v>
      </c>
      <c r="D138" s="560">
        <v>6504.0699239999994</v>
      </c>
      <c r="E138" s="566" t="s">
        <v>81</v>
      </c>
      <c r="F138" s="361" t="s">
        <v>855</v>
      </c>
      <c r="G138" s="361">
        <v>0.77800000000000002</v>
      </c>
      <c r="H138" s="363">
        <v>0.95</v>
      </c>
      <c r="I138" s="312">
        <f>D138*G138*(1-H138)</f>
        <v>253.00832004360024</v>
      </c>
      <c r="J138" s="361" t="s">
        <v>291</v>
      </c>
      <c r="K138" s="363">
        <v>0</v>
      </c>
      <c r="L138" s="364">
        <f>I138*(1-K138)</f>
        <v>253.00832004360024</v>
      </c>
    </row>
    <row r="139" spans="1:13" ht="15" thickBot="1" x14ac:dyDescent="0.25">
      <c r="C139" s="564"/>
      <c r="D139" s="565"/>
      <c r="E139" s="567"/>
      <c r="F139" s="370" t="s">
        <v>819</v>
      </c>
      <c r="G139" s="370">
        <v>0.40300000000000002</v>
      </c>
      <c r="H139" s="369">
        <v>0.9</v>
      </c>
      <c r="I139" s="368">
        <f>D138*G139*(1-H139)</f>
        <v>262.11401793719995</v>
      </c>
      <c r="J139" s="370" t="s">
        <v>291</v>
      </c>
      <c r="K139" s="369">
        <v>0.6</v>
      </c>
      <c r="L139" s="377">
        <f>I139*(1-K139)</f>
        <v>104.84560717487999</v>
      </c>
    </row>
    <row r="140" spans="1:13" ht="12.75" x14ac:dyDescent="0.2">
      <c r="A140" s="241"/>
      <c r="B140" s="242"/>
      <c r="C140" s="243" t="s">
        <v>856</v>
      </c>
      <c r="D140" s="243"/>
      <c r="E140" s="244"/>
      <c r="F140" s="46"/>
      <c r="G140" s="245"/>
      <c r="H140" s="245"/>
      <c r="I140" s="246"/>
      <c r="J140" s="244"/>
      <c r="K140" s="245"/>
      <c r="L140" s="246"/>
      <c r="M140" s="275"/>
    </row>
    <row r="141" spans="1:13" ht="13.5" customHeight="1" x14ac:dyDescent="0.2">
      <c r="A141" s="241"/>
      <c r="B141" s="242">
        <v>1</v>
      </c>
      <c r="C141" s="241" t="s">
        <v>857</v>
      </c>
      <c r="D141" s="241"/>
      <c r="E141" s="241"/>
      <c r="F141" s="241"/>
      <c r="G141" s="241"/>
      <c r="H141" s="241"/>
      <c r="I141" s="241"/>
      <c r="J141" s="241"/>
      <c r="K141" s="241"/>
      <c r="L141" s="241"/>
      <c r="M141" s="241"/>
    </row>
    <row r="142" spans="1:13" ht="13.5" customHeight="1" x14ac:dyDescent="0.2">
      <c r="A142" s="241"/>
      <c r="B142" s="242">
        <v>2</v>
      </c>
      <c r="C142" s="241" t="s">
        <v>1901</v>
      </c>
      <c r="D142" s="241"/>
      <c r="E142" s="241"/>
      <c r="F142" s="241"/>
      <c r="G142" s="241"/>
      <c r="H142" s="241"/>
      <c r="I142" s="241"/>
      <c r="J142" s="241"/>
      <c r="K142" s="241"/>
      <c r="L142" s="241"/>
      <c r="M142" s="241"/>
    </row>
    <row r="143" spans="1:13" ht="13.5" customHeight="1" x14ac:dyDescent="0.2">
      <c r="A143" s="241"/>
      <c r="B143" s="242">
        <v>3</v>
      </c>
      <c r="C143" s="241" t="s">
        <v>858</v>
      </c>
      <c r="D143" s="241"/>
      <c r="E143" s="241"/>
      <c r="F143" s="241"/>
      <c r="G143" s="241"/>
      <c r="H143" s="241"/>
      <c r="I143" s="241"/>
      <c r="J143" s="241"/>
      <c r="K143" s="241"/>
      <c r="L143" s="241"/>
      <c r="M143" s="241"/>
    </row>
    <row r="144" spans="1:13" ht="13.5" customHeight="1" x14ac:dyDescent="0.2">
      <c r="A144" s="241"/>
      <c r="B144" s="242">
        <v>4</v>
      </c>
      <c r="C144" s="241" t="s">
        <v>859</v>
      </c>
      <c r="D144" s="241"/>
      <c r="E144" s="241"/>
      <c r="F144" s="241"/>
      <c r="G144" s="241"/>
      <c r="H144" s="241"/>
      <c r="I144" s="241"/>
      <c r="J144" s="241"/>
      <c r="K144" s="241"/>
      <c r="L144" s="241"/>
      <c r="M144" s="241"/>
    </row>
    <row r="145" spans="1:13" ht="13.5" customHeight="1" x14ac:dyDescent="0.2">
      <c r="A145" s="241"/>
      <c r="B145" s="242">
        <v>5</v>
      </c>
      <c r="C145" s="241" t="s">
        <v>860</v>
      </c>
      <c r="D145" s="241"/>
      <c r="E145" s="241"/>
      <c r="F145" s="241"/>
      <c r="G145" s="241"/>
      <c r="H145" s="241"/>
      <c r="I145" s="241"/>
      <c r="J145" s="241"/>
      <c r="K145" s="241"/>
      <c r="L145" s="241"/>
      <c r="M145" s="241"/>
    </row>
    <row r="146" spans="1:13" ht="13.5" customHeight="1" x14ac:dyDescent="0.2">
      <c r="A146" s="241"/>
      <c r="B146" s="242">
        <v>6</v>
      </c>
      <c r="C146" s="241" t="s">
        <v>861</v>
      </c>
      <c r="D146" s="241"/>
      <c r="E146" s="241"/>
      <c r="F146" s="241"/>
      <c r="G146" s="241"/>
      <c r="H146" s="241"/>
      <c r="I146" s="241"/>
      <c r="J146" s="241"/>
      <c r="K146" s="241"/>
      <c r="L146" s="241"/>
      <c r="M146" s="241"/>
    </row>
    <row r="147" spans="1:13" ht="13.5" customHeight="1" x14ac:dyDescent="0.2">
      <c r="A147" s="241"/>
      <c r="B147" s="242">
        <v>7</v>
      </c>
      <c r="C147" s="241" t="s">
        <v>862</v>
      </c>
      <c r="D147" s="241"/>
      <c r="E147" s="241"/>
      <c r="F147" s="241"/>
      <c r="G147" s="241"/>
      <c r="H147" s="241"/>
      <c r="I147" s="241"/>
      <c r="J147" s="241"/>
      <c r="K147" s="241"/>
      <c r="L147" s="241"/>
      <c r="M147" s="241"/>
    </row>
    <row r="148" spans="1:13" ht="13.5" customHeight="1" x14ac:dyDescent="0.2">
      <c r="A148" s="241"/>
      <c r="B148" s="242">
        <v>8</v>
      </c>
      <c r="C148" s="241" t="s">
        <v>863</v>
      </c>
      <c r="D148" s="241"/>
      <c r="E148" s="241"/>
      <c r="F148" s="241"/>
      <c r="G148" s="241"/>
      <c r="H148" s="241"/>
      <c r="I148" s="241"/>
      <c r="J148" s="241"/>
      <c r="K148" s="241"/>
      <c r="L148" s="241"/>
      <c r="M148" s="241"/>
    </row>
    <row r="149" spans="1:13" ht="12.75" x14ac:dyDescent="0.2">
      <c r="A149" s="241"/>
      <c r="B149" s="242"/>
      <c r="C149" s="247"/>
      <c r="D149" s="247"/>
      <c r="E149" s="247"/>
      <c r="F149" s="247"/>
      <c r="G149" s="247"/>
      <c r="H149" s="247"/>
      <c r="I149" s="247"/>
      <c r="J149" s="247"/>
      <c r="K149" s="247"/>
      <c r="L149" s="247"/>
      <c r="M149" s="241"/>
    </row>
    <row r="150" spans="1:13" x14ac:dyDescent="0.2">
      <c r="C150" s="278"/>
      <c r="D150" s="236"/>
      <c r="E150" s="234"/>
      <c r="F150" s="234"/>
      <c r="G150" s="234"/>
      <c r="H150" s="237"/>
      <c r="I150" s="236"/>
      <c r="J150" s="234"/>
      <c r="K150" s="237"/>
      <c r="L150" s="268"/>
    </row>
    <row r="151" spans="1:13" x14ac:dyDescent="0.2">
      <c r="C151" s="277"/>
      <c r="D151" s="238"/>
      <c r="E151" s="234"/>
      <c r="F151" s="234"/>
      <c r="G151" s="234"/>
      <c r="H151" s="237"/>
      <c r="I151" s="236"/>
      <c r="J151" s="234"/>
      <c r="K151" s="237"/>
      <c r="L151" s="268"/>
    </row>
    <row r="152" spans="1:13" x14ac:dyDescent="0.2">
      <c r="C152" s="277"/>
      <c r="D152" s="236"/>
      <c r="E152" s="234"/>
      <c r="F152" s="234"/>
      <c r="G152" s="234"/>
      <c r="H152" s="237"/>
      <c r="I152" s="236"/>
      <c r="J152" s="234"/>
      <c r="K152" s="237"/>
      <c r="L152" s="268"/>
    </row>
    <row r="153" spans="1:13" x14ac:dyDescent="0.2">
      <c r="C153" s="277"/>
      <c r="D153" s="236"/>
      <c r="E153" s="234"/>
      <c r="F153" s="234"/>
      <c r="G153" s="234"/>
      <c r="H153" s="237"/>
      <c r="I153" s="236"/>
      <c r="J153" s="234"/>
      <c r="K153" s="237"/>
      <c r="L153" s="268"/>
    </row>
    <row r="154" spans="1:13" x14ac:dyDescent="0.2">
      <c r="C154" s="277"/>
      <c r="D154" s="236"/>
      <c r="E154" s="234"/>
      <c r="F154" s="234"/>
      <c r="G154" s="234"/>
      <c r="H154" s="237"/>
      <c r="I154" s="236"/>
      <c r="J154" s="234"/>
      <c r="K154" s="237"/>
      <c r="L154" s="268"/>
    </row>
    <row r="155" spans="1:13" x14ac:dyDescent="0.2">
      <c r="C155" s="277"/>
      <c r="D155" s="236"/>
      <c r="E155" s="234"/>
      <c r="F155" s="234"/>
      <c r="G155" s="234"/>
      <c r="H155" s="237"/>
      <c r="I155" s="236"/>
      <c r="J155" s="234"/>
      <c r="K155" s="237"/>
      <c r="L155" s="268"/>
    </row>
    <row r="156" spans="1:13" x14ac:dyDescent="0.2">
      <c r="C156" s="277"/>
      <c r="D156" s="236"/>
      <c r="E156" s="234"/>
      <c r="F156" s="234"/>
      <c r="G156" s="234"/>
      <c r="H156" s="237"/>
      <c r="I156" s="236"/>
      <c r="J156" s="234"/>
      <c r="K156" s="237"/>
      <c r="L156" s="268"/>
    </row>
    <row r="157" spans="1:13" x14ac:dyDescent="0.2">
      <c r="C157" s="277"/>
      <c r="D157" s="236"/>
      <c r="E157" s="234"/>
      <c r="F157" s="234"/>
      <c r="G157" s="234"/>
      <c r="H157" s="237"/>
      <c r="I157" s="236"/>
      <c r="J157" s="234"/>
      <c r="K157" s="237"/>
      <c r="L157" s="268"/>
    </row>
    <row r="158" spans="1:13" x14ac:dyDescent="0.2">
      <c r="C158" s="277"/>
      <c r="D158" s="236"/>
      <c r="E158" s="234"/>
      <c r="G158" s="234"/>
      <c r="H158" s="237"/>
      <c r="I158" s="236"/>
      <c r="J158" s="234"/>
      <c r="K158" s="237"/>
      <c r="L158" s="268"/>
    </row>
    <row r="159" spans="1:13" ht="12.95" customHeight="1" x14ac:dyDescent="0.2">
      <c r="C159" s="279"/>
      <c r="D159" s="280"/>
      <c r="E159" s="234"/>
      <c r="F159" s="254"/>
      <c r="G159" s="331"/>
      <c r="H159" s="237"/>
      <c r="I159" s="236"/>
      <c r="J159" s="234"/>
      <c r="K159" s="237"/>
      <c r="L159" s="268"/>
    </row>
    <row r="160" spans="1:13" x14ac:dyDescent="0.2">
      <c r="C160" s="269"/>
      <c r="F160" s="267"/>
    </row>
    <row r="161" spans="3:3" x14ac:dyDescent="0.2">
      <c r="C161" s="281"/>
    </row>
  </sheetData>
  <autoFilter ref="A3:M3" xr:uid="{D15A7EC6-D858-4BDF-9E33-D3A31D9E1F3D}"/>
  <mergeCells count="126">
    <mergeCell ref="C138:C139"/>
    <mergeCell ref="D138:D139"/>
    <mergeCell ref="E138:E139"/>
    <mergeCell ref="I126:I127"/>
    <mergeCell ref="J126:J127"/>
    <mergeCell ref="K126:K127"/>
    <mergeCell ref="L126:L127"/>
    <mergeCell ref="C132:C137"/>
    <mergeCell ref="D132:D137"/>
    <mergeCell ref="E132:E137"/>
    <mergeCell ref="C126:C127"/>
    <mergeCell ref="D126:D127"/>
    <mergeCell ref="E126:E127"/>
    <mergeCell ref="F126:F127"/>
    <mergeCell ref="G126:G127"/>
    <mergeCell ref="H126:H127"/>
    <mergeCell ref="E128:E131"/>
    <mergeCell ref="D128:D131"/>
    <mergeCell ref="C128:C131"/>
    <mergeCell ref="C116:C121"/>
    <mergeCell ref="D116:D121"/>
    <mergeCell ref="E116:E121"/>
    <mergeCell ref="C122:C123"/>
    <mergeCell ref="D122:D123"/>
    <mergeCell ref="E122:E123"/>
    <mergeCell ref="C107:C110"/>
    <mergeCell ref="D107:D110"/>
    <mergeCell ref="E107:E110"/>
    <mergeCell ref="C111:C115"/>
    <mergeCell ref="D111:D115"/>
    <mergeCell ref="E111:E115"/>
    <mergeCell ref="I98:I99"/>
    <mergeCell ref="J98:J99"/>
    <mergeCell ref="K98:K99"/>
    <mergeCell ref="L98:L99"/>
    <mergeCell ref="C100:C105"/>
    <mergeCell ref="D100:D105"/>
    <mergeCell ref="E100:E105"/>
    <mergeCell ref="C98:C99"/>
    <mergeCell ref="D98:D99"/>
    <mergeCell ref="E98:E99"/>
    <mergeCell ref="F98:F99"/>
    <mergeCell ref="G98:G99"/>
    <mergeCell ref="H98:H99"/>
    <mergeCell ref="C91:C92"/>
    <mergeCell ref="D91:D92"/>
    <mergeCell ref="E91:E92"/>
    <mergeCell ref="C94:C95"/>
    <mergeCell ref="D94:D95"/>
    <mergeCell ref="E94:E95"/>
    <mergeCell ref="C80:C86"/>
    <mergeCell ref="D80:D86"/>
    <mergeCell ref="E80:E86"/>
    <mergeCell ref="C88:C89"/>
    <mergeCell ref="D88:D89"/>
    <mergeCell ref="E88:E89"/>
    <mergeCell ref="C67:C73"/>
    <mergeCell ref="D67:D73"/>
    <mergeCell ref="E67:E73"/>
    <mergeCell ref="C74:C79"/>
    <mergeCell ref="D74:D79"/>
    <mergeCell ref="E74:E79"/>
    <mergeCell ref="F65:F66"/>
    <mergeCell ref="G65:G66"/>
    <mergeCell ref="H65:H66"/>
    <mergeCell ref="C61:C62"/>
    <mergeCell ref="D61:D62"/>
    <mergeCell ref="E61:E62"/>
    <mergeCell ref="C65:C66"/>
    <mergeCell ref="D65:D66"/>
    <mergeCell ref="E65:E66"/>
    <mergeCell ref="L40:L41"/>
    <mergeCell ref="C45:C52"/>
    <mergeCell ref="D45:D52"/>
    <mergeCell ref="E45:E52"/>
    <mergeCell ref="L65:L66"/>
    <mergeCell ref="I65:I66"/>
    <mergeCell ref="J65:J66"/>
    <mergeCell ref="K65:K66"/>
    <mergeCell ref="C53:C60"/>
    <mergeCell ref="D53:D60"/>
    <mergeCell ref="E53:E60"/>
    <mergeCell ref="F40:F41"/>
    <mergeCell ref="G40:G41"/>
    <mergeCell ref="H40:H41"/>
    <mergeCell ref="I40:I41"/>
    <mergeCell ref="J40:J41"/>
    <mergeCell ref="K40:K41"/>
    <mergeCell ref="C31:C37"/>
    <mergeCell ref="D31:D37"/>
    <mergeCell ref="E31:E37"/>
    <mergeCell ref="C40:C41"/>
    <mergeCell ref="D40:D41"/>
    <mergeCell ref="E40:E41"/>
    <mergeCell ref="C19:C25"/>
    <mergeCell ref="D19:D25"/>
    <mergeCell ref="E19:E25"/>
    <mergeCell ref="C27:C28"/>
    <mergeCell ref="D27:D28"/>
    <mergeCell ref="C29:C30"/>
    <mergeCell ref="D29:D30"/>
    <mergeCell ref="C15:C16"/>
    <mergeCell ref="D15:D16"/>
    <mergeCell ref="E15:E16"/>
    <mergeCell ref="C17:C18"/>
    <mergeCell ref="D17:D18"/>
    <mergeCell ref="E17:E18"/>
    <mergeCell ref="C7:C9"/>
    <mergeCell ref="D7:D9"/>
    <mergeCell ref="E7:E9"/>
    <mergeCell ref="C10:C11"/>
    <mergeCell ref="D10:D11"/>
    <mergeCell ref="E10:E11"/>
    <mergeCell ref="I2:I3"/>
    <mergeCell ref="J2:J3"/>
    <mergeCell ref="K2:K3"/>
    <mergeCell ref="L2:L3"/>
    <mergeCell ref="C4:C5"/>
    <mergeCell ref="D4:D5"/>
    <mergeCell ref="E4:E5"/>
    <mergeCell ref="C2:C3"/>
    <mergeCell ref="D2:D3"/>
    <mergeCell ref="E2:E3"/>
    <mergeCell ref="F2:F3"/>
    <mergeCell ref="G2:G3"/>
    <mergeCell ref="H2:H3"/>
  </mergeCells>
  <pageMargins left="0.75" right="0.75" top="1" bottom="1" header="0.5" footer="0.5"/>
  <pageSetup scale="63"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rowBreaks count="4" manualBreakCount="4">
    <brk id="38" max="16383" man="1"/>
    <brk id="63" max="16383" man="1"/>
    <brk id="96" max="16383" man="1"/>
    <brk id="1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D7DD-43A7-49C7-A805-EFDB01DF5830}">
  <sheetPr>
    <pageSetUpPr fitToPage="1"/>
  </sheetPr>
  <dimension ref="A1:AM318"/>
  <sheetViews>
    <sheetView topLeftCell="B1" zoomScale="70" zoomScaleNormal="70" workbookViewId="0">
      <selection activeCell="J6" sqref="J6"/>
    </sheetView>
  </sheetViews>
  <sheetFormatPr defaultColWidth="9.140625" defaultRowHeight="12.75" customHeight="1" x14ac:dyDescent="0.2"/>
  <cols>
    <col min="1" max="1" width="9.5703125" style="46" hidden="1" customWidth="1"/>
    <col min="2" max="2" width="2.140625" style="109" customWidth="1"/>
    <col min="3" max="3" width="29.140625" style="253" customWidth="1"/>
    <col min="4" max="4" width="15.42578125" style="231" customWidth="1"/>
    <col min="5" max="5" width="35" style="230" customWidth="1"/>
    <col min="6" max="6" width="16.42578125" style="228" customWidth="1"/>
    <col min="7" max="7" width="25.42578125" style="230" customWidth="1"/>
    <col min="8" max="8" width="14.140625" style="228" customWidth="1"/>
    <col min="9" max="9" width="19.42578125" style="260" customWidth="1"/>
    <col min="10" max="10" width="18.85546875" style="230" customWidth="1"/>
    <col min="11" max="11" width="17" style="228" customWidth="1"/>
    <col min="12" max="12" width="14.140625" style="260" customWidth="1"/>
    <col min="13" max="13" width="2.42578125" style="260" customWidth="1"/>
    <col min="14" max="14" width="9.140625" style="46"/>
    <col min="15" max="26" width="28.140625" style="260" customWidth="1"/>
    <col min="27" max="27" width="9.140625" style="46" customWidth="1"/>
    <col min="28" max="39" width="23.42578125" style="46" customWidth="1"/>
    <col min="40" max="16384" width="9.140625" style="46"/>
  </cols>
  <sheetData>
    <row r="1" spans="2:39" ht="15" thickBot="1" x14ac:dyDescent="0.25">
      <c r="C1" s="276" t="s">
        <v>1904</v>
      </c>
      <c r="F1" s="230"/>
      <c r="I1" s="231"/>
    </row>
    <row r="2" spans="2:39" ht="12.75" customHeight="1" x14ac:dyDescent="0.2">
      <c r="C2" s="545" t="s">
        <v>803</v>
      </c>
      <c r="D2" s="543" t="s">
        <v>867</v>
      </c>
      <c r="E2" s="545" t="s">
        <v>868</v>
      </c>
      <c r="F2" s="547" t="s">
        <v>869</v>
      </c>
      <c r="G2" s="545" t="s">
        <v>870</v>
      </c>
      <c r="H2" s="547" t="s">
        <v>871</v>
      </c>
      <c r="I2" s="543" t="s">
        <v>872</v>
      </c>
      <c r="J2" s="545" t="s">
        <v>873</v>
      </c>
      <c r="K2" s="547" t="s">
        <v>874</v>
      </c>
      <c r="L2" s="549" t="s">
        <v>875</v>
      </c>
      <c r="M2" s="232"/>
      <c r="O2" s="382" t="s">
        <v>1906</v>
      </c>
      <c r="P2" s="383"/>
      <c r="Q2" s="383"/>
      <c r="R2" s="383"/>
      <c r="S2" s="383"/>
      <c r="T2" s="383"/>
      <c r="U2" s="383"/>
      <c r="V2" s="383"/>
      <c r="W2" s="383"/>
      <c r="X2" s="383"/>
      <c r="Y2" s="383"/>
      <c r="Z2" s="383"/>
      <c r="AB2" s="46" t="s">
        <v>876</v>
      </c>
    </row>
    <row r="3" spans="2:39" ht="15" thickBot="1" x14ac:dyDescent="0.25">
      <c r="C3" s="546"/>
      <c r="D3" s="544"/>
      <c r="E3" s="546"/>
      <c r="F3" s="548"/>
      <c r="G3" s="546"/>
      <c r="H3" s="548"/>
      <c r="I3" s="544"/>
      <c r="J3" s="546"/>
      <c r="K3" s="548"/>
      <c r="L3" s="550"/>
      <c r="M3" s="232"/>
      <c r="O3" s="308" t="s">
        <v>877</v>
      </c>
      <c r="P3" s="308" t="s">
        <v>878</v>
      </c>
      <c r="Q3" s="308" t="s">
        <v>879</v>
      </c>
      <c r="R3" s="308" t="s">
        <v>880</v>
      </c>
      <c r="S3" s="308" t="s">
        <v>881</v>
      </c>
      <c r="T3" s="308" t="s">
        <v>882</v>
      </c>
      <c r="U3" s="308" t="s">
        <v>883</v>
      </c>
      <c r="V3" s="308" t="s">
        <v>884</v>
      </c>
      <c r="W3" s="309" t="s">
        <v>885</v>
      </c>
      <c r="X3" s="308" t="s">
        <v>886</v>
      </c>
      <c r="Y3" s="308" t="s">
        <v>887</v>
      </c>
      <c r="Z3" s="309" t="s">
        <v>888</v>
      </c>
      <c r="AB3" s="308" t="s">
        <v>877</v>
      </c>
      <c r="AC3" s="308" t="s">
        <v>878</v>
      </c>
      <c r="AD3" s="308" t="s">
        <v>879</v>
      </c>
      <c r="AE3" s="308" t="s">
        <v>880</v>
      </c>
      <c r="AF3" s="308" t="s">
        <v>881</v>
      </c>
      <c r="AG3" s="308" t="s">
        <v>882</v>
      </c>
      <c r="AH3" s="308" t="s">
        <v>883</v>
      </c>
      <c r="AI3" s="308" t="s">
        <v>884</v>
      </c>
      <c r="AJ3" s="309" t="s">
        <v>885</v>
      </c>
      <c r="AK3" s="308" t="s">
        <v>886</v>
      </c>
      <c r="AL3" s="308" t="s">
        <v>887</v>
      </c>
      <c r="AM3" s="309" t="s">
        <v>888</v>
      </c>
    </row>
    <row r="4" spans="2:39" ht="14.25" customHeight="1" x14ac:dyDescent="0.2">
      <c r="C4" s="554" t="s">
        <v>770</v>
      </c>
      <c r="D4" s="553">
        <v>1216557.3797635797</v>
      </c>
      <c r="E4" s="384" t="s">
        <v>889</v>
      </c>
      <c r="F4" s="385">
        <v>0.15000000000000002</v>
      </c>
      <c r="G4" s="384">
        <v>1E-3</v>
      </c>
      <c r="H4" s="385">
        <v>0</v>
      </c>
      <c r="I4" s="386">
        <f>D4*F4*G4*(1-H4)</f>
        <v>182.48360696453699</v>
      </c>
      <c r="J4" s="384" t="s">
        <v>291</v>
      </c>
      <c r="K4" s="385">
        <v>0</v>
      </c>
      <c r="L4" s="387">
        <f>I4*(1-K4)</f>
        <v>182.48360696453699</v>
      </c>
      <c r="M4" s="258"/>
      <c r="O4" s="310"/>
      <c r="P4" s="310"/>
      <c r="Q4" s="310"/>
      <c r="R4" s="310"/>
      <c r="S4" s="310"/>
      <c r="T4" s="310"/>
      <c r="U4" s="310"/>
      <c r="V4" s="310"/>
      <c r="W4" s="310"/>
      <c r="X4" s="310"/>
      <c r="Y4" s="310"/>
      <c r="Z4" s="310"/>
      <c r="AB4" s="310"/>
      <c r="AC4" s="310"/>
      <c r="AD4" s="310"/>
      <c r="AE4" s="310"/>
      <c r="AF4" s="310"/>
      <c r="AG4" s="310"/>
      <c r="AH4" s="310"/>
      <c r="AI4" s="310"/>
      <c r="AJ4" s="310"/>
      <c r="AK4" s="310"/>
      <c r="AL4" s="310"/>
      <c r="AM4" s="310"/>
    </row>
    <row r="5" spans="2:39" s="233" customFormat="1" ht="25.5" x14ac:dyDescent="0.2">
      <c r="B5" s="109"/>
      <c r="C5" s="595"/>
      <c r="D5" s="554"/>
      <c r="E5" s="308" t="s">
        <v>890</v>
      </c>
      <c r="F5" s="372">
        <v>1E-3</v>
      </c>
      <c r="G5" s="361">
        <v>0.05</v>
      </c>
      <c r="H5" s="363">
        <v>0</v>
      </c>
      <c r="I5" s="312">
        <f>D4*F5*G5*(1-H5)</f>
        <v>60.827868988178992</v>
      </c>
      <c r="J5" s="361" t="s">
        <v>291</v>
      </c>
      <c r="K5" s="363">
        <v>0</v>
      </c>
      <c r="L5" s="365">
        <f t="shared" ref="L5:L96" si="0">I5*(1-K5)</f>
        <v>60.827868988178992</v>
      </c>
      <c r="M5" s="258"/>
      <c r="O5" s="310"/>
      <c r="P5" s="310"/>
      <c r="Q5" s="310"/>
      <c r="R5" s="310"/>
      <c r="S5" s="310"/>
      <c r="T5" s="310"/>
      <c r="U5" s="310"/>
      <c r="V5" s="310"/>
      <c r="W5" s="310"/>
      <c r="X5" s="310"/>
      <c r="Y5" s="310"/>
      <c r="Z5" s="310"/>
      <c r="AB5" s="310"/>
      <c r="AC5" s="310"/>
      <c r="AD5" s="310"/>
      <c r="AE5" s="310"/>
      <c r="AF5" s="310"/>
      <c r="AG5" s="310"/>
      <c r="AH5" s="310"/>
      <c r="AI5" s="310"/>
      <c r="AJ5" s="310"/>
      <c r="AK5" s="310"/>
      <c r="AL5" s="310"/>
      <c r="AM5" s="310"/>
    </row>
    <row r="6" spans="2:39" s="233" customFormat="1" ht="14.25" x14ac:dyDescent="0.2">
      <c r="B6" s="109"/>
      <c r="C6" s="560" t="s">
        <v>891</v>
      </c>
      <c r="D6" s="560">
        <v>566.42957135999995</v>
      </c>
      <c r="E6" s="308" t="s">
        <v>888</v>
      </c>
      <c r="F6" s="372">
        <v>0.99979849980000002</v>
      </c>
      <c r="G6" s="261">
        <v>1E-3</v>
      </c>
      <c r="H6" s="363">
        <v>0</v>
      </c>
      <c r="I6" s="327">
        <f>D6*F6*G6*(1-H6)</f>
        <v>0.56631543568808507</v>
      </c>
      <c r="J6" s="361" t="s">
        <v>291</v>
      </c>
      <c r="K6" s="363">
        <v>0</v>
      </c>
      <c r="L6" s="388">
        <f>I6*(1-K6)</f>
        <v>0.56631543568808507</v>
      </c>
      <c r="M6" s="258"/>
      <c r="O6" s="311" t="str">
        <f t="shared" ref="O6:Z15" si="1">IF($E6=O$3,$D$6*$F6,"-")</f>
        <v>-</v>
      </c>
      <c r="P6" s="311" t="str">
        <f t="shared" si="1"/>
        <v>-</v>
      </c>
      <c r="Q6" s="311" t="str">
        <f t="shared" si="1"/>
        <v>-</v>
      </c>
      <c r="R6" s="311" t="str">
        <f t="shared" si="1"/>
        <v>-</v>
      </c>
      <c r="S6" s="311" t="str">
        <f t="shared" si="1"/>
        <v>-</v>
      </c>
      <c r="T6" s="311" t="str">
        <f t="shared" si="1"/>
        <v>-</v>
      </c>
      <c r="U6" s="311" t="str">
        <f t="shared" si="1"/>
        <v>-</v>
      </c>
      <c r="V6" s="311" t="str">
        <f t="shared" si="1"/>
        <v>-</v>
      </c>
      <c r="W6" s="311" t="str">
        <f t="shared" si="1"/>
        <v>-</v>
      </c>
      <c r="X6" s="311" t="str">
        <f t="shared" si="1"/>
        <v>-</v>
      </c>
      <c r="Y6" s="311" t="str">
        <f t="shared" si="1"/>
        <v>-</v>
      </c>
      <c r="Z6" s="311">
        <f>IF($E6=Z$3,$D$6*$F6,"-")</f>
        <v>566.31543568808502</v>
      </c>
      <c r="AB6" s="311" t="str">
        <f>IF($E6=AB$3,#REF!*$F6,"-")</f>
        <v>-</v>
      </c>
      <c r="AC6" s="311" t="str">
        <f>IF($E6=AC$3,#REF!*$F6,"-")</f>
        <v>-</v>
      </c>
      <c r="AD6" s="311" t="str">
        <f>IF($E6=AD$3,#REF!*$F6,"-")</f>
        <v>-</v>
      </c>
      <c r="AE6" s="311" t="str">
        <f>IF($E6=AE$3,#REF!*$F6,"-")</f>
        <v>-</v>
      </c>
      <c r="AF6" s="311" t="str">
        <f>IF($E6=AF$3,#REF!*$F6,"-")</f>
        <v>-</v>
      </c>
      <c r="AG6" s="311" t="str">
        <f>IF($E6=AG$3,#REF!*$F6,"-")</f>
        <v>-</v>
      </c>
      <c r="AH6" s="311" t="str">
        <f>IF($E6=AH$3,#REF!*$F6,"-")</f>
        <v>-</v>
      </c>
      <c r="AI6" s="311" t="str">
        <f>IF($E6=AI$3,#REF!*$F6,"-")</f>
        <v>-</v>
      </c>
      <c r="AJ6" s="311" t="str">
        <f>IF($E6=AJ$3,#REF!*$F6,"-")</f>
        <v>-</v>
      </c>
      <c r="AK6" s="311" t="str">
        <f>IF($E6=AK$3,#REF!*$F6,"-")</f>
        <v>-</v>
      </c>
      <c r="AL6" s="311" t="str">
        <f>IF($E6=AL$3,#REF!*$F6,"-")</f>
        <v>-</v>
      </c>
      <c r="AM6" s="311" t="e">
        <f>IF($E6=AM$3,#REF!*$F6,"-")</f>
        <v>#REF!</v>
      </c>
    </row>
    <row r="7" spans="2:39" s="233" customFormat="1" ht="14.25" x14ac:dyDescent="0.2">
      <c r="B7" s="109"/>
      <c r="C7" s="561"/>
      <c r="D7" s="561"/>
      <c r="E7" s="308" t="s">
        <v>892</v>
      </c>
      <c r="F7" s="389">
        <v>1.0000000000000001E-7</v>
      </c>
      <c r="G7" s="384">
        <v>1E-3</v>
      </c>
      <c r="H7" s="363">
        <v>0</v>
      </c>
      <c r="I7" s="312">
        <f>D6*F7*G7*(1-H7)</f>
        <v>5.6642957135999996E-8</v>
      </c>
      <c r="J7" s="361" t="s">
        <v>291</v>
      </c>
      <c r="K7" s="363">
        <v>0</v>
      </c>
      <c r="L7" s="388">
        <f t="shared" si="0"/>
        <v>5.6642957135999996E-8</v>
      </c>
      <c r="M7" s="258"/>
      <c r="O7" s="311" t="str">
        <f t="shared" si="1"/>
        <v>-</v>
      </c>
      <c r="P7" s="311" t="str">
        <f t="shared" si="1"/>
        <v>-</v>
      </c>
      <c r="Q7" s="311" t="str">
        <f t="shared" si="1"/>
        <v>-</v>
      </c>
      <c r="R7" s="311" t="str">
        <f t="shared" si="1"/>
        <v>-</v>
      </c>
      <c r="S7" s="311" t="str">
        <f t="shared" si="1"/>
        <v>-</v>
      </c>
      <c r="T7" s="311" t="str">
        <f t="shared" si="1"/>
        <v>-</v>
      </c>
      <c r="U7" s="311" t="str">
        <f t="shared" si="1"/>
        <v>-</v>
      </c>
      <c r="V7" s="311" t="str">
        <f t="shared" si="1"/>
        <v>-</v>
      </c>
      <c r="W7" s="311" t="str">
        <f t="shared" si="1"/>
        <v>-</v>
      </c>
      <c r="X7" s="311" t="str">
        <f t="shared" si="1"/>
        <v>-</v>
      </c>
      <c r="Y7" s="311" t="str">
        <f t="shared" si="1"/>
        <v>-</v>
      </c>
      <c r="Z7" s="311" t="str">
        <f t="shared" si="1"/>
        <v>-</v>
      </c>
      <c r="AB7" s="311" t="str">
        <f>IF($E7=AB$3,#REF!*$F7,"-")</f>
        <v>-</v>
      </c>
      <c r="AC7" s="311" t="str">
        <f>IF($E7=AC$3,#REF!*$F7,"-")</f>
        <v>-</v>
      </c>
      <c r="AD7" s="311" t="str">
        <f>IF($E7=AD$3,#REF!*$F7,"-")</f>
        <v>-</v>
      </c>
      <c r="AE7" s="311" t="str">
        <f>IF($E7=AE$3,#REF!*$F7,"-")</f>
        <v>-</v>
      </c>
      <c r="AF7" s="311" t="str">
        <f>IF($E7=AF$3,#REF!*$F7,"-")</f>
        <v>-</v>
      </c>
      <c r="AG7" s="311" t="str">
        <f>IF($E7=AG$3,#REF!*$F7,"-")</f>
        <v>-</v>
      </c>
      <c r="AH7" s="311" t="str">
        <f>IF($E7=AH$3,#REF!*$F7,"-")</f>
        <v>-</v>
      </c>
      <c r="AI7" s="311" t="str">
        <f>IF($E7=AI$3,#REF!*$F7,"-")</f>
        <v>-</v>
      </c>
      <c r="AJ7" s="311" t="str">
        <f>IF($E7=AJ$3,#REF!*$F7,"-")</f>
        <v>-</v>
      </c>
      <c r="AK7" s="311" t="str">
        <f>IF($E7=AK$3,#REF!*$F7,"-")</f>
        <v>-</v>
      </c>
      <c r="AL7" s="311" t="str">
        <f>IF($E7=AL$3,#REF!*$F7,"-")</f>
        <v>-</v>
      </c>
      <c r="AM7" s="311" t="str">
        <f>IF($E7=AM$3,#REF!*$F7,"-")</f>
        <v>-</v>
      </c>
    </row>
    <row r="8" spans="2:39" s="233" customFormat="1" ht="14.25" x14ac:dyDescent="0.2">
      <c r="B8" s="109"/>
      <c r="C8" s="561"/>
      <c r="D8" s="561"/>
      <c r="E8" s="308" t="s">
        <v>877</v>
      </c>
      <c r="F8" s="389">
        <v>9.9999999999999995E-7</v>
      </c>
      <c r="G8" s="384">
        <v>1E-3</v>
      </c>
      <c r="H8" s="363">
        <v>0</v>
      </c>
      <c r="I8" s="312">
        <f>D6*F8*G8*(1-H8)</f>
        <v>5.6642957135999991E-7</v>
      </c>
      <c r="J8" s="361" t="s">
        <v>291</v>
      </c>
      <c r="K8" s="363">
        <v>0</v>
      </c>
      <c r="L8" s="388">
        <f t="shared" si="0"/>
        <v>5.6642957135999991E-7</v>
      </c>
      <c r="M8" s="258"/>
      <c r="O8" s="311">
        <f t="shared" si="1"/>
        <v>5.6642957135999992E-4</v>
      </c>
      <c r="P8" s="311" t="str">
        <f t="shared" si="1"/>
        <v>-</v>
      </c>
      <c r="Q8" s="311" t="str">
        <f t="shared" si="1"/>
        <v>-</v>
      </c>
      <c r="R8" s="311" t="str">
        <f t="shared" si="1"/>
        <v>-</v>
      </c>
      <c r="S8" s="311" t="str">
        <f t="shared" si="1"/>
        <v>-</v>
      </c>
      <c r="T8" s="311" t="str">
        <f t="shared" si="1"/>
        <v>-</v>
      </c>
      <c r="U8" s="311" t="str">
        <f t="shared" si="1"/>
        <v>-</v>
      </c>
      <c r="V8" s="311" t="str">
        <f t="shared" si="1"/>
        <v>-</v>
      </c>
      <c r="W8" s="311" t="str">
        <f t="shared" si="1"/>
        <v>-</v>
      </c>
      <c r="X8" s="311" t="str">
        <f t="shared" si="1"/>
        <v>-</v>
      </c>
      <c r="Y8" s="311" t="str">
        <f t="shared" si="1"/>
        <v>-</v>
      </c>
      <c r="Z8" s="311" t="str">
        <f t="shared" si="1"/>
        <v>-</v>
      </c>
      <c r="AB8" s="311" t="e">
        <f>IF($E8=AB$3,#REF!*$F8,"-")</f>
        <v>#REF!</v>
      </c>
      <c r="AC8" s="311" t="str">
        <f>IF($E8=AC$3,#REF!*$F8,"-")</f>
        <v>-</v>
      </c>
      <c r="AD8" s="311" t="str">
        <f>IF($E8=AD$3,#REF!*$F8,"-")</f>
        <v>-</v>
      </c>
      <c r="AE8" s="311" t="str">
        <f>IF($E8=AE$3,#REF!*$F8,"-")</f>
        <v>-</v>
      </c>
      <c r="AF8" s="311" t="str">
        <f>IF($E8=AF$3,#REF!*$F8,"-")</f>
        <v>-</v>
      </c>
      <c r="AG8" s="311" t="str">
        <f>IF($E8=AG$3,#REF!*$F8,"-")</f>
        <v>-</v>
      </c>
      <c r="AH8" s="311" t="str">
        <f>IF($E8=AH$3,#REF!*$F8,"-")</f>
        <v>-</v>
      </c>
      <c r="AI8" s="311" t="str">
        <f>IF($E8=AI$3,#REF!*$F8,"-")</f>
        <v>-</v>
      </c>
      <c r="AJ8" s="311" t="str">
        <f>IF($E8=AJ$3,#REF!*$F8,"-")</f>
        <v>-</v>
      </c>
      <c r="AK8" s="311" t="str">
        <f>IF($E8=AK$3,#REF!*$F8,"-")</f>
        <v>-</v>
      </c>
      <c r="AL8" s="311" t="str">
        <f>IF($E8=AL$3,#REF!*$F8,"-")</f>
        <v>-</v>
      </c>
      <c r="AM8" s="311" t="str">
        <f>IF($E8=AM$3,#REF!*$F8,"-")</f>
        <v>-</v>
      </c>
    </row>
    <row r="9" spans="2:39" s="233" customFormat="1" ht="14.25" x14ac:dyDescent="0.2">
      <c r="B9" s="109"/>
      <c r="C9" s="561"/>
      <c r="D9" s="561"/>
      <c r="E9" s="308" t="s">
        <v>893</v>
      </c>
      <c r="F9" s="389">
        <v>1.0000000000000001E-7</v>
      </c>
      <c r="G9" s="384">
        <v>1E-3</v>
      </c>
      <c r="H9" s="363">
        <v>0</v>
      </c>
      <c r="I9" s="312">
        <f>D6*F9*G9*(1-H9)</f>
        <v>5.6642957135999996E-8</v>
      </c>
      <c r="J9" s="361" t="s">
        <v>291</v>
      </c>
      <c r="K9" s="363">
        <v>0</v>
      </c>
      <c r="L9" s="388">
        <f t="shared" si="0"/>
        <v>5.6642957135999996E-8</v>
      </c>
      <c r="M9" s="258"/>
      <c r="O9" s="311" t="str">
        <f t="shared" si="1"/>
        <v>-</v>
      </c>
      <c r="P9" s="311" t="str">
        <f t="shared" si="1"/>
        <v>-</v>
      </c>
      <c r="Q9" s="311" t="str">
        <f t="shared" si="1"/>
        <v>-</v>
      </c>
      <c r="R9" s="311" t="str">
        <f t="shared" si="1"/>
        <v>-</v>
      </c>
      <c r="S9" s="311" t="str">
        <f t="shared" si="1"/>
        <v>-</v>
      </c>
      <c r="T9" s="311" t="str">
        <f t="shared" si="1"/>
        <v>-</v>
      </c>
      <c r="U9" s="311" t="str">
        <f t="shared" si="1"/>
        <v>-</v>
      </c>
      <c r="V9" s="311" t="str">
        <f t="shared" si="1"/>
        <v>-</v>
      </c>
      <c r="W9" s="311" t="str">
        <f t="shared" si="1"/>
        <v>-</v>
      </c>
      <c r="X9" s="311" t="str">
        <f t="shared" si="1"/>
        <v>-</v>
      </c>
      <c r="Y9" s="311" t="str">
        <f t="shared" si="1"/>
        <v>-</v>
      </c>
      <c r="Z9" s="311" t="str">
        <f t="shared" si="1"/>
        <v>-</v>
      </c>
      <c r="AB9" s="311" t="str">
        <f>IF($E9=AB$3,#REF!*$F9,"-")</f>
        <v>-</v>
      </c>
      <c r="AC9" s="311" t="str">
        <f>IF($E9=AC$3,#REF!*$F9,"-")</f>
        <v>-</v>
      </c>
      <c r="AD9" s="311" t="str">
        <f>IF($E9=AD$3,#REF!*$F9,"-")</f>
        <v>-</v>
      </c>
      <c r="AE9" s="311" t="str">
        <f>IF($E9=AE$3,#REF!*$F9,"-")</f>
        <v>-</v>
      </c>
      <c r="AF9" s="311" t="str">
        <f>IF($E9=AF$3,#REF!*$F9,"-")</f>
        <v>-</v>
      </c>
      <c r="AG9" s="311" t="str">
        <f>IF($E9=AG$3,#REF!*$F9,"-")</f>
        <v>-</v>
      </c>
      <c r="AH9" s="311" t="str">
        <f>IF($E9=AH$3,#REF!*$F9,"-")</f>
        <v>-</v>
      </c>
      <c r="AI9" s="311" t="str">
        <f>IF($E9=AI$3,#REF!*$F9,"-")</f>
        <v>-</v>
      </c>
      <c r="AJ9" s="311" t="str">
        <f>IF($E9=AJ$3,#REF!*$F9,"-")</f>
        <v>-</v>
      </c>
      <c r="AK9" s="311" t="str">
        <f>IF($E9=AK$3,#REF!*$F9,"-")</f>
        <v>-</v>
      </c>
      <c r="AL9" s="311" t="str">
        <f>IF($E9=AL$3,#REF!*$F9,"-")</f>
        <v>-</v>
      </c>
      <c r="AM9" s="311" t="str">
        <f>IF($E9=AM$3,#REF!*$F9,"-")</f>
        <v>-</v>
      </c>
    </row>
    <row r="10" spans="2:39" s="233" customFormat="1" ht="14.25" x14ac:dyDescent="0.2">
      <c r="B10" s="109"/>
      <c r="C10" s="561"/>
      <c r="D10" s="561"/>
      <c r="E10" s="308" t="s">
        <v>894</v>
      </c>
      <c r="F10" s="389">
        <v>1.0000000000000001E-7</v>
      </c>
      <c r="G10" s="384">
        <v>1E-3</v>
      </c>
      <c r="H10" s="363">
        <v>0</v>
      </c>
      <c r="I10" s="312">
        <f>D6*F10*G10*(1-H10)</f>
        <v>5.6642957135999996E-8</v>
      </c>
      <c r="J10" s="361" t="s">
        <v>291</v>
      </c>
      <c r="K10" s="363">
        <v>0</v>
      </c>
      <c r="L10" s="388">
        <f t="shared" si="0"/>
        <v>5.6642957135999996E-8</v>
      </c>
      <c r="M10" s="258"/>
      <c r="O10" s="311" t="str">
        <f t="shared" si="1"/>
        <v>-</v>
      </c>
      <c r="P10" s="311" t="str">
        <f t="shared" si="1"/>
        <v>-</v>
      </c>
      <c r="Q10" s="311" t="str">
        <f t="shared" si="1"/>
        <v>-</v>
      </c>
      <c r="R10" s="311" t="str">
        <f t="shared" si="1"/>
        <v>-</v>
      </c>
      <c r="S10" s="311" t="str">
        <f t="shared" si="1"/>
        <v>-</v>
      </c>
      <c r="T10" s="311" t="str">
        <f t="shared" si="1"/>
        <v>-</v>
      </c>
      <c r="U10" s="311" t="str">
        <f t="shared" si="1"/>
        <v>-</v>
      </c>
      <c r="V10" s="311" t="str">
        <f t="shared" si="1"/>
        <v>-</v>
      </c>
      <c r="W10" s="311" t="str">
        <f t="shared" si="1"/>
        <v>-</v>
      </c>
      <c r="X10" s="311" t="str">
        <f t="shared" si="1"/>
        <v>-</v>
      </c>
      <c r="Y10" s="311" t="str">
        <f t="shared" si="1"/>
        <v>-</v>
      </c>
      <c r="Z10" s="311" t="str">
        <f t="shared" si="1"/>
        <v>-</v>
      </c>
      <c r="AB10" s="311" t="str">
        <f>IF($E10=AB$3,#REF!*$F10,"-")</f>
        <v>-</v>
      </c>
      <c r="AC10" s="311" t="str">
        <f>IF($E10=AC$3,#REF!*$F10,"-")</f>
        <v>-</v>
      </c>
      <c r="AD10" s="311" t="str">
        <f>IF($E10=AD$3,#REF!*$F10,"-")</f>
        <v>-</v>
      </c>
      <c r="AE10" s="311" t="str">
        <f>IF($E10=AE$3,#REF!*$F10,"-")</f>
        <v>-</v>
      </c>
      <c r="AF10" s="311" t="str">
        <f>IF($E10=AF$3,#REF!*$F10,"-")</f>
        <v>-</v>
      </c>
      <c r="AG10" s="311" t="str">
        <f>IF($E10=AG$3,#REF!*$F10,"-")</f>
        <v>-</v>
      </c>
      <c r="AH10" s="311" t="str">
        <f>IF($E10=AH$3,#REF!*$F10,"-")</f>
        <v>-</v>
      </c>
      <c r="AI10" s="311" t="str">
        <f>IF($E10=AI$3,#REF!*$F10,"-")</f>
        <v>-</v>
      </c>
      <c r="AJ10" s="311" t="str">
        <f>IF($E10=AJ$3,#REF!*$F10,"-")</f>
        <v>-</v>
      </c>
      <c r="AK10" s="311" t="str">
        <f>IF($E10=AK$3,#REF!*$F10,"-")</f>
        <v>-</v>
      </c>
      <c r="AL10" s="311" t="str">
        <f>IF($E10=AL$3,#REF!*$F10,"-")</f>
        <v>-</v>
      </c>
      <c r="AM10" s="311" t="str">
        <f>IF($E10=AM$3,#REF!*$F10,"-")</f>
        <v>-</v>
      </c>
    </row>
    <row r="11" spans="2:39" s="233" customFormat="1" ht="14.25" x14ac:dyDescent="0.2">
      <c r="B11" s="109"/>
      <c r="C11" s="561"/>
      <c r="D11" s="561"/>
      <c r="E11" s="308" t="s">
        <v>895</v>
      </c>
      <c r="F11" s="389">
        <v>1.0000000000000001E-7</v>
      </c>
      <c r="G11" s="384">
        <v>1E-3</v>
      </c>
      <c r="H11" s="363">
        <v>0</v>
      </c>
      <c r="I11" s="312">
        <f>D6*F11*G11*(1-H11)</f>
        <v>5.6642957135999996E-8</v>
      </c>
      <c r="J11" s="361" t="s">
        <v>291</v>
      </c>
      <c r="K11" s="363">
        <v>0</v>
      </c>
      <c r="L11" s="388">
        <f t="shared" si="0"/>
        <v>5.6642957135999996E-8</v>
      </c>
      <c r="M11" s="258"/>
      <c r="O11" s="311" t="str">
        <f t="shared" si="1"/>
        <v>-</v>
      </c>
      <c r="P11" s="311" t="str">
        <f t="shared" si="1"/>
        <v>-</v>
      </c>
      <c r="Q11" s="311" t="str">
        <f t="shared" si="1"/>
        <v>-</v>
      </c>
      <c r="R11" s="311" t="str">
        <f t="shared" si="1"/>
        <v>-</v>
      </c>
      <c r="S11" s="311" t="str">
        <f t="shared" si="1"/>
        <v>-</v>
      </c>
      <c r="T11" s="311" t="str">
        <f t="shared" si="1"/>
        <v>-</v>
      </c>
      <c r="U11" s="311" t="str">
        <f t="shared" si="1"/>
        <v>-</v>
      </c>
      <c r="V11" s="311" t="str">
        <f t="shared" si="1"/>
        <v>-</v>
      </c>
      <c r="W11" s="311" t="str">
        <f t="shared" si="1"/>
        <v>-</v>
      </c>
      <c r="X11" s="311" t="str">
        <f t="shared" si="1"/>
        <v>-</v>
      </c>
      <c r="Y11" s="311" t="str">
        <f t="shared" si="1"/>
        <v>-</v>
      </c>
      <c r="Z11" s="311" t="str">
        <f t="shared" si="1"/>
        <v>-</v>
      </c>
      <c r="AB11" s="311" t="str">
        <f>IF($E11=AB$3,#REF!*$F11,"-")</f>
        <v>-</v>
      </c>
      <c r="AC11" s="311" t="str">
        <f>IF($E11=AC$3,#REF!*$F11,"-")</f>
        <v>-</v>
      </c>
      <c r="AD11" s="311" t="str">
        <f>IF($E11=AD$3,#REF!*$F11,"-")</f>
        <v>-</v>
      </c>
      <c r="AE11" s="311" t="str">
        <f>IF($E11=AE$3,#REF!*$F11,"-")</f>
        <v>-</v>
      </c>
      <c r="AF11" s="311" t="str">
        <f>IF($E11=AF$3,#REF!*$F11,"-")</f>
        <v>-</v>
      </c>
      <c r="AG11" s="311" t="str">
        <f>IF($E11=AG$3,#REF!*$F11,"-")</f>
        <v>-</v>
      </c>
      <c r="AH11" s="311" t="str">
        <f>IF($E11=AH$3,#REF!*$F11,"-")</f>
        <v>-</v>
      </c>
      <c r="AI11" s="311" t="str">
        <f>IF($E11=AI$3,#REF!*$F11,"-")</f>
        <v>-</v>
      </c>
      <c r="AJ11" s="311" t="str">
        <f>IF($E11=AJ$3,#REF!*$F11,"-")</f>
        <v>-</v>
      </c>
      <c r="AK11" s="311" t="str">
        <f>IF($E11=AK$3,#REF!*$F11,"-")</f>
        <v>-</v>
      </c>
      <c r="AL11" s="311" t="str">
        <f>IF($E11=AL$3,#REF!*$F11,"-")</f>
        <v>-</v>
      </c>
      <c r="AM11" s="311" t="str">
        <f>IF($E11=AM$3,#REF!*$F11,"-")</f>
        <v>-</v>
      </c>
    </row>
    <row r="12" spans="2:39" s="233" customFormat="1" ht="14.25" x14ac:dyDescent="0.2">
      <c r="B12" s="109"/>
      <c r="C12" s="561"/>
      <c r="D12" s="561"/>
      <c r="E12" s="308" t="s">
        <v>896</v>
      </c>
      <c r="F12" s="389">
        <v>9.9999999999999995E-7</v>
      </c>
      <c r="G12" s="384">
        <v>1E-3</v>
      </c>
      <c r="H12" s="363">
        <v>0</v>
      </c>
      <c r="I12" s="312">
        <f>D6*F12*G12*(1-H12)</f>
        <v>5.6642957135999991E-7</v>
      </c>
      <c r="J12" s="361" t="s">
        <v>291</v>
      </c>
      <c r="K12" s="363">
        <v>0</v>
      </c>
      <c r="L12" s="388">
        <f t="shared" si="0"/>
        <v>5.6642957135999991E-7</v>
      </c>
      <c r="M12" s="258"/>
      <c r="O12" s="311" t="str">
        <f t="shared" si="1"/>
        <v>-</v>
      </c>
      <c r="P12" s="311" t="str">
        <f t="shared" si="1"/>
        <v>-</v>
      </c>
      <c r="Q12" s="311" t="str">
        <f t="shared" si="1"/>
        <v>-</v>
      </c>
      <c r="R12" s="311" t="str">
        <f t="shared" si="1"/>
        <v>-</v>
      </c>
      <c r="S12" s="311" t="str">
        <f t="shared" si="1"/>
        <v>-</v>
      </c>
      <c r="T12" s="311" t="str">
        <f t="shared" si="1"/>
        <v>-</v>
      </c>
      <c r="U12" s="311" t="str">
        <f t="shared" si="1"/>
        <v>-</v>
      </c>
      <c r="V12" s="311" t="str">
        <f t="shared" si="1"/>
        <v>-</v>
      </c>
      <c r="W12" s="311" t="str">
        <f t="shared" si="1"/>
        <v>-</v>
      </c>
      <c r="X12" s="311" t="str">
        <f t="shared" si="1"/>
        <v>-</v>
      </c>
      <c r="Y12" s="311" t="str">
        <f t="shared" si="1"/>
        <v>-</v>
      </c>
      <c r="Z12" s="311" t="str">
        <f t="shared" si="1"/>
        <v>-</v>
      </c>
      <c r="AB12" s="311" t="str">
        <f>IF($E12=AB$3,#REF!*$F12,"-")</f>
        <v>-</v>
      </c>
      <c r="AC12" s="311" t="str">
        <f>IF($E12=AC$3,#REF!*$F12,"-")</f>
        <v>-</v>
      </c>
      <c r="AD12" s="311" t="str">
        <f>IF($E12=AD$3,#REF!*$F12,"-")</f>
        <v>-</v>
      </c>
      <c r="AE12" s="311" t="str">
        <f>IF($E12=AE$3,#REF!*$F12,"-")</f>
        <v>-</v>
      </c>
      <c r="AF12" s="311" t="str">
        <f>IF($E12=AF$3,#REF!*$F12,"-")</f>
        <v>-</v>
      </c>
      <c r="AG12" s="311" t="str">
        <f>IF($E12=AG$3,#REF!*$F12,"-")</f>
        <v>-</v>
      </c>
      <c r="AH12" s="311" t="str">
        <f>IF($E12=AH$3,#REF!*$F12,"-")</f>
        <v>-</v>
      </c>
      <c r="AI12" s="311" t="str">
        <f>IF($E12=AI$3,#REF!*$F12,"-")</f>
        <v>-</v>
      </c>
      <c r="AJ12" s="311" t="str">
        <f>IF($E12=AJ$3,#REF!*$F12,"-")</f>
        <v>-</v>
      </c>
      <c r="AK12" s="311" t="str">
        <f>IF($E12=AK$3,#REF!*$F12,"-")</f>
        <v>-</v>
      </c>
      <c r="AL12" s="311" t="str">
        <f>IF($E12=AL$3,#REF!*$F12,"-")</f>
        <v>-</v>
      </c>
      <c r="AM12" s="311" t="str">
        <f>IF($E12=AM$3,#REF!*$F12,"-")</f>
        <v>-</v>
      </c>
    </row>
    <row r="13" spans="2:39" s="233" customFormat="1" ht="14.25" x14ac:dyDescent="0.2">
      <c r="B13" s="109"/>
      <c r="C13" s="561"/>
      <c r="D13" s="561"/>
      <c r="E13" s="308" t="s">
        <v>878</v>
      </c>
      <c r="F13" s="389">
        <v>1.0000000000000001E-7</v>
      </c>
      <c r="G13" s="384">
        <v>1E-3</v>
      </c>
      <c r="H13" s="363">
        <v>0</v>
      </c>
      <c r="I13" s="312">
        <f>D6*F13*G13*(1-H13)</f>
        <v>5.6642957135999996E-8</v>
      </c>
      <c r="J13" s="361" t="s">
        <v>291</v>
      </c>
      <c r="K13" s="363">
        <v>0</v>
      </c>
      <c r="L13" s="388">
        <f t="shared" si="0"/>
        <v>5.6642957135999996E-8</v>
      </c>
      <c r="M13" s="258"/>
      <c r="O13" s="311" t="str">
        <f t="shared" si="1"/>
        <v>-</v>
      </c>
      <c r="P13" s="311">
        <f t="shared" si="1"/>
        <v>5.6642957135999998E-5</v>
      </c>
      <c r="Q13" s="311" t="str">
        <f t="shared" si="1"/>
        <v>-</v>
      </c>
      <c r="R13" s="311" t="str">
        <f t="shared" si="1"/>
        <v>-</v>
      </c>
      <c r="S13" s="311" t="str">
        <f t="shared" si="1"/>
        <v>-</v>
      </c>
      <c r="T13" s="311" t="str">
        <f t="shared" si="1"/>
        <v>-</v>
      </c>
      <c r="U13" s="311" t="str">
        <f t="shared" si="1"/>
        <v>-</v>
      </c>
      <c r="V13" s="311" t="str">
        <f t="shared" si="1"/>
        <v>-</v>
      </c>
      <c r="W13" s="311" t="str">
        <f t="shared" si="1"/>
        <v>-</v>
      </c>
      <c r="X13" s="311" t="str">
        <f t="shared" si="1"/>
        <v>-</v>
      </c>
      <c r="Y13" s="311" t="str">
        <f t="shared" si="1"/>
        <v>-</v>
      </c>
      <c r="Z13" s="311" t="str">
        <f t="shared" si="1"/>
        <v>-</v>
      </c>
      <c r="AB13" s="311" t="str">
        <f>IF($E13=AB$3,#REF!*$F13,"-")</f>
        <v>-</v>
      </c>
      <c r="AC13" s="311" t="e">
        <f>IF($E13=AC$3,#REF!*$F13,"-")</f>
        <v>#REF!</v>
      </c>
      <c r="AD13" s="311" t="str">
        <f>IF($E13=AD$3,#REF!*$F13,"-")</f>
        <v>-</v>
      </c>
      <c r="AE13" s="311" t="str">
        <f>IF($E13=AE$3,#REF!*$F13,"-")</f>
        <v>-</v>
      </c>
      <c r="AF13" s="311" t="str">
        <f>IF($E13=AF$3,#REF!*$F13,"-")</f>
        <v>-</v>
      </c>
      <c r="AG13" s="311" t="str">
        <f>IF($E13=AG$3,#REF!*$F13,"-")</f>
        <v>-</v>
      </c>
      <c r="AH13" s="311" t="str">
        <f>IF($E13=AH$3,#REF!*$F13,"-")</f>
        <v>-</v>
      </c>
      <c r="AI13" s="311" t="str">
        <f>IF($E13=AI$3,#REF!*$F13,"-")</f>
        <v>-</v>
      </c>
      <c r="AJ13" s="311" t="str">
        <f>IF($E13=AJ$3,#REF!*$F13,"-")</f>
        <v>-</v>
      </c>
      <c r="AK13" s="311" t="str">
        <f>IF($E13=AK$3,#REF!*$F13,"-")</f>
        <v>-</v>
      </c>
      <c r="AL13" s="311" t="str">
        <f>IF($E13=AL$3,#REF!*$F13,"-")</f>
        <v>-</v>
      </c>
      <c r="AM13" s="311" t="str">
        <f>IF($E13=AM$3,#REF!*$F13,"-")</f>
        <v>-</v>
      </c>
    </row>
    <row r="14" spans="2:39" s="233" customFormat="1" ht="14.25" x14ac:dyDescent="0.2">
      <c r="B14" s="109"/>
      <c r="C14" s="561"/>
      <c r="D14" s="561"/>
      <c r="E14" s="308" t="s">
        <v>879</v>
      </c>
      <c r="F14" s="389">
        <v>9.9999999999999995E-7</v>
      </c>
      <c r="G14" s="384">
        <v>1E-3</v>
      </c>
      <c r="H14" s="363">
        <v>0</v>
      </c>
      <c r="I14" s="312">
        <f>D6*F14*G14*(1-H14)</f>
        <v>5.6642957135999991E-7</v>
      </c>
      <c r="J14" s="361" t="s">
        <v>291</v>
      </c>
      <c r="K14" s="363">
        <v>0</v>
      </c>
      <c r="L14" s="388">
        <f t="shared" si="0"/>
        <v>5.6642957135999991E-7</v>
      </c>
      <c r="M14" s="258"/>
      <c r="O14" s="311" t="str">
        <f t="shared" si="1"/>
        <v>-</v>
      </c>
      <c r="P14" s="311" t="str">
        <f t="shared" si="1"/>
        <v>-</v>
      </c>
      <c r="Q14" s="311">
        <f t="shared" si="1"/>
        <v>5.6642957135999992E-4</v>
      </c>
      <c r="R14" s="311" t="str">
        <f t="shared" si="1"/>
        <v>-</v>
      </c>
      <c r="S14" s="311" t="str">
        <f t="shared" si="1"/>
        <v>-</v>
      </c>
      <c r="T14" s="311" t="str">
        <f t="shared" si="1"/>
        <v>-</v>
      </c>
      <c r="U14" s="311" t="str">
        <f t="shared" si="1"/>
        <v>-</v>
      </c>
      <c r="V14" s="311" t="str">
        <f t="shared" si="1"/>
        <v>-</v>
      </c>
      <c r="W14" s="311" t="str">
        <f t="shared" si="1"/>
        <v>-</v>
      </c>
      <c r="X14" s="311" t="str">
        <f t="shared" si="1"/>
        <v>-</v>
      </c>
      <c r="Y14" s="311" t="str">
        <f t="shared" si="1"/>
        <v>-</v>
      </c>
      <c r="Z14" s="311" t="str">
        <f t="shared" si="1"/>
        <v>-</v>
      </c>
      <c r="AB14" s="311" t="str">
        <f>IF($E14=AB$3,#REF!*$F14,"-")</f>
        <v>-</v>
      </c>
      <c r="AC14" s="311" t="str">
        <f>IF($E14=AC$3,#REF!*$F14,"-")</f>
        <v>-</v>
      </c>
      <c r="AD14" s="311" t="e">
        <f>IF($E14=AD$3,#REF!*$F14,"-")</f>
        <v>#REF!</v>
      </c>
      <c r="AE14" s="311" t="str">
        <f>IF($E14=AE$3,#REF!*$F14,"-")</f>
        <v>-</v>
      </c>
      <c r="AF14" s="311" t="str">
        <f>IF($E14=AF$3,#REF!*$F14,"-")</f>
        <v>-</v>
      </c>
      <c r="AG14" s="311" t="str">
        <f>IF($E14=AG$3,#REF!*$F14,"-")</f>
        <v>-</v>
      </c>
      <c r="AH14" s="311" t="str">
        <f>IF($E14=AH$3,#REF!*$F14,"-")</f>
        <v>-</v>
      </c>
      <c r="AI14" s="311" t="str">
        <f>IF($E14=AI$3,#REF!*$F14,"-")</f>
        <v>-</v>
      </c>
      <c r="AJ14" s="311" t="str">
        <f>IF($E14=AJ$3,#REF!*$F14,"-")</f>
        <v>-</v>
      </c>
      <c r="AK14" s="311" t="str">
        <f>IF($E14=AK$3,#REF!*$F14,"-")</f>
        <v>-</v>
      </c>
      <c r="AL14" s="311" t="str">
        <f>IF($E14=AL$3,#REF!*$F14,"-")</f>
        <v>-</v>
      </c>
      <c r="AM14" s="311" t="str">
        <f>IF($E14=AM$3,#REF!*$F14,"-")</f>
        <v>-</v>
      </c>
    </row>
    <row r="15" spans="2:39" s="233" customFormat="1" ht="14.25" x14ac:dyDescent="0.2">
      <c r="B15" s="109"/>
      <c r="C15" s="561"/>
      <c r="D15" s="561"/>
      <c r="E15" s="308" t="s">
        <v>897</v>
      </c>
      <c r="F15" s="389">
        <v>9.9999999999999995E-7</v>
      </c>
      <c r="G15" s="384">
        <v>1E-3</v>
      </c>
      <c r="H15" s="363">
        <v>0</v>
      </c>
      <c r="I15" s="312">
        <f>D6*F15*G15*(1-H15)</f>
        <v>5.6642957135999991E-7</v>
      </c>
      <c r="J15" s="361" t="s">
        <v>291</v>
      </c>
      <c r="K15" s="363">
        <v>0</v>
      </c>
      <c r="L15" s="388">
        <f t="shared" si="0"/>
        <v>5.6642957135999991E-7</v>
      </c>
      <c r="M15" s="258"/>
      <c r="O15" s="311" t="str">
        <f t="shared" si="1"/>
        <v>-</v>
      </c>
      <c r="P15" s="311" t="str">
        <f t="shared" si="1"/>
        <v>-</v>
      </c>
      <c r="Q15" s="311" t="str">
        <f t="shared" si="1"/>
        <v>-</v>
      </c>
      <c r="R15" s="311" t="str">
        <f t="shared" si="1"/>
        <v>-</v>
      </c>
      <c r="S15" s="311" t="str">
        <f t="shared" si="1"/>
        <v>-</v>
      </c>
      <c r="T15" s="311" t="str">
        <f t="shared" si="1"/>
        <v>-</v>
      </c>
      <c r="U15" s="311" t="str">
        <f t="shared" si="1"/>
        <v>-</v>
      </c>
      <c r="V15" s="311" t="str">
        <f t="shared" si="1"/>
        <v>-</v>
      </c>
      <c r="W15" s="311" t="str">
        <f t="shared" si="1"/>
        <v>-</v>
      </c>
      <c r="X15" s="311" t="str">
        <f t="shared" si="1"/>
        <v>-</v>
      </c>
      <c r="Y15" s="311" t="str">
        <f t="shared" si="1"/>
        <v>-</v>
      </c>
      <c r="Z15" s="311" t="str">
        <f t="shared" si="1"/>
        <v>-</v>
      </c>
      <c r="AB15" s="311" t="str">
        <f>IF($E15=AB$3,#REF!*$F15,"-")</f>
        <v>-</v>
      </c>
      <c r="AC15" s="311" t="str">
        <f>IF($E15=AC$3,#REF!*$F15,"-")</f>
        <v>-</v>
      </c>
      <c r="AD15" s="311" t="str">
        <f>IF($E15=AD$3,#REF!*$F15,"-")</f>
        <v>-</v>
      </c>
      <c r="AE15" s="311" t="str">
        <f>IF($E15=AE$3,#REF!*$F15,"-")</f>
        <v>-</v>
      </c>
      <c r="AF15" s="311" t="str">
        <f>IF($E15=AF$3,#REF!*$F15,"-")</f>
        <v>-</v>
      </c>
      <c r="AG15" s="311" t="str">
        <f>IF($E15=AG$3,#REF!*$F15,"-")</f>
        <v>-</v>
      </c>
      <c r="AH15" s="311" t="str">
        <f>IF($E15=AH$3,#REF!*$F15,"-")</f>
        <v>-</v>
      </c>
      <c r="AI15" s="311" t="str">
        <f>IF($E15=AI$3,#REF!*$F15,"-")</f>
        <v>-</v>
      </c>
      <c r="AJ15" s="311" t="str">
        <f>IF($E15=AJ$3,#REF!*$F15,"-")</f>
        <v>-</v>
      </c>
      <c r="AK15" s="311" t="str">
        <f>IF($E15=AK$3,#REF!*$F15,"-")</f>
        <v>-</v>
      </c>
      <c r="AL15" s="311" t="str">
        <f>IF($E15=AL$3,#REF!*$F15,"-")</f>
        <v>-</v>
      </c>
      <c r="AM15" s="311" t="str">
        <f>IF($E15=AM$3,#REF!*$F15,"-")</f>
        <v>-</v>
      </c>
    </row>
    <row r="16" spans="2:39" s="233" customFormat="1" ht="14.25" x14ac:dyDescent="0.2">
      <c r="B16" s="109"/>
      <c r="C16" s="561"/>
      <c r="D16" s="561"/>
      <c r="E16" s="308" t="s">
        <v>880</v>
      </c>
      <c r="F16" s="389">
        <v>1.9999999999999999E-6</v>
      </c>
      <c r="G16" s="384">
        <v>1E-3</v>
      </c>
      <c r="H16" s="363">
        <v>0</v>
      </c>
      <c r="I16" s="312">
        <f>D6*F16*G16*(1-H16)</f>
        <v>1.1328591427199998E-6</v>
      </c>
      <c r="J16" s="361" t="s">
        <v>291</v>
      </c>
      <c r="K16" s="363">
        <v>0</v>
      </c>
      <c r="L16" s="388">
        <f t="shared" si="0"/>
        <v>1.1328591427199998E-6</v>
      </c>
      <c r="M16" s="258"/>
      <c r="O16" s="311" t="str">
        <f t="shared" ref="O16:Z25" si="2">IF($E16=O$3,$D$6*$F16,"-")</f>
        <v>-</v>
      </c>
      <c r="P16" s="311" t="str">
        <f t="shared" si="2"/>
        <v>-</v>
      </c>
      <c r="Q16" s="311" t="str">
        <f t="shared" si="2"/>
        <v>-</v>
      </c>
      <c r="R16" s="311">
        <f t="shared" si="2"/>
        <v>1.1328591427199998E-3</v>
      </c>
      <c r="S16" s="311" t="str">
        <f t="shared" si="2"/>
        <v>-</v>
      </c>
      <c r="T16" s="311" t="str">
        <f t="shared" si="2"/>
        <v>-</v>
      </c>
      <c r="U16" s="311" t="str">
        <f t="shared" si="2"/>
        <v>-</v>
      </c>
      <c r="V16" s="311" t="str">
        <f t="shared" si="2"/>
        <v>-</v>
      </c>
      <c r="W16" s="311" t="str">
        <f t="shared" si="2"/>
        <v>-</v>
      </c>
      <c r="X16" s="311" t="str">
        <f t="shared" si="2"/>
        <v>-</v>
      </c>
      <c r="Y16" s="311" t="str">
        <f t="shared" si="2"/>
        <v>-</v>
      </c>
      <c r="Z16" s="311" t="str">
        <f t="shared" si="2"/>
        <v>-</v>
      </c>
      <c r="AB16" s="311" t="str">
        <f>IF($E16=AB$3,#REF!*$F16,"-")</f>
        <v>-</v>
      </c>
      <c r="AC16" s="311" t="str">
        <f>IF($E16=AC$3,#REF!*$F16,"-")</f>
        <v>-</v>
      </c>
      <c r="AD16" s="311" t="str">
        <f>IF($E16=AD$3,#REF!*$F16,"-")</f>
        <v>-</v>
      </c>
      <c r="AE16" s="311" t="e">
        <f>IF($E16=AE$3,#REF!*$F16,"-")</f>
        <v>#REF!</v>
      </c>
      <c r="AF16" s="311" t="str">
        <f>IF($E16=AF$3,#REF!*$F16,"-")</f>
        <v>-</v>
      </c>
      <c r="AG16" s="311" t="str">
        <f>IF($E16=AG$3,#REF!*$F16,"-")</f>
        <v>-</v>
      </c>
      <c r="AH16" s="311" t="str">
        <f>IF($E16=AH$3,#REF!*$F16,"-")</f>
        <v>-</v>
      </c>
      <c r="AI16" s="311" t="str">
        <f>IF($E16=AI$3,#REF!*$F16,"-")</f>
        <v>-</v>
      </c>
      <c r="AJ16" s="311" t="str">
        <f>IF($E16=AJ$3,#REF!*$F16,"-")</f>
        <v>-</v>
      </c>
      <c r="AK16" s="311" t="str">
        <f>IF($E16=AK$3,#REF!*$F16,"-")</f>
        <v>-</v>
      </c>
      <c r="AL16" s="311" t="str">
        <f>IF($E16=AL$3,#REF!*$F16,"-")</f>
        <v>-</v>
      </c>
      <c r="AM16" s="311" t="str">
        <f>IF($E16=AM$3,#REF!*$F16,"-")</f>
        <v>-</v>
      </c>
    </row>
    <row r="17" spans="2:39" s="233" customFormat="1" ht="14.25" x14ac:dyDescent="0.2">
      <c r="B17" s="109"/>
      <c r="C17" s="561"/>
      <c r="D17" s="561"/>
      <c r="E17" s="308" t="s">
        <v>898</v>
      </c>
      <c r="F17" s="389">
        <v>3.0000000000000001E-6</v>
      </c>
      <c r="G17" s="384">
        <v>1E-3</v>
      </c>
      <c r="H17" s="363">
        <v>0</v>
      </c>
      <c r="I17" s="312">
        <f>D6*F17*G17*(1-H17)</f>
        <v>1.6992887140800001E-6</v>
      </c>
      <c r="J17" s="361" t="s">
        <v>291</v>
      </c>
      <c r="K17" s="363">
        <v>0</v>
      </c>
      <c r="L17" s="388">
        <f t="shared" si="0"/>
        <v>1.6992887140800001E-6</v>
      </c>
      <c r="M17" s="258"/>
      <c r="O17" s="311" t="str">
        <f t="shared" si="2"/>
        <v>-</v>
      </c>
      <c r="P17" s="311" t="str">
        <f t="shared" si="2"/>
        <v>-</v>
      </c>
      <c r="Q17" s="311" t="str">
        <f t="shared" si="2"/>
        <v>-</v>
      </c>
      <c r="R17" s="311" t="str">
        <f t="shared" si="2"/>
        <v>-</v>
      </c>
      <c r="S17" s="311" t="str">
        <f t="shared" si="2"/>
        <v>-</v>
      </c>
      <c r="T17" s="311" t="str">
        <f t="shared" si="2"/>
        <v>-</v>
      </c>
      <c r="U17" s="311" t="str">
        <f t="shared" si="2"/>
        <v>-</v>
      </c>
      <c r="V17" s="311" t="str">
        <f t="shared" si="2"/>
        <v>-</v>
      </c>
      <c r="W17" s="311" t="str">
        <f t="shared" si="2"/>
        <v>-</v>
      </c>
      <c r="X17" s="311" t="str">
        <f t="shared" si="2"/>
        <v>-</v>
      </c>
      <c r="Y17" s="311" t="str">
        <f t="shared" si="2"/>
        <v>-</v>
      </c>
      <c r="Z17" s="311" t="str">
        <f t="shared" si="2"/>
        <v>-</v>
      </c>
      <c r="AB17" s="311" t="str">
        <f>IF($E17=AB$3,#REF!*$F17,"-")</f>
        <v>-</v>
      </c>
      <c r="AC17" s="311" t="str">
        <f>IF($E17=AC$3,#REF!*$F17,"-")</f>
        <v>-</v>
      </c>
      <c r="AD17" s="311" t="str">
        <f>IF($E17=AD$3,#REF!*$F17,"-")</f>
        <v>-</v>
      </c>
      <c r="AE17" s="311" t="str">
        <f>IF($E17=AE$3,#REF!*$F17,"-")</f>
        <v>-</v>
      </c>
      <c r="AF17" s="311" t="str">
        <f>IF($E17=AF$3,#REF!*$F17,"-")</f>
        <v>-</v>
      </c>
      <c r="AG17" s="311" t="str">
        <f>IF($E17=AG$3,#REF!*$F17,"-")</f>
        <v>-</v>
      </c>
      <c r="AH17" s="311" t="str">
        <f>IF($E17=AH$3,#REF!*$F17,"-")</f>
        <v>-</v>
      </c>
      <c r="AI17" s="311" t="str">
        <f>IF($E17=AI$3,#REF!*$F17,"-")</f>
        <v>-</v>
      </c>
      <c r="AJ17" s="311" t="str">
        <f>IF($E17=AJ$3,#REF!*$F17,"-")</f>
        <v>-</v>
      </c>
      <c r="AK17" s="311" t="str">
        <f>IF($E17=AK$3,#REF!*$F17,"-")</f>
        <v>-</v>
      </c>
      <c r="AL17" s="311" t="str">
        <f>IF($E17=AL$3,#REF!*$F17,"-")</f>
        <v>-</v>
      </c>
      <c r="AM17" s="311" t="str">
        <f>IF($E17=AM$3,#REF!*$F17,"-")</f>
        <v>-</v>
      </c>
    </row>
    <row r="18" spans="2:39" s="233" customFormat="1" ht="14.25" x14ac:dyDescent="0.2">
      <c r="B18" s="109"/>
      <c r="C18" s="561"/>
      <c r="D18" s="561"/>
      <c r="E18" s="308" t="s">
        <v>899</v>
      </c>
      <c r="F18" s="389">
        <v>1.0000000000000001E-7</v>
      </c>
      <c r="G18" s="384">
        <v>1E-3</v>
      </c>
      <c r="H18" s="363">
        <v>0</v>
      </c>
      <c r="I18" s="312">
        <f>D6*F18*G18*(1-H18)</f>
        <v>5.6642957135999996E-8</v>
      </c>
      <c r="J18" s="361" t="s">
        <v>291</v>
      </c>
      <c r="K18" s="363">
        <v>0</v>
      </c>
      <c r="L18" s="388">
        <f t="shared" si="0"/>
        <v>5.6642957135999996E-8</v>
      </c>
      <c r="M18" s="258"/>
      <c r="O18" s="311" t="str">
        <f t="shared" si="2"/>
        <v>-</v>
      </c>
      <c r="P18" s="311" t="str">
        <f t="shared" si="2"/>
        <v>-</v>
      </c>
      <c r="Q18" s="311" t="str">
        <f t="shared" si="2"/>
        <v>-</v>
      </c>
      <c r="R18" s="311" t="str">
        <f t="shared" si="2"/>
        <v>-</v>
      </c>
      <c r="S18" s="311" t="str">
        <f t="shared" si="2"/>
        <v>-</v>
      </c>
      <c r="T18" s="311" t="str">
        <f t="shared" si="2"/>
        <v>-</v>
      </c>
      <c r="U18" s="311" t="str">
        <f t="shared" si="2"/>
        <v>-</v>
      </c>
      <c r="V18" s="311" t="str">
        <f t="shared" si="2"/>
        <v>-</v>
      </c>
      <c r="W18" s="311" t="str">
        <f t="shared" si="2"/>
        <v>-</v>
      </c>
      <c r="X18" s="311" t="str">
        <f t="shared" si="2"/>
        <v>-</v>
      </c>
      <c r="Y18" s="311" t="str">
        <f t="shared" si="2"/>
        <v>-</v>
      </c>
      <c r="Z18" s="311" t="str">
        <f t="shared" si="2"/>
        <v>-</v>
      </c>
      <c r="AB18" s="311" t="str">
        <f>IF($E18=AB$3,#REF!*$F18,"-")</f>
        <v>-</v>
      </c>
      <c r="AC18" s="311" t="str">
        <f>IF($E18=AC$3,#REF!*$F18,"-")</f>
        <v>-</v>
      </c>
      <c r="AD18" s="311" t="str">
        <f>IF($E18=AD$3,#REF!*$F18,"-")</f>
        <v>-</v>
      </c>
      <c r="AE18" s="311" t="str">
        <f>IF($E18=AE$3,#REF!*$F18,"-")</f>
        <v>-</v>
      </c>
      <c r="AF18" s="311" t="str">
        <f>IF($E18=AF$3,#REF!*$F18,"-")</f>
        <v>-</v>
      </c>
      <c r="AG18" s="311" t="str">
        <f>IF($E18=AG$3,#REF!*$F18,"-")</f>
        <v>-</v>
      </c>
      <c r="AH18" s="311" t="str">
        <f>IF($E18=AH$3,#REF!*$F18,"-")</f>
        <v>-</v>
      </c>
      <c r="AI18" s="311" t="str">
        <f>IF($E18=AI$3,#REF!*$F18,"-")</f>
        <v>-</v>
      </c>
      <c r="AJ18" s="311" t="str">
        <f>IF($E18=AJ$3,#REF!*$F18,"-")</f>
        <v>-</v>
      </c>
      <c r="AK18" s="311" t="str">
        <f>IF($E18=AK$3,#REF!*$F18,"-")</f>
        <v>-</v>
      </c>
      <c r="AL18" s="311" t="str">
        <f>IF($E18=AL$3,#REF!*$F18,"-")</f>
        <v>-</v>
      </c>
      <c r="AM18" s="311" t="str">
        <f>IF($E18=AM$3,#REF!*$F18,"-")</f>
        <v>-</v>
      </c>
    </row>
    <row r="19" spans="2:39" s="233" customFormat="1" ht="14.25" x14ac:dyDescent="0.2">
      <c r="B19" s="109"/>
      <c r="C19" s="561"/>
      <c r="D19" s="561"/>
      <c r="E19" s="308" t="s">
        <v>900</v>
      </c>
      <c r="F19" s="389">
        <v>1.0000000000000001E-7</v>
      </c>
      <c r="G19" s="384">
        <v>1E-3</v>
      </c>
      <c r="H19" s="363">
        <v>0</v>
      </c>
      <c r="I19" s="312">
        <f>D6*F19*G19*(1-H19)</f>
        <v>5.6642957135999996E-8</v>
      </c>
      <c r="J19" s="361" t="s">
        <v>291</v>
      </c>
      <c r="K19" s="363">
        <v>0</v>
      </c>
      <c r="L19" s="388">
        <f t="shared" si="0"/>
        <v>5.6642957135999996E-8</v>
      </c>
      <c r="M19" s="258"/>
      <c r="O19" s="311" t="str">
        <f t="shared" si="2"/>
        <v>-</v>
      </c>
      <c r="P19" s="311" t="str">
        <f t="shared" si="2"/>
        <v>-</v>
      </c>
      <c r="Q19" s="311" t="str">
        <f t="shared" si="2"/>
        <v>-</v>
      </c>
      <c r="R19" s="311" t="str">
        <f t="shared" si="2"/>
        <v>-</v>
      </c>
      <c r="S19" s="311" t="str">
        <f t="shared" si="2"/>
        <v>-</v>
      </c>
      <c r="T19" s="311" t="str">
        <f t="shared" si="2"/>
        <v>-</v>
      </c>
      <c r="U19" s="311" t="str">
        <f t="shared" si="2"/>
        <v>-</v>
      </c>
      <c r="V19" s="311" t="str">
        <f t="shared" si="2"/>
        <v>-</v>
      </c>
      <c r="W19" s="311" t="str">
        <f t="shared" si="2"/>
        <v>-</v>
      </c>
      <c r="X19" s="311" t="str">
        <f t="shared" si="2"/>
        <v>-</v>
      </c>
      <c r="Y19" s="311" t="str">
        <f t="shared" si="2"/>
        <v>-</v>
      </c>
      <c r="Z19" s="311" t="str">
        <f t="shared" si="2"/>
        <v>-</v>
      </c>
      <c r="AB19" s="311" t="str">
        <f>IF($E19=AB$3,#REF!*$F19,"-")</f>
        <v>-</v>
      </c>
      <c r="AC19" s="311" t="str">
        <f>IF($E19=AC$3,#REF!*$F19,"-")</f>
        <v>-</v>
      </c>
      <c r="AD19" s="311" t="str">
        <f>IF($E19=AD$3,#REF!*$F19,"-")</f>
        <v>-</v>
      </c>
      <c r="AE19" s="311" t="str">
        <f>IF($E19=AE$3,#REF!*$F19,"-")</f>
        <v>-</v>
      </c>
      <c r="AF19" s="311" t="str">
        <f>IF($E19=AF$3,#REF!*$F19,"-")</f>
        <v>-</v>
      </c>
      <c r="AG19" s="311" t="str">
        <f>IF($E19=AG$3,#REF!*$F19,"-")</f>
        <v>-</v>
      </c>
      <c r="AH19" s="311" t="str">
        <f>IF($E19=AH$3,#REF!*$F19,"-")</f>
        <v>-</v>
      </c>
      <c r="AI19" s="311" t="str">
        <f>IF($E19=AI$3,#REF!*$F19,"-")</f>
        <v>-</v>
      </c>
      <c r="AJ19" s="311" t="str">
        <f>IF($E19=AJ$3,#REF!*$F19,"-")</f>
        <v>-</v>
      </c>
      <c r="AK19" s="311" t="str">
        <f>IF($E19=AK$3,#REF!*$F19,"-")</f>
        <v>-</v>
      </c>
      <c r="AL19" s="311" t="str">
        <f>IF($E19=AL$3,#REF!*$F19,"-")</f>
        <v>-</v>
      </c>
      <c r="AM19" s="311" t="str">
        <f>IF($E19=AM$3,#REF!*$F19,"-")</f>
        <v>-</v>
      </c>
    </row>
    <row r="20" spans="2:39" s="233" customFormat="1" ht="14.25" x14ac:dyDescent="0.2">
      <c r="B20" s="109"/>
      <c r="C20" s="561"/>
      <c r="D20" s="561"/>
      <c r="E20" s="308" t="s">
        <v>901</v>
      </c>
      <c r="F20" s="389">
        <v>1.0000000000000001E-7</v>
      </c>
      <c r="G20" s="384">
        <v>1E-3</v>
      </c>
      <c r="H20" s="363">
        <v>0</v>
      </c>
      <c r="I20" s="312">
        <f>D6*F20*G20*(1-H20)</f>
        <v>5.6642957135999996E-8</v>
      </c>
      <c r="J20" s="361" t="s">
        <v>291</v>
      </c>
      <c r="K20" s="363">
        <v>0</v>
      </c>
      <c r="L20" s="388">
        <f t="shared" si="0"/>
        <v>5.6642957135999996E-8</v>
      </c>
      <c r="M20" s="258"/>
      <c r="O20" s="311" t="str">
        <f t="shared" si="2"/>
        <v>-</v>
      </c>
      <c r="P20" s="311" t="str">
        <f t="shared" si="2"/>
        <v>-</v>
      </c>
      <c r="Q20" s="311" t="str">
        <f t="shared" si="2"/>
        <v>-</v>
      </c>
      <c r="R20" s="311" t="str">
        <f t="shared" si="2"/>
        <v>-</v>
      </c>
      <c r="S20" s="311" t="str">
        <f t="shared" si="2"/>
        <v>-</v>
      </c>
      <c r="T20" s="311" t="str">
        <f t="shared" si="2"/>
        <v>-</v>
      </c>
      <c r="U20" s="311" t="str">
        <f t="shared" si="2"/>
        <v>-</v>
      </c>
      <c r="V20" s="311" t="str">
        <f t="shared" si="2"/>
        <v>-</v>
      </c>
      <c r="W20" s="311" t="str">
        <f t="shared" si="2"/>
        <v>-</v>
      </c>
      <c r="X20" s="311" t="str">
        <f t="shared" si="2"/>
        <v>-</v>
      </c>
      <c r="Y20" s="311" t="str">
        <f t="shared" si="2"/>
        <v>-</v>
      </c>
      <c r="Z20" s="311" t="str">
        <f t="shared" si="2"/>
        <v>-</v>
      </c>
      <c r="AB20" s="311" t="str">
        <f>IF($E20=AB$3,#REF!*$F20,"-")</f>
        <v>-</v>
      </c>
      <c r="AC20" s="311" t="str">
        <f>IF($E20=AC$3,#REF!*$F20,"-")</f>
        <v>-</v>
      </c>
      <c r="AD20" s="311" t="str">
        <f>IF($E20=AD$3,#REF!*$F20,"-")</f>
        <v>-</v>
      </c>
      <c r="AE20" s="311" t="str">
        <f>IF($E20=AE$3,#REF!*$F20,"-")</f>
        <v>-</v>
      </c>
      <c r="AF20" s="311" t="str">
        <f>IF($E20=AF$3,#REF!*$F20,"-")</f>
        <v>-</v>
      </c>
      <c r="AG20" s="311" t="str">
        <f>IF($E20=AG$3,#REF!*$F20,"-")</f>
        <v>-</v>
      </c>
      <c r="AH20" s="311" t="str">
        <f>IF($E20=AH$3,#REF!*$F20,"-")</f>
        <v>-</v>
      </c>
      <c r="AI20" s="311" t="str">
        <f>IF($E20=AI$3,#REF!*$F20,"-")</f>
        <v>-</v>
      </c>
      <c r="AJ20" s="311" t="str">
        <f>IF($E20=AJ$3,#REF!*$F20,"-")</f>
        <v>-</v>
      </c>
      <c r="AK20" s="311" t="str">
        <f>IF($E20=AK$3,#REF!*$F20,"-")</f>
        <v>-</v>
      </c>
      <c r="AL20" s="311" t="str">
        <f>IF($E20=AL$3,#REF!*$F20,"-")</f>
        <v>-</v>
      </c>
      <c r="AM20" s="311" t="str">
        <f>IF($E20=AM$3,#REF!*$F20,"-")</f>
        <v>-</v>
      </c>
    </row>
    <row r="21" spans="2:39" s="233" customFormat="1" ht="14.25" x14ac:dyDescent="0.2">
      <c r="B21" s="109"/>
      <c r="C21" s="561"/>
      <c r="D21" s="561"/>
      <c r="E21" s="308" t="s">
        <v>881</v>
      </c>
      <c r="F21" s="389">
        <v>9.9999999999999995E-7</v>
      </c>
      <c r="G21" s="384">
        <v>1E-3</v>
      </c>
      <c r="H21" s="363">
        <v>0</v>
      </c>
      <c r="I21" s="312">
        <f>D6*F21*G21*(1-H21)</f>
        <v>5.6642957135999991E-7</v>
      </c>
      <c r="J21" s="361" t="s">
        <v>291</v>
      </c>
      <c r="K21" s="363">
        <v>0</v>
      </c>
      <c r="L21" s="388">
        <f t="shared" si="0"/>
        <v>5.6642957135999991E-7</v>
      </c>
      <c r="M21" s="258"/>
      <c r="O21" s="311" t="str">
        <f t="shared" si="2"/>
        <v>-</v>
      </c>
      <c r="P21" s="311" t="str">
        <f t="shared" si="2"/>
        <v>-</v>
      </c>
      <c r="Q21" s="311" t="str">
        <f t="shared" si="2"/>
        <v>-</v>
      </c>
      <c r="R21" s="311" t="str">
        <f t="shared" si="2"/>
        <v>-</v>
      </c>
      <c r="S21" s="311">
        <f t="shared" si="2"/>
        <v>5.6642957135999992E-4</v>
      </c>
      <c r="T21" s="311" t="str">
        <f t="shared" si="2"/>
        <v>-</v>
      </c>
      <c r="U21" s="311" t="str">
        <f t="shared" si="2"/>
        <v>-</v>
      </c>
      <c r="V21" s="311" t="str">
        <f t="shared" si="2"/>
        <v>-</v>
      </c>
      <c r="W21" s="311" t="str">
        <f t="shared" si="2"/>
        <v>-</v>
      </c>
      <c r="X21" s="311" t="str">
        <f t="shared" si="2"/>
        <v>-</v>
      </c>
      <c r="Y21" s="311" t="str">
        <f t="shared" si="2"/>
        <v>-</v>
      </c>
      <c r="Z21" s="311" t="str">
        <f t="shared" si="2"/>
        <v>-</v>
      </c>
      <c r="AB21" s="311" t="str">
        <f>IF($E21=AB$3,#REF!*$F21,"-")</f>
        <v>-</v>
      </c>
      <c r="AC21" s="311" t="str">
        <f>IF($E21=AC$3,#REF!*$F21,"-")</f>
        <v>-</v>
      </c>
      <c r="AD21" s="311" t="str">
        <f>IF($E21=AD$3,#REF!*$F21,"-")</f>
        <v>-</v>
      </c>
      <c r="AE21" s="311" t="str">
        <f>IF($E21=AE$3,#REF!*$F21,"-")</f>
        <v>-</v>
      </c>
      <c r="AF21" s="311" t="e">
        <f>IF($E21=AF$3,#REF!*$F21,"-")</f>
        <v>#REF!</v>
      </c>
      <c r="AG21" s="311" t="str">
        <f>IF($E21=AG$3,#REF!*$F21,"-")</f>
        <v>-</v>
      </c>
      <c r="AH21" s="311" t="str">
        <f>IF($E21=AH$3,#REF!*$F21,"-")</f>
        <v>-</v>
      </c>
      <c r="AI21" s="311" t="str">
        <f>IF($E21=AI$3,#REF!*$F21,"-")</f>
        <v>-</v>
      </c>
      <c r="AJ21" s="311" t="str">
        <f>IF($E21=AJ$3,#REF!*$F21,"-")</f>
        <v>-</v>
      </c>
      <c r="AK21" s="311" t="str">
        <f>IF($E21=AK$3,#REF!*$F21,"-")</f>
        <v>-</v>
      </c>
      <c r="AL21" s="311" t="str">
        <f>IF($E21=AL$3,#REF!*$F21,"-")</f>
        <v>-</v>
      </c>
      <c r="AM21" s="311" t="str">
        <f>IF($E21=AM$3,#REF!*$F21,"-")</f>
        <v>-</v>
      </c>
    </row>
    <row r="22" spans="2:39" s="233" customFormat="1" ht="14.25" x14ac:dyDescent="0.2">
      <c r="B22" s="109"/>
      <c r="C22" s="561"/>
      <c r="D22" s="561"/>
      <c r="E22" s="308" t="s">
        <v>882</v>
      </c>
      <c r="F22" s="389">
        <v>6.0000000000000002E-6</v>
      </c>
      <c r="G22" s="384">
        <v>1E-3</v>
      </c>
      <c r="H22" s="363">
        <v>0</v>
      </c>
      <c r="I22" s="312">
        <f>D6*F22*G22*(1-H22)</f>
        <v>3.3985774281600001E-6</v>
      </c>
      <c r="J22" s="361" t="s">
        <v>291</v>
      </c>
      <c r="K22" s="363">
        <v>0</v>
      </c>
      <c r="L22" s="388">
        <f t="shared" si="0"/>
        <v>3.3985774281600001E-6</v>
      </c>
      <c r="M22" s="258"/>
      <c r="O22" s="311" t="str">
        <f t="shared" si="2"/>
        <v>-</v>
      </c>
      <c r="P22" s="311" t="str">
        <f t="shared" si="2"/>
        <v>-</v>
      </c>
      <c r="Q22" s="311" t="str">
        <f t="shared" si="2"/>
        <v>-</v>
      </c>
      <c r="R22" s="311" t="str">
        <f t="shared" si="2"/>
        <v>-</v>
      </c>
      <c r="S22" s="311" t="str">
        <f t="shared" si="2"/>
        <v>-</v>
      </c>
      <c r="T22" s="311">
        <f t="shared" si="2"/>
        <v>3.3985774281599999E-3</v>
      </c>
      <c r="U22" s="311" t="str">
        <f t="shared" si="2"/>
        <v>-</v>
      </c>
      <c r="V22" s="311" t="str">
        <f t="shared" si="2"/>
        <v>-</v>
      </c>
      <c r="W22" s="311" t="str">
        <f t="shared" si="2"/>
        <v>-</v>
      </c>
      <c r="X22" s="311" t="str">
        <f t="shared" si="2"/>
        <v>-</v>
      </c>
      <c r="Y22" s="311" t="str">
        <f t="shared" si="2"/>
        <v>-</v>
      </c>
      <c r="Z22" s="311" t="str">
        <f t="shared" si="2"/>
        <v>-</v>
      </c>
      <c r="AB22" s="311" t="str">
        <f>IF($E22=AB$3,#REF!*$F22,"-")</f>
        <v>-</v>
      </c>
      <c r="AC22" s="311" t="str">
        <f>IF($E22=AC$3,#REF!*$F22,"-")</f>
        <v>-</v>
      </c>
      <c r="AD22" s="311" t="str">
        <f>IF($E22=AD$3,#REF!*$F22,"-")</f>
        <v>-</v>
      </c>
      <c r="AE22" s="311" t="str">
        <f>IF($E22=AE$3,#REF!*$F22,"-")</f>
        <v>-</v>
      </c>
      <c r="AF22" s="311" t="str">
        <f>IF($E22=AF$3,#REF!*$F22,"-")</f>
        <v>-</v>
      </c>
      <c r="AG22" s="311" t="e">
        <f>IF($E22=AG$3,#REF!*$F22,"-")</f>
        <v>#REF!</v>
      </c>
      <c r="AH22" s="311" t="str">
        <f>IF($E22=AH$3,#REF!*$F22,"-")</f>
        <v>-</v>
      </c>
      <c r="AI22" s="311" t="str">
        <f>IF($E22=AI$3,#REF!*$F22,"-")</f>
        <v>-</v>
      </c>
      <c r="AJ22" s="311" t="str">
        <f>IF($E22=AJ$3,#REF!*$F22,"-")</f>
        <v>-</v>
      </c>
      <c r="AK22" s="311" t="str">
        <f>IF($E22=AK$3,#REF!*$F22,"-")</f>
        <v>-</v>
      </c>
      <c r="AL22" s="311" t="str">
        <f>IF($E22=AL$3,#REF!*$F22,"-")</f>
        <v>-</v>
      </c>
      <c r="AM22" s="311" t="str">
        <f>IF($E22=AM$3,#REF!*$F22,"-")</f>
        <v>-</v>
      </c>
    </row>
    <row r="23" spans="2:39" s="233" customFormat="1" ht="14.25" x14ac:dyDescent="0.2">
      <c r="B23" s="109"/>
      <c r="C23" s="561"/>
      <c r="D23" s="561"/>
      <c r="E23" s="308" t="s">
        <v>902</v>
      </c>
      <c r="F23" s="389">
        <v>1.0000000000000001E-7</v>
      </c>
      <c r="G23" s="384">
        <v>1E-3</v>
      </c>
      <c r="H23" s="363">
        <v>0</v>
      </c>
      <c r="I23" s="312">
        <f>D6*F23*G23*(1-H23)</f>
        <v>5.6642957135999996E-8</v>
      </c>
      <c r="J23" s="361" t="s">
        <v>291</v>
      </c>
      <c r="K23" s="363">
        <v>0</v>
      </c>
      <c r="L23" s="388">
        <f t="shared" si="0"/>
        <v>5.6642957135999996E-8</v>
      </c>
      <c r="M23" s="258"/>
      <c r="O23" s="311" t="str">
        <f t="shared" si="2"/>
        <v>-</v>
      </c>
      <c r="P23" s="311" t="str">
        <f t="shared" si="2"/>
        <v>-</v>
      </c>
      <c r="Q23" s="311" t="str">
        <f t="shared" si="2"/>
        <v>-</v>
      </c>
      <c r="R23" s="311" t="str">
        <f t="shared" si="2"/>
        <v>-</v>
      </c>
      <c r="S23" s="311" t="str">
        <f t="shared" si="2"/>
        <v>-</v>
      </c>
      <c r="T23" s="311" t="str">
        <f t="shared" si="2"/>
        <v>-</v>
      </c>
      <c r="U23" s="311" t="str">
        <f t="shared" si="2"/>
        <v>-</v>
      </c>
      <c r="V23" s="311" t="str">
        <f t="shared" si="2"/>
        <v>-</v>
      </c>
      <c r="W23" s="311" t="str">
        <f t="shared" si="2"/>
        <v>-</v>
      </c>
      <c r="X23" s="311" t="str">
        <f t="shared" si="2"/>
        <v>-</v>
      </c>
      <c r="Y23" s="311" t="str">
        <f t="shared" si="2"/>
        <v>-</v>
      </c>
      <c r="Z23" s="311" t="str">
        <f t="shared" si="2"/>
        <v>-</v>
      </c>
      <c r="AB23" s="311" t="str">
        <f>IF($E23=AB$3,#REF!*$F23,"-")</f>
        <v>-</v>
      </c>
      <c r="AC23" s="311" t="str">
        <f>IF($E23=AC$3,#REF!*$F23,"-")</f>
        <v>-</v>
      </c>
      <c r="AD23" s="311" t="str">
        <f>IF($E23=AD$3,#REF!*$F23,"-")</f>
        <v>-</v>
      </c>
      <c r="AE23" s="311" t="str">
        <f>IF($E23=AE$3,#REF!*$F23,"-")</f>
        <v>-</v>
      </c>
      <c r="AF23" s="311" t="str">
        <f>IF($E23=AF$3,#REF!*$F23,"-")</f>
        <v>-</v>
      </c>
      <c r="AG23" s="311" t="str">
        <f>IF($E23=AG$3,#REF!*$F23,"-")</f>
        <v>-</v>
      </c>
      <c r="AH23" s="311" t="str">
        <f>IF($E23=AH$3,#REF!*$F23,"-")</f>
        <v>-</v>
      </c>
      <c r="AI23" s="311" t="str">
        <f>IF($E23=AI$3,#REF!*$F23,"-")</f>
        <v>-</v>
      </c>
      <c r="AJ23" s="311" t="str">
        <f>IF($E23=AJ$3,#REF!*$F23,"-")</f>
        <v>-</v>
      </c>
      <c r="AK23" s="311" t="str">
        <f>IF($E23=AK$3,#REF!*$F23,"-")</f>
        <v>-</v>
      </c>
      <c r="AL23" s="311" t="str">
        <f>IF($E23=AL$3,#REF!*$F23,"-")</f>
        <v>-</v>
      </c>
      <c r="AM23" s="311" t="str">
        <f>IF($E23=AM$3,#REF!*$F23,"-")</f>
        <v>-</v>
      </c>
    </row>
    <row r="24" spans="2:39" s="233" customFormat="1" ht="14.25" x14ac:dyDescent="0.2">
      <c r="B24" s="109"/>
      <c r="C24" s="561"/>
      <c r="D24" s="561"/>
      <c r="E24" s="308" t="s">
        <v>883</v>
      </c>
      <c r="F24" s="389">
        <v>1.0000000000000001E-7</v>
      </c>
      <c r="G24" s="384">
        <v>1E-3</v>
      </c>
      <c r="H24" s="363">
        <v>0</v>
      </c>
      <c r="I24" s="312">
        <f>D6*F24*G24*(1-H24)</f>
        <v>5.6642957135999996E-8</v>
      </c>
      <c r="J24" s="361" t="s">
        <v>291</v>
      </c>
      <c r="K24" s="363">
        <v>0</v>
      </c>
      <c r="L24" s="388">
        <f t="shared" si="0"/>
        <v>5.6642957135999996E-8</v>
      </c>
      <c r="M24" s="258"/>
      <c r="O24" s="311" t="str">
        <f t="shared" si="2"/>
        <v>-</v>
      </c>
      <c r="P24" s="311" t="str">
        <f t="shared" si="2"/>
        <v>-</v>
      </c>
      <c r="Q24" s="311" t="str">
        <f t="shared" si="2"/>
        <v>-</v>
      </c>
      <c r="R24" s="311" t="str">
        <f t="shared" si="2"/>
        <v>-</v>
      </c>
      <c r="S24" s="311" t="str">
        <f t="shared" si="2"/>
        <v>-</v>
      </c>
      <c r="T24" s="311" t="str">
        <f t="shared" si="2"/>
        <v>-</v>
      </c>
      <c r="U24" s="311">
        <f t="shared" si="2"/>
        <v>5.6642957135999998E-5</v>
      </c>
      <c r="V24" s="311" t="str">
        <f t="shared" si="2"/>
        <v>-</v>
      </c>
      <c r="W24" s="311" t="str">
        <f t="shared" si="2"/>
        <v>-</v>
      </c>
      <c r="X24" s="311" t="str">
        <f t="shared" si="2"/>
        <v>-</v>
      </c>
      <c r="Y24" s="311" t="str">
        <f t="shared" si="2"/>
        <v>-</v>
      </c>
      <c r="Z24" s="311" t="str">
        <f t="shared" si="2"/>
        <v>-</v>
      </c>
      <c r="AB24" s="311" t="str">
        <f>IF($E24=AB$3,#REF!*$F24,"-")</f>
        <v>-</v>
      </c>
      <c r="AC24" s="311" t="str">
        <f>IF($E24=AC$3,#REF!*$F24,"-")</f>
        <v>-</v>
      </c>
      <c r="AD24" s="311" t="str">
        <f>IF($E24=AD$3,#REF!*$F24,"-")</f>
        <v>-</v>
      </c>
      <c r="AE24" s="311" t="str">
        <f>IF($E24=AE$3,#REF!*$F24,"-")</f>
        <v>-</v>
      </c>
      <c r="AF24" s="311" t="str">
        <f>IF($E24=AF$3,#REF!*$F24,"-")</f>
        <v>-</v>
      </c>
      <c r="AG24" s="311" t="str">
        <f>IF($E24=AG$3,#REF!*$F24,"-")</f>
        <v>-</v>
      </c>
      <c r="AH24" s="311" t="e">
        <f>IF($E24=AH$3,#REF!*$F24,"-")</f>
        <v>#REF!</v>
      </c>
      <c r="AI24" s="311" t="str">
        <f>IF($E24=AI$3,#REF!*$F24,"-")</f>
        <v>-</v>
      </c>
      <c r="AJ24" s="311" t="str">
        <f>IF($E24=AJ$3,#REF!*$F24,"-")</f>
        <v>-</v>
      </c>
      <c r="AK24" s="311" t="str">
        <f>IF($E24=AK$3,#REF!*$F24,"-")</f>
        <v>-</v>
      </c>
      <c r="AL24" s="311" t="str">
        <f>IF($E24=AL$3,#REF!*$F24,"-")</f>
        <v>-</v>
      </c>
      <c r="AM24" s="311" t="str">
        <f>IF($E24=AM$3,#REF!*$F24,"-")</f>
        <v>-</v>
      </c>
    </row>
    <row r="25" spans="2:39" s="233" customFormat="1" ht="14.25" x14ac:dyDescent="0.2">
      <c r="B25" s="109"/>
      <c r="C25" s="561"/>
      <c r="D25" s="561"/>
      <c r="E25" s="308" t="s">
        <v>903</v>
      </c>
      <c r="F25" s="389">
        <v>9.9999999999999995E-7</v>
      </c>
      <c r="G25" s="384">
        <v>1E-3</v>
      </c>
      <c r="H25" s="363">
        <v>0</v>
      </c>
      <c r="I25" s="312">
        <f>D6*F25*G25*(1-H25)</f>
        <v>5.6642957135999991E-7</v>
      </c>
      <c r="J25" s="361" t="s">
        <v>291</v>
      </c>
      <c r="K25" s="363">
        <v>0</v>
      </c>
      <c r="L25" s="388">
        <f t="shared" si="0"/>
        <v>5.6642957135999991E-7</v>
      </c>
      <c r="M25" s="258"/>
      <c r="O25" s="311" t="str">
        <f t="shared" si="2"/>
        <v>-</v>
      </c>
      <c r="P25" s="311" t="str">
        <f t="shared" si="2"/>
        <v>-</v>
      </c>
      <c r="Q25" s="311" t="str">
        <f t="shared" si="2"/>
        <v>-</v>
      </c>
      <c r="R25" s="311" t="str">
        <f t="shared" si="2"/>
        <v>-</v>
      </c>
      <c r="S25" s="311" t="str">
        <f t="shared" si="2"/>
        <v>-</v>
      </c>
      <c r="T25" s="311" t="str">
        <f t="shared" si="2"/>
        <v>-</v>
      </c>
      <c r="U25" s="311" t="str">
        <f t="shared" si="2"/>
        <v>-</v>
      </c>
      <c r="V25" s="311" t="str">
        <f t="shared" si="2"/>
        <v>-</v>
      </c>
      <c r="W25" s="311" t="str">
        <f t="shared" si="2"/>
        <v>-</v>
      </c>
      <c r="X25" s="311" t="str">
        <f t="shared" si="2"/>
        <v>-</v>
      </c>
      <c r="Y25" s="311" t="str">
        <f t="shared" si="2"/>
        <v>-</v>
      </c>
      <c r="Z25" s="311" t="str">
        <f t="shared" si="2"/>
        <v>-</v>
      </c>
      <c r="AB25" s="311" t="str">
        <f>IF($E25=AB$3,#REF!*$F25,"-")</f>
        <v>-</v>
      </c>
      <c r="AC25" s="311" t="str">
        <f>IF($E25=AC$3,#REF!*$F25,"-")</f>
        <v>-</v>
      </c>
      <c r="AD25" s="311" t="str">
        <f>IF($E25=AD$3,#REF!*$F25,"-")</f>
        <v>-</v>
      </c>
      <c r="AE25" s="311" t="str">
        <f>IF($E25=AE$3,#REF!*$F25,"-")</f>
        <v>-</v>
      </c>
      <c r="AF25" s="311" t="str">
        <f>IF($E25=AF$3,#REF!*$F25,"-")</f>
        <v>-</v>
      </c>
      <c r="AG25" s="311" t="str">
        <f>IF($E25=AG$3,#REF!*$F25,"-")</f>
        <v>-</v>
      </c>
      <c r="AH25" s="311" t="str">
        <f>IF($E25=AH$3,#REF!*$F25,"-")</f>
        <v>-</v>
      </c>
      <c r="AI25" s="311" t="str">
        <f>IF($E25=AI$3,#REF!*$F25,"-")</f>
        <v>-</v>
      </c>
      <c r="AJ25" s="311" t="str">
        <f>IF($E25=AJ$3,#REF!*$F25,"-")</f>
        <v>-</v>
      </c>
      <c r="AK25" s="311" t="str">
        <f>IF($E25=AK$3,#REF!*$F25,"-")</f>
        <v>-</v>
      </c>
      <c r="AL25" s="311" t="str">
        <f>IF($E25=AL$3,#REF!*$F25,"-")</f>
        <v>-</v>
      </c>
      <c r="AM25" s="311" t="str">
        <f>IF($E25=AM$3,#REF!*$F25,"-")</f>
        <v>-</v>
      </c>
    </row>
    <row r="26" spans="2:39" s="233" customFormat="1" ht="14.25" x14ac:dyDescent="0.2">
      <c r="B26" s="109"/>
      <c r="C26" s="561"/>
      <c r="D26" s="561"/>
      <c r="E26" s="308" t="s">
        <v>904</v>
      </c>
      <c r="F26" s="389">
        <v>9.9999999999999995E-7</v>
      </c>
      <c r="G26" s="384">
        <v>1E-3</v>
      </c>
      <c r="H26" s="363">
        <v>0</v>
      </c>
      <c r="I26" s="312">
        <f>D6*F26*G26*(1-H26)</f>
        <v>5.6642957135999991E-7</v>
      </c>
      <c r="J26" s="361" t="s">
        <v>291</v>
      </c>
      <c r="K26" s="363">
        <v>0</v>
      </c>
      <c r="L26" s="388">
        <f t="shared" si="0"/>
        <v>5.6642957135999991E-7</v>
      </c>
      <c r="M26" s="258"/>
      <c r="O26" s="311" t="str">
        <f t="shared" ref="O26:Z40" si="3">IF($E26=O$3,$D$6*$F26,"-")</f>
        <v>-</v>
      </c>
      <c r="P26" s="311" t="str">
        <f t="shared" si="3"/>
        <v>-</v>
      </c>
      <c r="Q26" s="311" t="str">
        <f t="shared" si="3"/>
        <v>-</v>
      </c>
      <c r="R26" s="311" t="str">
        <f t="shared" si="3"/>
        <v>-</v>
      </c>
      <c r="S26" s="311" t="str">
        <f t="shared" si="3"/>
        <v>-</v>
      </c>
      <c r="T26" s="311" t="str">
        <f t="shared" si="3"/>
        <v>-</v>
      </c>
      <c r="U26" s="311" t="str">
        <f t="shared" si="3"/>
        <v>-</v>
      </c>
      <c r="V26" s="311" t="str">
        <f t="shared" si="3"/>
        <v>-</v>
      </c>
      <c r="W26" s="311" t="str">
        <f t="shared" si="3"/>
        <v>-</v>
      </c>
      <c r="X26" s="311" t="str">
        <f t="shared" si="3"/>
        <v>-</v>
      </c>
      <c r="Y26" s="311" t="str">
        <f t="shared" si="3"/>
        <v>-</v>
      </c>
      <c r="Z26" s="311" t="str">
        <f t="shared" si="3"/>
        <v>-</v>
      </c>
      <c r="AB26" s="311" t="str">
        <f>IF($E26=AB$3,#REF!*$F26,"-")</f>
        <v>-</v>
      </c>
      <c r="AC26" s="311" t="str">
        <f>IF($E26=AC$3,#REF!*$F26,"-")</f>
        <v>-</v>
      </c>
      <c r="AD26" s="311" t="str">
        <f>IF($E26=AD$3,#REF!*$F26,"-")</f>
        <v>-</v>
      </c>
      <c r="AE26" s="311" t="str">
        <f>IF($E26=AE$3,#REF!*$F26,"-")</f>
        <v>-</v>
      </c>
      <c r="AF26" s="311" t="str">
        <f>IF($E26=AF$3,#REF!*$F26,"-")</f>
        <v>-</v>
      </c>
      <c r="AG26" s="311" t="str">
        <f>IF($E26=AG$3,#REF!*$F26,"-")</f>
        <v>-</v>
      </c>
      <c r="AH26" s="311" t="str">
        <f>IF($E26=AH$3,#REF!*$F26,"-")</f>
        <v>-</v>
      </c>
      <c r="AI26" s="311" t="str">
        <f>IF($E26=AI$3,#REF!*$F26,"-")</f>
        <v>-</v>
      </c>
      <c r="AJ26" s="311" t="str">
        <f>IF($E26=AJ$3,#REF!*$F26,"-")</f>
        <v>-</v>
      </c>
      <c r="AK26" s="311" t="str">
        <f>IF($E26=AK$3,#REF!*$F26,"-")</f>
        <v>-</v>
      </c>
      <c r="AL26" s="311" t="str">
        <f>IF($E26=AL$3,#REF!*$F26,"-")</f>
        <v>-</v>
      </c>
      <c r="AM26" s="311" t="str">
        <f>IF($E26=AM$3,#REF!*$F26,"-")</f>
        <v>-</v>
      </c>
    </row>
    <row r="27" spans="2:39" s="233" customFormat="1" ht="14.25" x14ac:dyDescent="0.2">
      <c r="B27" s="109"/>
      <c r="C27" s="561"/>
      <c r="D27" s="561"/>
      <c r="E27" s="308" t="s">
        <v>905</v>
      </c>
      <c r="F27" s="389">
        <v>1E-10</v>
      </c>
      <c r="G27" s="384">
        <v>1E-3</v>
      </c>
      <c r="H27" s="363">
        <v>0</v>
      </c>
      <c r="I27" s="312">
        <f>D6*F27*G27*(1-H27)</f>
        <v>5.6642957135999994E-11</v>
      </c>
      <c r="J27" s="361" t="s">
        <v>291</v>
      </c>
      <c r="K27" s="363">
        <v>0</v>
      </c>
      <c r="L27" s="388">
        <f t="shared" si="0"/>
        <v>5.6642957135999994E-11</v>
      </c>
      <c r="M27" s="258"/>
      <c r="O27" s="311" t="str">
        <f t="shared" si="3"/>
        <v>-</v>
      </c>
      <c r="P27" s="311" t="str">
        <f t="shared" si="3"/>
        <v>-</v>
      </c>
      <c r="Q27" s="311" t="str">
        <f t="shared" si="3"/>
        <v>-</v>
      </c>
      <c r="R27" s="311" t="str">
        <f t="shared" si="3"/>
        <v>-</v>
      </c>
      <c r="S27" s="311" t="str">
        <f t="shared" si="3"/>
        <v>-</v>
      </c>
      <c r="T27" s="311" t="str">
        <f t="shared" si="3"/>
        <v>-</v>
      </c>
      <c r="U27" s="311" t="str">
        <f t="shared" si="3"/>
        <v>-</v>
      </c>
      <c r="V27" s="311" t="str">
        <f t="shared" si="3"/>
        <v>-</v>
      </c>
      <c r="W27" s="311" t="str">
        <f t="shared" si="3"/>
        <v>-</v>
      </c>
      <c r="X27" s="311" t="str">
        <f t="shared" si="3"/>
        <v>-</v>
      </c>
      <c r="Y27" s="311" t="str">
        <f t="shared" si="3"/>
        <v>-</v>
      </c>
      <c r="Z27" s="311" t="str">
        <f t="shared" si="3"/>
        <v>-</v>
      </c>
      <c r="AB27" s="311" t="str">
        <f>IF($E27=AB$3,#REF!*$F27,"-")</f>
        <v>-</v>
      </c>
      <c r="AC27" s="311" t="str">
        <f>IF($E27=AC$3,#REF!*$F27,"-")</f>
        <v>-</v>
      </c>
      <c r="AD27" s="311" t="str">
        <f>IF($E27=AD$3,#REF!*$F27,"-")</f>
        <v>-</v>
      </c>
      <c r="AE27" s="311" t="str">
        <f>IF($E27=AE$3,#REF!*$F27,"-")</f>
        <v>-</v>
      </c>
      <c r="AF27" s="311" t="str">
        <f>IF($E27=AF$3,#REF!*$F27,"-")</f>
        <v>-</v>
      </c>
      <c r="AG27" s="311" t="str">
        <f>IF($E27=AG$3,#REF!*$F27,"-")</f>
        <v>-</v>
      </c>
      <c r="AH27" s="311" t="str">
        <f>IF($E27=AH$3,#REF!*$F27,"-")</f>
        <v>-</v>
      </c>
      <c r="AI27" s="311" t="str">
        <f>IF($E27=AI$3,#REF!*$F27,"-")</f>
        <v>-</v>
      </c>
      <c r="AJ27" s="311" t="str">
        <f>IF($E27=AJ$3,#REF!*$F27,"-")</f>
        <v>-</v>
      </c>
      <c r="AK27" s="311" t="str">
        <f>IF($E27=AK$3,#REF!*$F27,"-")</f>
        <v>-</v>
      </c>
      <c r="AL27" s="311" t="str">
        <f>IF($E27=AL$3,#REF!*$F27,"-")</f>
        <v>-</v>
      </c>
      <c r="AM27" s="311" t="str">
        <f>IF($E27=AM$3,#REF!*$F27,"-")</f>
        <v>-</v>
      </c>
    </row>
    <row r="28" spans="2:39" s="233" customFormat="1" ht="14.25" x14ac:dyDescent="0.2">
      <c r="B28" s="109"/>
      <c r="C28" s="561"/>
      <c r="D28" s="561"/>
      <c r="E28" s="308" t="s">
        <v>887</v>
      </c>
      <c r="F28" s="389">
        <v>1E-10</v>
      </c>
      <c r="G28" s="384">
        <v>1E-3</v>
      </c>
      <c r="H28" s="363">
        <v>0</v>
      </c>
      <c r="I28" s="312">
        <f>D6*F28*G28*(1-H28)</f>
        <v>5.6642957135999994E-11</v>
      </c>
      <c r="J28" s="361" t="s">
        <v>291</v>
      </c>
      <c r="K28" s="363">
        <v>0</v>
      </c>
      <c r="L28" s="388">
        <f t="shared" si="0"/>
        <v>5.6642957135999994E-11</v>
      </c>
      <c r="M28" s="258"/>
      <c r="O28" s="311" t="str">
        <f t="shared" si="3"/>
        <v>-</v>
      </c>
      <c r="P28" s="311" t="str">
        <f t="shared" si="3"/>
        <v>-</v>
      </c>
      <c r="Q28" s="311" t="str">
        <f t="shared" si="3"/>
        <v>-</v>
      </c>
      <c r="R28" s="311" t="str">
        <f t="shared" si="3"/>
        <v>-</v>
      </c>
      <c r="S28" s="311" t="str">
        <f t="shared" si="3"/>
        <v>-</v>
      </c>
      <c r="T28" s="311" t="str">
        <f t="shared" si="3"/>
        <v>-</v>
      </c>
      <c r="U28" s="311" t="str">
        <f t="shared" si="3"/>
        <v>-</v>
      </c>
      <c r="V28" s="311" t="str">
        <f t="shared" si="3"/>
        <v>-</v>
      </c>
      <c r="W28" s="311" t="str">
        <f t="shared" si="3"/>
        <v>-</v>
      </c>
      <c r="X28" s="311" t="str">
        <f t="shared" si="3"/>
        <v>-</v>
      </c>
      <c r="Y28" s="311">
        <f t="shared" si="3"/>
        <v>5.6642957135999996E-8</v>
      </c>
      <c r="Z28" s="311" t="str">
        <f t="shared" si="3"/>
        <v>-</v>
      </c>
      <c r="AB28" s="311" t="str">
        <f>IF($E28=AB$3,#REF!*$F28,"-")</f>
        <v>-</v>
      </c>
      <c r="AC28" s="311" t="str">
        <f>IF($E28=AC$3,#REF!*$F28,"-")</f>
        <v>-</v>
      </c>
      <c r="AD28" s="311" t="str">
        <f>IF($E28=AD$3,#REF!*$F28,"-")</f>
        <v>-</v>
      </c>
      <c r="AE28" s="311" t="str">
        <f>IF($E28=AE$3,#REF!*$F28,"-")</f>
        <v>-</v>
      </c>
      <c r="AF28" s="311" t="str">
        <f>IF($E28=AF$3,#REF!*$F28,"-")</f>
        <v>-</v>
      </c>
      <c r="AG28" s="311" t="str">
        <f>IF($E28=AG$3,#REF!*$F28,"-")</f>
        <v>-</v>
      </c>
      <c r="AH28" s="311" t="str">
        <f>IF($E28=AH$3,#REF!*$F28,"-")</f>
        <v>-</v>
      </c>
      <c r="AI28" s="311" t="str">
        <f>IF($E28=AI$3,#REF!*$F28,"-")</f>
        <v>-</v>
      </c>
      <c r="AJ28" s="311" t="str">
        <f>IF($E28=AJ$3,#REF!*$F28,"-")</f>
        <v>-</v>
      </c>
      <c r="AK28" s="311" t="str">
        <f>IF($E28=AK$3,#REF!*$F28,"-")</f>
        <v>-</v>
      </c>
      <c r="AL28" s="311" t="e">
        <f>IF($E28=AL$3,#REF!*$F28,"-")</f>
        <v>#REF!</v>
      </c>
      <c r="AM28" s="311" t="str">
        <f>IF($E28=AM$3,#REF!*$F28,"-")</f>
        <v>-</v>
      </c>
    </row>
    <row r="29" spans="2:39" s="233" customFormat="1" ht="14.25" x14ac:dyDescent="0.2">
      <c r="B29" s="109"/>
      <c r="C29" s="561"/>
      <c r="D29" s="561"/>
      <c r="E29" s="308" t="s">
        <v>884</v>
      </c>
      <c r="F29" s="389">
        <v>1.9999999999999999E-6</v>
      </c>
      <c r="G29" s="384">
        <v>1E-3</v>
      </c>
      <c r="H29" s="363">
        <v>0</v>
      </c>
      <c r="I29" s="312">
        <f>D6*F29*G29*(1-H29)</f>
        <v>1.1328591427199998E-6</v>
      </c>
      <c r="J29" s="361" t="s">
        <v>291</v>
      </c>
      <c r="K29" s="363">
        <v>0</v>
      </c>
      <c r="L29" s="388">
        <f t="shared" si="0"/>
        <v>1.1328591427199998E-6</v>
      </c>
      <c r="M29" s="258"/>
      <c r="O29" s="311" t="str">
        <f t="shared" si="3"/>
        <v>-</v>
      </c>
      <c r="P29" s="311" t="str">
        <f t="shared" si="3"/>
        <v>-</v>
      </c>
      <c r="Q29" s="311" t="str">
        <f t="shared" si="3"/>
        <v>-</v>
      </c>
      <c r="R29" s="311" t="str">
        <f t="shared" si="3"/>
        <v>-</v>
      </c>
      <c r="S29" s="311" t="str">
        <f t="shared" si="3"/>
        <v>-</v>
      </c>
      <c r="T29" s="311" t="str">
        <f t="shared" si="3"/>
        <v>-</v>
      </c>
      <c r="U29" s="311" t="str">
        <f t="shared" si="3"/>
        <v>-</v>
      </c>
      <c r="V29" s="311">
        <f t="shared" si="3"/>
        <v>1.1328591427199998E-3</v>
      </c>
      <c r="W29" s="311" t="str">
        <f t="shared" si="3"/>
        <v>-</v>
      </c>
      <c r="X29" s="311" t="str">
        <f t="shared" si="3"/>
        <v>-</v>
      </c>
      <c r="Y29" s="311" t="str">
        <f t="shared" si="3"/>
        <v>-</v>
      </c>
      <c r="Z29" s="311" t="str">
        <f t="shared" si="3"/>
        <v>-</v>
      </c>
      <c r="AB29" s="311" t="str">
        <f>IF($E29=AB$3,#REF!*$F29,"-")</f>
        <v>-</v>
      </c>
      <c r="AC29" s="311" t="str">
        <f>IF($E29=AC$3,#REF!*$F29,"-")</f>
        <v>-</v>
      </c>
      <c r="AD29" s="311" t="str">
        <f>IF($E29=AD$3,#REF!*$F29,"-")</f>
        <v>-</v>
      </c>
      <c r="AE29" s="311" t="str">
        <f>IF($E29=AE$3,#REF!*$F29,"-")</f>
        <v>-</v>
      </c>
      <c r="AF29" s="311" t="str">
        <f>IF($E29=AF$3,#REF!*$F29,"-")</f>
        <v>-</v>
      </c>
      <c r="AG29" s="311" t="str">
        <f>IF($E29=AG$3,#REF!*$F29,"-")</f>
        <v>-</v>
      </c>
      <c r="AH29" s="311" t="str">
        <f>IF($E29=AH$3,#REF!*$F29,"-")</f>
        <v>-</v>
      </c>
      <c r="AI29" s="311" t="e">
        <f>IF($E29=AI$3,#REF!*$F29,"-")</f>
        <v>#REF!</v>
      </c>
      <c r="AJ29" s="311" t="str">
        <f>IF($E29=AJ$3,#REF!*$F29,"-")</f>
        <v>-</v>
      </c>
      <c r="AK29" s="311" t="str">
        <f>IF($E29=AK$3,#REF!*$F29,"-")</f>
        <v>-</v>
      </c>
      <c r="AL29" s="311" t="str">
        <f>IF($E29=AL$3,#REF!*$F29,"-")</f>
        <v>-</v>
      </c>
      <c r="AM29" s="311" t="str">
        <f>IF($E29=AM$3,#REF!*$F29,"-")</f>
        <v>-</v>
      </c>
    </row>
    <row r="30" spans="2:39" s="233" customFormat="1" ht="14.25" x14ac:dyDescent="0.2">
      <c r="B30" s="109"/>
      <c r="C30" s="561"/>
      <c r="D30" s="561"/>
      <c r="E30" s="308" t="s">
        <v>906</v>
      </c>
      <c r="F30" s="389">
        <v>1.0000000000000001E-7</v>
      </c>
      <c r="G30" s="384">
        <v>1E-3</v>
      </c>
      <c r="H30" s="363">
        <v>0</v>
      </c>
      <c r="I30" s="312">
        <f>D6*F30*G30*(1-H30)</f>
        <v>5.6642957135999996E-8</v>
      </c>
      <c r="J30" s="361" t="s">
        <v>291</v>
      </c>
      <c r="K30" s="363">
        <v>0</v>
      </c>
      <c r="L30" s="388">
        <f t="shared" si="0"/>
        <v>5.6642957135999996E-8</v>
      </c>
      <c r="M30" s="258"/>
      <c r="O30" s="311" t="str">
        <f t="shared" si="3"/>
        <v>-</v>
      </c>
      <c r="P30" s="311" t="str">
        <f t="shared" si="3"/>
        <v>-</v>
      </c>
      <c r="Q30" s="311" t="str">
        <f t="shared" si="3"/>
        <v>-</v>
      </c>
      <c r="R30" s="311" t="str">
        <f t="shared" si="3"/>
        <v>-</v>
      </c>
      <c r="S30" s="311" t="str">
        <f t="shared" si="3"/>
        <v>-</v>
      </c>
      <c r="T30" s="311" t="str">
        <f t="shared" si="3"/>
        <v>-</v>
      </c>
      <c r="U30" s="311" t="str">
        <f t="shared" si="3"/>
        <v>-</v>
      </c>
      <c r="V30" s="311" t="str">
        <f t="shared" si="3"/>
        <v>-</v>
      </c>
      <c r="W30" s="311" t="str">
        <f t="shared" si="3"/>
        <v>-</v>
      </c>
      <c r="X30" s="311" t="str">
        <f t="shared" si="3"/>
        <v>-</v>
      </c>
      <c r="Y30" s="311" t="str">
        <f t="shared" si="3"/>
        <v>-</v>
      </c>
      <c r="Z30" s="311" t="str">
        <f t="shared" si="3"/>
        <v>-</v>
      </c>
      <c r="AB30" s="311" t="str">
        <f t="shared" ref="AB30:AM41" si="4">IF($E30=AB$3,$D$6*$F30,"-")</f>
        <v>-</v>
      </c>
      <c r="AC30" s="311" t="str">
        <f t="shared" si="4"/>
        <v>-</v>
      </c>
      <c r="AD30" s="311" t="str">
        <f t="shared" si="4"/>
        <v>-</v>
      </c>
      <c r="AE30" s="311" t="str">
        <f t="shared" si="4"/>
        <v>-</v>
      </c>
      <c r="AF30" s="311" t="str">
        <f t="shared" si="4"/>
        <v>-</v>
      </c>
      <c r="AG30" s="311" t="str">
        <f t="shared" si="4"/>
        <v>-</v>
      </c>
      <c r="AH30" s="311" t="str">
        <f t="shared" si="4"/>
        <v>-</v>
      </c>
      <c r="AI30" s="311" t="str">
        <f t="shared" si="4"/>
        <v>-</v>
      </c>
      <c r="AJ30" s="311" t="str">
        <f t="shared" si="4"/>
        <v>-</v>
      </c>
      <c r="AK30" s="311" t="str">
        <f t="shared" si="4"/>
        <v>-</v>
      </c>
      <c r="AL30" s="311" t="str">
        <f t="shared" si="4"/>
        <v>-</v>
      </c>
      <c r="AM30" s="311" t="str">
        <f t="shared" si="4"/>
        <v>-</v>
      </c>
    </row>
    <row r="31" spans="2:39" s="233" customFormat="1" ht="14.25" x14ac:dyDescent="0.2">
      <c r="B31" s="109"/>
      <c r="C31" s="561"/>
      <c r="D31" s="561"/>
      <c r="E31" s="308" t="s">
        <v>907</v>
      </c>
      <c r="F31" s="389">
        <v>1.0000000000000001E-7</v>
      </c>
      <c r="G31" s="384">
        <v>1E-3</v>
      </c>
      <c r="H31" s="363">
        <v>0</v>
      </c>
      <c r="I31" s="312">
        <f>D6*F31*G31*(1-H31)</f>
        <v>5.6642957135999996E-8</v>
      </c>
      <c r="J31" s="361" t="s">
        <v>291</v>
      </c>
      <c r="K31" s="363">
        <v>0</v>
      </c>
      <c r="L31" s="388">
        <f t="shared" si="0"/>
        <v>5.6642957135999996E-8</v>
      </c>
      <c r="M31" s="258"/>
      <c r="O31" s="311" t="str">
        <f t="shared" si="3"/>
        <v>-</v>
      </c>
      <c r="P31" s="311" t="str">
        <f t="shared" si="3"/>
        <v>-</v>
      </c>
      <c r="Q31" s="311" t="str">
        <f t="shared" si="3"/>
        <v>-</v>
      </c>
      <c r="R31" s="311" t="str">
        <f t="shared" si="3"/>
        <v>-</v>
      </c>
      <c r="S31" s="311" t="str">
        <f t="shared" si="3"/>
        <v>-</v>
      </c>
      <c r="T31" s="311" t="str">
        <f t="shared" si="3"/>
        <v>-</v>
      </c>
      <c r="U31" s="311" t="str">
        <f t="shared" si="3"/>
        <v>-</v>
      </c>
      <c r="V31" s="311" t="str">
        <f t="shared" si="3"/>
        <v>-</v>
      </c>
      <c r="W31" s="311" t="str">
        <f t="shared" si="3"/>
        <v>-</v>
      </c>
      <c r="X31" s="311" t="str">
        <f t="shared" si="3"/>
        <v>-</v>
      </c>
      <c r="Y31" s="311" t="str">
        <f t="shared" si="3"/>
        <v>-</v>
      </c>
      <c r="Z31" s="311" t="str">
        <f t="shared" si="3"/>
        <v>-</v>
      </c>
      <c r="AB31" s="311" t="str">
        <f t="shared" si="4"/>
        <v>-</v>
      </c>
      <c r="AC31" s="311" t="str">
        <f t="shared" si="4"/>
        <v>-</v>
      </c>
      <c r="AD31" s="311" t="str">
        <f t="shared" si="4"/>
        <v>-</v>
      </c>
      <c r="AE31" s="311" t="str">
        <f t="shared" si="4"/>
        <v>-</v>
      </c>
      <c r="AF31" s="311" t="str">
        <f t="shared" si="4"/>
        <v>-</v>
      </c>
      <c r="AG31" s="311" t="str">
        <f t="shared" si="4"/>
        <v>-</v>
      </c>
      <c r="AH31" s="311" t="str">
        <f t="shared" si="4"/>
        <v>-</v>
      </c>
      <c r="AI31" s="311" t="str">
        <f t="shared" si="4"/>
        <v>-</v>
      </c>
      <c r="AJ31" s="311" t="str">
        <f t="shared" si="4"/>
        <v>-</v>
      </c>
      <c r="AK31" s="311" t="str">
        <f t="shared" si="4"/>
        <v>-</v>
      </c>
      <c r="AL31" s="311" t="str">
        <f t="shared" si="4"/>
        <v>-</v>
      </c>
      <c r="AM31" s="311" t="str">
        <f t="shared" si="4"/>
        <v>-</v>
      </c>
    </row>
    <row r="32" spans="2:39" s="233" customFormat="1" ht="14.25" x14ac:dyDescent="0.2">
      <c r="B32" s="109"/>
      <c r="C32" s="561"/>
      <c r="D32" s="561"/>
      <c r="E32" s="308" t="s">
        <v>908</v>
      </c>
      <c r="F32" s="389">
        <v>1.0000000000000001E-7</v>
      </c>
      <c r="G32" s="384">
        <v>1E-3</v>
      </c>
      <c r="H32" s="363">
        <v>0</v>
      </c>
      <c r="I32" s="312">
        <f>D6*F32*G32*(1-H32)</f>
        <v>5.6642957135999996E-8</v>
      </c>
      <c r="J32" s="361" t="s">
        <v>291</v>
      </c>
      <c r="K32" s="363">
        <v>0</v>
      </c>
      <c r="L32" s="388">
        <f t="shared" si="0"/>
        <v>5.6642957135999996E-8</v>
      </c>
      <c r="M32" s="258"/>
      <c r="O32" s="311" t="str">
        <f t="shared" si="3"/>
        <v>-</v>
      </c>
      <c r="P32" s="311" t="str">
        <f t="shared" si="3"/>
        <v>-</v>
      </c>
      <c r="Q32" s="311" t="str">
        <f t="shared" si="3"/>
        <v>-</v>
      </c>
      <c r="R32" s="311" t="str">
        <f t="shared" si="3"/>
        <v>-</v>
      </c>
      <c r="S32" s="311" t="str">
        <f t="shared" si="3"/>
        <v>-</v>
      </c>
      <c r="T32" s="311" t="str">
        <f t="shared" si="3"/>
        <v>-</v>
      </c>
      <c r="U32" s="311" t="str">
        <f t="shared" si="3"/>
        <v>-</v>
      </c>
      <c r="V32" s="311" t="str">
        <f t="shared" si="3"/>
        <v>-</v>
      </c>
      <c r="W32" s="311" t="str">
        <f t="shared" si="3"/>
        <v>-</v>
      </c>
      <c r="X32" s="311" t="str">
        <f t="shared" si="3"/>
        <v>-</v>
      </c>
      <c r="Y32" s="311" t="str">
        <f t="shared" si="3"/>
        <v>-</v>
      </c>
      <c r="Z32" s="311" t="str">
        <f t="shared" si="3"/>
        <v>-</v>
      </c>
      <c r="AB32" s="311" t="str">
        <f t="shared" si="4"/>
        <v>-</v>
      </c>
      <c r="AC32" s="311" t="str">
        <f t="shared" si="4"/>
        <v>-</v>
      </c>
      <c r="AD32" s="311" t="str">
        <f t="shared" si="4"/>
        <v>-</v>
      </c>
      <c r="AE32" s="311" t="str">
        <f t="shared" si="4"/>
        <v>-</v>
      </c>
      <c r="AF32" s="311" t="str">
        <f t="shared" si="4"/>
        <v>-</v>
      </c>
      <c r="AG32" s="311" t="str">
        <f t="shared" si="4"/>
        <v>-</v>
      </c>
      <c r="AH32" s="311" t="str">
        <f t="shared" si="4"/>
        <v>-</v>
      </c>
      <c r="AI32" s="311" t="str">
        <f t="shared" si="4"/>
        <v>-</v>
      </c>
      <c r="AJ32" s="311" t="str">
        <f t="shared" si="4"/>
        <v>-</v>
      </c>
      <c r="AK32" s="311" t="str">
        <f t="shared" si="4"/>
        <v>-</v>
      </c>
      <c r="AL32" s="311" t="str">
        <f t="shared" si="4"/>
        <v>-</v>
      </c>
      <c r="AM32" s="311" t="str">
        <f t="shared" si="4"/>
        <v>-</v>
      </c>
    </row>
    <row r="33" spans="2:39" s="233" customFormat="1" ht="14.25" x14ac:dyDescent="0.2">
      <c r="B33" s="109"/>
      <c r="C33" s="561"/>
      <c r="D33" s="561"/>
      <c r="E33" s="308" t="s">
        <v>909</v>
      </c>
      <c r="F33" s="389">
        <v>5.0000000000000004E-8</v>
      </c>
      <c r="G33" s="384">
        <v>1E-3</v>
      </c>
      <c r="H33" s="363">
        <v>0</v>
      </c>
      <c r="I33" s="312">
        <f>D6*F33*G33*(1-H33)</f>
        <v>2.8321478567999998E-8</v>
      </c>
      <c r="J33" s="361" t="s">
        <v>291</v>
      </c>
      <c r="K33" s="363">
        <v>0</v>
      </c>
      <c r="L33" s="388">
        <f t="shared" si="0"/>
        <v>2.8321478567999998E-8</v>
      </c>
      <c r="M33" s="258"/>
      <c r="O33" s="311" t="str">
        <f t="shared" si="3"/>
        <v>-</v>
      </c>
      <c r="P33" s="311" t="str">
        <f t="shared" si="3"/>
        <v>-</v>
      </c>
      <c r="Q33" s="311" t="str">
        <f t="shared" si="3"/>
        <v>-</v>
      </c>
      <c r="R33" s="311" t="str">
        <f t="shared" si="3"/>
        <v>-</v>
      </c>
      <c r="S33" s="311" t="str">
        <f t="shared" si="3"/>
        <v>-</v>
      </c>
      <c r="T33" s="311" t="str">
        <f t="shared" si="3"/>
        <v>-</v>
      </c>
      <c r="U33" s="311" t="str">
        <f t="shared" si="3"/>
        <v>-</v>
      </c>
      <c r="V33" s="311" t="str">
        <f t="shared" si="3"/>
        <v>-</v>
      </c>
      <c r="W33" s="311" t="str">
        <f t="shared" si="3"/>
        <v>-</v>
      </c>
      <c r="X33" s="311" t="str">
        <f t="shared" si="3"/>
        <v>-</v>
      </c>
      <c r="Y33" s="311" t="str">
        <f t="shared" si="3"/>
        <v>-</v>
      </c>
      <c r="Z33" s="311" t="str">
        <f t="shared" si="3"/>
        <v>-</v>
      </c>
      <c r="AB33" s="311" t="str">
        <f t="shared" si="4"/>
        <v>-</v>
      </c>
      <c r="AC33" s="311" t="str">
        <f t="shared" si="4"/>
        <v>-</v>
      </c>
      <c r="AD33" s="311" t="str">
        <f t="shared" si="4"/>
        <v>-</v>
      </c>
      <c r="AE33" s="311" t="str">
        <f t="shared" si="4"/>
        <v>-</v>
      </c>
      <c r="AF33" s="311" t="str">
        <f t="shared" si="4"/>
        <v>-</v>
      </c>
      <c r="AG33" s="311" t="str">
        <f t="shared" si="4"/>
        <v>-</v>
      </c>
      <c r="AH33" s="311" t="str">
        <f t="shared" si="4"/>
        <v>-</v>
      </c>
      <c r="AI33" s="311" t="str">
        <f t="shared" si="4"/>
        <v>-</v>
      </c>
      <c r="AJ33" s="311" t="str">
        <f t="shared" si="4"/>
        <v>-</v>
      </c>
      <c r="AK33" s="311" t="str">
        <f t="shared" si="4"/>
        <v>-</v>
      </c>
      <c r="AL33" s="311" t="str">
        <f t="shared" si="4"/>
        <v>-</v>
      </c>
      <c r="AM33" s="311" t="str">
        <f t="shared" si="4"/>
        <v>-</v>
      </c>
    </row>
    <row r="34" spans="2:39" s="233" customFormat="1" ht="14.25" x14ac:dyDescent="0.2">
      <c r="B34" s="109"/>
      <c r="C34" s="561"/>
      <c r="D34" s="561"/>
      <c r="E34" s="308" t="s">
        <v>910</v>
      </c>
      <c r="F34" s="389">
        <v>1.0000000000000001E-7</v>
      </c>
      <c r="G34" s="384">
        <v>1E-3</v>
      </c>
      <c r="H34" s="363">
        <v>0</v>
      </c>
      <c r="I34" s="312">
        <f>D6*F34*G34*(1-H34)</f>
        <v>5.6642957135999996E-8</v>
      </c>
      <c r="J34" s="361" t="s">
        <v>291</v>
      </c>
      <c r="K34" s="363">
        <v>0</v>
      </c>
      <c r="L34" s="388">
        <f t="shared" si="0"/>
        <v>5.6642957135999996E-8</v>
      </c>
      <c r="M34" s="258"/>
      <c r="O34" s="311" t="str">
        <f t="shared" si="3"/>
        <v>-</v>
      </c>
      <c r="P34" s="311" t="str">
        <f t="shared" si="3"/>
        <v>-</v>
      </c>
      <c r="Q34" s="311" t="str">
        <f t="shared" si="3"/>
        <v>-</v>
      </c>
      <c r="R34" s="311" t="str">
        <f t="shared" si="3"/>
        <v>-</v>
      </c>
      <c r="S34" s="311" t="str">
        <f t="shared" si="3"/>
        <v>-</v>
      </c>
      <c r="T34" s="311" t="str">
        <f t="shared" si="3"/>
        <v>-</v>
      </c>
      <c r="U34" s="311" t="str">
        <f t="shared" si="3"/>
        <v>-</v>
      </c>
      <c r="V34" s="311" t="str">
        <f t="shared" si="3"/>
        <v>-</v>
      </c>
      <c r="W34" s="311" t="str">
        <f t="shared" si="3"/>
        <v>-</v>
      </c>
      <c r="X34" s="311" t="str">
        <f t="shared" si="3"/>
        <v>-</v>
      </c>
      <c r="Y34" s="311" t="str">
        <f t="shared" si="3"/>
        <v>-</v>
      </c>
      <c r="Z34" s="311" t="str">
        <f t="shared" si="3"/>
        <v>-</v>
      </c>
      <c r="AB34" s="311" t="str">
        <f t="shared" si="4"/>
        <v>-</v>
      </c>
      <c r="AC34" s="311" t="str">
        <f t="shared" si="4"/>
        <v>-</v>
      </c>
      <c r="AD34" s="311" t="str">
        <f t="shared" si="4"/>
        <v>-</v>
      </c>
      <c r="AE34" s="311" t="str">
        <f t="shared" si="4"/>
        <v>-</v>
      </c>
      <c r="AF34" s="311" t="str">
        <f t="shared" si="4"/>
        <v>-</v>
      </c>
      <c r="AG34" s="311" t="str">
        <f t="shared" si="4"/>
        <v>-</v>
      </c>
      <c r="AH34" s="311" t="str">
        <f t="shared" si="4"/>
        <v>-</v>
      </c>
      <c r="AI34" s="311" t="str">
        <f t="shared" si="4"/>
        <v>-</v>
      </c>
      <c r="AJ34" s="311" t="str">
        <f t="shared" si="4"/>
        <v>-</v>
      </c>
      <c r="AK34" s="311" t="str">
        <f t="shared" si="4"/>
        <v>-</v>
      </c>
      <c r="AL34" s="311" t="str">
        <f t="shared" si="4"/>
        <v>-</v>
      </c>
      <c r="AM34" s="311" t="str">
        <f t="shared" si="4"/>
        <v>-</v>
      </c>
    </row>
    <row r="35" spans="2:39" s="233" customFormat="1" ht="14.25" x14ac:dyDescent="0.2">
      <c r="B35" s="109"/>
      <c r="C35" s="561"/>
      <c r="D35" s="561"/>
      <c r="E35" s="308" t="s">
        <v>911</v>
      </c>
      <c r="F35" s="389">
        <v>5.0000000000000004E-8</v>
      </c>
      <c r="G35" s="384">
        <v>1E-3</v>
      </c>
      <c r="H35" s="363">
        <v>0</v>
      </c>
      <c r="I35" s="312">
        <f>D6*F35*G35*(1-H35)</f>
        <v>2.8321478567999998E-8</v>
      </c>
      <c r="J35" s="361" t="s">
        <v>291</v>
      </c>
      <c r="K35" s="363">
        <v>0</v>
      </c>
      <c r="L35" s="388">
        <f t="shared" si="0"/>
        <v>2.8321478567999998E-8</v>
      </c>
      <c r="M35" s="258"/>
      <c r="O35" s="311" t="str">
        <f t="shared" si="3"/>
        <v>-</v>
      </c>
      <c r="P35" s="311" t="str">
        <f t="shared" si="3"/>
        <v>-</v>
      </c>
      <c r="Q35" s="311" t="str">
        <f t="shared" si="3"/>
        <v>-</v>
      </c>
      <c r="R35" s="311" t="str">
        <f t="shared" si="3"/>
        <v>-</v>
      </c>
      <c r="S35" s="311" t="str">
        <f t="shared" si="3"/>
        <v>-</v>
      </c>
      <c r="T35" s="311" t="str">
        <f t="shared" si="3"/>
        <v>-</v>
      </c>
      <c r="U35" s="311" t="str">
        <f t="shared" si="3"/>
        <v>-</v>
      </c>
      <c r="V35" s="311" t="str">
        <f t="shared" si="3"/>
        <v>-</v>
      </c>
      <c r="W35" s="311" t="str">
        <f t="shared" si="3"/>
        <v>-</v>
      </c>
      <c r="X35" s="311" t="str">
        <f t="shared" si="3"/>
        <v>-</v>
      </c>
      <c r="Y35" s="311" t="str">
        <f t="shared" si="3"/>
        <v>-</v>
      </c>
      <c r="Z35" s="311" t="str">
        <f t="shared" si="3"/>
        <v>-</v>
      </c>
      <c r="AB35" s="311" t="str">
        <f t="shared" si="4"/>
        <v>-</v>
      </c>
      <c r="AC35" s="311" t="str">
        <f t="shared" si="4"/>
        <v>-</v>
      </c>
      <c r="AD35" s="311" t="str">
        <f t="shared" si="4"/>
        <v>-</v>
      </c>
      <c r="AE35" s="311" t="str">
        <f t="shared" si="4"/>
        <v>-</v>
      </c>
      <c r="AF35" s="311" t="str">
        <f t="shared" si="4"/>
        <v>-</v>
      </c>
      <c r="AG35" s="311" t="str">
        <f t="shared" si="4"/>
        <v>-</v>
      </c>
      <c r="AH35" s="311" t="str">
        <f t="shared" si="4"/>
        <v>-</v>
      </c>
      <c r="AI35" s="311" t="str">
        <f t="shared" si="4"/>
        <v>-</v>
      </c>
      <c r="AJ35" s="311" t="str">
        <f t="shared" si="4"/>
        <v>-</v>
      </c>
      <c r="AK35" s="311" t="str">
        <f t="shared" si="4"/>
        <v>-</v>
      </c>
      <c r="AL35" s="311" t="str">
        <f t="shared" si="4"/>
        <v>-</v>
      </c>
      <c r="AM35" s="311" t="str">
        <f t="shared" si="4"/>
        <v>-</v>
      </c>
    </row>
    <row r="36" spans="2:39" s="233" customFormat="1" ht="14.25" x14ac:dyDescent="0.2">
      <c r="B36" s="109"/>
      <c r="C36" s="561"/>
      <c r="D36" s="561"/>
      <c r="E36" s="308" t="s">
        <v>912</v>
      </c>
      <c r="F36" s="389">
        <v>3.0000000000000001E-5</v>
      </c>
      <c r="G36" s="384">
        <v>1E-3</v>
      </c>
      <c r="H36" s="363">
        <v>0</v>
      </c>
      <c r="I36" s="312">
        <f>D6*F36*G36*(1-H36)</f>
        <v>1.6992887140799999E-5</v>
      </c>
      <c r="J36" s="361" t="s">
        <v>291</v>
      </c>
      <c r="K36" s="363">
        <v>0</v>
      </c>
      <c r="L36" s="388">
        <f t="shared" si="0"/>
        <v>1.6992887140799999E-5</v>
      </c>
      <c r="M36" s="258"/>
      <c r="O36" s="311" t="str">
        <f t="shared" si="3"/>
        <v>-</v>
      </c>
      <c r="P36" s="311" t="str">
        <f t="shared" si="3"/>
        <v>-</v>
      </c>
      <c r="Q36" s="311" t="str">
        <f t="shared" si="3"/>
        <v>-</v>
      </c>
      <c r="R36" s="311" t="str">
        <f t="shared" si="3"/>
        <v>-</v>
      </c>
      <c r="S36" s="311" t="str">
        <f t="shared" si="3"/>
        <v>-</v>
      </c>
      <c r="T36" s="311" t="str">
        <f t="shared" si="3"/>
        <v>-</v>
      </c>
      <c r="U36" s="311" t="str">
        <f t="shared" si="3"/>
        <v>-</v>
      </c>
      <c r="V36" s="311" t="str">
        <f t="shared" si="3"/>
        <v>-</v>
      </c>
      <c r="W36" s="311" t="str">
        <f t="shared" si="3"/>
        <v>-</v>
      </c>
      <c r="X36" s="311" t="str">
        <f t="shared" si="3"/>
        <v>-</v>
      </c>
      <c r="Y36" s="311" t="str">
        <f t="shared" si="3"/>
        <v>-</v>
      </c>
      <c r="Z36" s="311" t="str">
        <f t="shared" si="3"/>
        <v>-</v>
      </c>
      <c r="AB36" s="311" t="str">
        <f t="shared" si="4"/>
        <v>-</v>
      </c>
      <c r="AC36" s="311" t="str">
        <f t="shared" si="4"/>
        <v>-</v>
      </c>
      <c r="AD36" s="311" t="str">
        <f t="shared" si="4"/>
        <v>-</v>
      </c>
      <c r="AE36" s="311" t="str">
        <f t="shared" si="4"/>
        <v>-</v>
      </c>
      <c r="AF36" s="311" t="str">
        <f t="shared" si="4"/>
        <v>-</v>
      </c>
      <c r="AG36" s="311" t="str">
        <f t="shared" si="4"/>
        <v>-</v>
      </c>
      <c r="AH36" s="311" t="str">
        <f t="shared" si="4"/>
        <v>-</v>
      </c>
      <c r="AI36" s="311" t="str">
        <f t="shared" si="4"/>
        <v>-</v>
      </c>
      <c r="AJ36" s="311" t="str">
        <f t="shared" si="4"/>
        <v>-</v>
      </c>
      <c r="AK36" s="311" t="str">
        <f t="shared" si="4"/>
        <v>-</v>
      </c>
      <c r="AL36" s="311" t="str">
        <f t="shared" si="4"/>
        <v>-</v>
      </c>
      <c r="AM36" s="311" t="str">
        <f t="shared" si="4"/>
        <v>-</v>
      </c>
    </row>
    <row r="37" spans="2:39" s="233" customFormat="1" ht="14.25" x14ac:dyDescent="0.2">
      <c r="B37" s="109"/>
      <c r="C37" s="561"/>
      <c r="D37" s="561"/>
      <c r="E37" s="308" t="s">
        <v>913</v>
      </c>
      <c r="F37" s="389">
        <v>1.0000000000000001E-5</v>
      </c>
      <c r="G37" s="384">
        <v>1E-3</v>
      </c>
      <c r="H37" s="363">
        <v>0</v>
      </c>
      <c r="I37" s="312">
        <f>D6*F37*G37*(1-H37)</f>
        <v>5.6642957136000002E-6</v>
      </c>
      <c r="J37" s="361" t="s">
        <v>291</v>
      </c>
      <c r="K37" s="363">
        <v>0</v>
      </c>
      <c r="L37" s="388">
        <f t="shared" si="0"/>
        <v>5.6642957136000002E-6</v>
      </c>
      <c r="M37" s="258"/>
      <c r="O37" s="311" t="str">
        <f t="shared" si="3"/>
        <v>-</v>
      </c>
      <c r="P37" s="311" t="str">
        <f t="shared" si="3"/>
        <v>-</v>
      </c>
      <c r="Q37" s="311" t="str">
        <f t="shared" si="3"/>
        <v>-</v>
      </c>
      <c r="R37" s="311" t="str">
        <f t="shared" si="3"/>
        <v>-</v>
      </c>
      <c r="S37" s="311" t="str">
        <f t="shared" si="3"/>
        <v>-</v>
      </c>
      <c r="T37" s="311" t="str">
        <f t="shared" si="3"/>
        <v>-</v>
      </c>
      <c r="U37" s="311" t="str">
        <f t="shared" si="3"/>
        <v>-</v>
      </c>
      <c r="V37" s="311" t="str">
        <f t="shared" si="3"/>
        <v>-</v>
      </c>
      <c r="W37" s="311" t="str">
        <f t="shared" si="3"/>
        <v>-</v>
      </c>
      <c r="X37" s="311" t="str">
        <f t="shared" si="3"/>
        <v>-</v>
      </c>
      <c r="Y37" s="311" t="str">
        <f t="shared" si="3"/>
        <v>-</v>
      </c>
      <c r="Z37" s="311" t="str">
        <f t="shared" si="3"/>
        <v>-</v>
      </c>
      <c r="AB37" s="311" t="str">
        <f t="shared" si="4"/>
        <v>-</v>
      </c>
      <c r="AC37" s="311" t="str">
        <f t="shared" si="4"/>
        <v>-</v>
      </c>
      <c r="AD37" s="311" t="str">
        <f t="shared" si="4"/>
        <v>-</v>
      </c>
      <c r="AE37" s="311" t="str">
        <f t="shared" si="4"/>
        <v>-</v>
      </c>
      <c r="AF37" s="311" t="str">
        <f t="shared" si="4"/>
        <v>-</v>
      </c>
      <c r="AG37" s="311" t="str">
        <f t="shared" si="4"/>
        <v>-</v>
      </c>
      <c r="AH37" s="311" t="str">
        <f t="shared" si="4"/>
        <v>-</v>
      </c>
      <c r="AI37" s="311" t="str">
        <f t="shared" si="4"/>
        <v>-</v>
      </c>
      <c r="AJ37" s="311" t="str">
        <f t="shared" si="4"/>
        <v>-</v>
      </c>
      <c r="AK37" s="311" t="str">
        <f t="shared" si="4"/>
        <v>-</v>
      </c>
      <c r="AL37" s="311" t="str">
        <f t="shared" si="4"/>
        <v>-</v>
      </c>
      <c r="AM37" s="311" t="str">
        <f t="shared" si="4"/>
        <v>-</v>
      </c>
    </row>
    <row r="38" spans="2:39" s="233" customFormat="1" ht="14.25" x14ac:dyDescent="0.2">
      <c r="B38" s="109"/>
      <c r="C38" s="561"/>
      <c r="D38" s="561"/>
      <c r="E38" s="308" t="s">
        <v>914</v>
      </c>
      <c r="F38" s="389">
        <v>3.0000000000000001E-5</v>
      </c>
      <c r="G38" s="384">
        <v>1E-3</v>
      </c>
      <c r="H38" s="363">
        <v>0</v>
      </c>
      <c r="I38" s="312">
        <f>D6*F38*G38*(1-H38)</f>
        <v>1.6992887140799999E-5</v>
      </c>
      <c r="J38" s="361" t="s">
        <v>291</v>
      </c>
      <c r="K38" s="363">
        <v>0</v>
      </c>
      <c r="L38" s="388">
        <f t="shared" si="0"/>
        <v>1.6992887140799999E-5</v>
      </c>
      <c r="M38" s="258"/>
      <c r="O38" s="311" t="str">
        <f t="shared" si="3"/>
        <v>-</v>
      </c>
      <c r="P38" s="311" t="str">
        <f t="shared" si="3"/>
        <v>-</v>
      </c>
      <c r="Q38" s="311" t="str">
        <f t="shared" si="3"/>
        <v>-</v>
      </c>
      <c r="R38" s="311" t="str">
        <f t="shared" si="3"/>
        <v>-</v>
      </c>
      <c r="S38" s="311" t="str">
        <f t="shared" si="3"/>
        <v>-</v>
      </c>
      <c r="T38" s="311" t="str">
        <f t="shared" si="3"/>
        <v>-</v>
      </c>
      <c r="U38" s="311" t="str">
        <f t="shared" si="3"/>
        <v>-</v>
      </c>
      <c r="V38" s="311" t="str">
        <f t="shared" si="3"/>
        <v>-</v>
      </c>
      <c r="W38" s="311" t="str">
        <f t="shared" si="3"/>
        <v>-</v>
      </c>
      <c r="X38" s="311" t="str">
        <f t="shared" si="3"/>
        <v>-</v>
      </c>
      <c r="Y38" s="311" t="str">
        <f t="shared" si="3"/>
        <v>-</v>
      </c>
      <c r="Z38" s="311" t="str">
        <f t="shared" si="3"/>
        <v>-</v>
      </c>
      <c r="AB38" s="311" t="str">
        <f t="shared" si="4"/>
        <v>-</v>
      </c>
      <c r="AC38" s="311" t="str">
        <f t="shared" si="4"/>
        <v>-</v>
      </c>
      <c r="AD38" s="311" t="str">
        <f t="shared" si="4"/>
        <v>-</v>
      </c>
      <c r="AE38" s="311" t="str">
        <f t="shared" si="4"/>
        <v>-</v>
      </c>
      <c r="AF38" s="311" t="str">
        <f t="shared" si="4"/>
        <v>-</v>
      </c>
      <c r="AG38" s="311" t="str">
        <f t="shared" si="4"/>
        <v>-</v>
      </c>
      <c r="AH38" s="311" t="str">
        <f t="shared" si="4"/>
        <v>-</v>
      </c>
      <c r="AI38" s="311" t="str">
        <f t="shared" si="4"/>
        <v>-</v>
      </c>
      <c r="AJ38" s="311" t="str">
        <f t="shared" si="4"/>
        <v>-</v>
      </c>
      <c r="AK38" s="311" t="str">
        <f t="shared" si="4"/>
        <v>-</v>
      </c>
      <c r="AL38" s="311" t="str">
        <f t="shared" si="4"/>
        <v>-</v>
      </c>
      <c r="AM38" s="311" t="str">
        <f t="shared" si="4"/>
        <v>-</v>
      </c>
    </row>
    <row r="39" spans="2:39" s="233" customFormat="1" ht="14.25" x14ac:dyDescent="0.2">
      <c r="B39" s="109"/>
      <c r="C39" s="561"/>
      <c r="D39" s="561"/>
      <c r="E39" s="308" t="s">
        <v>915</v>
      </c>
      <c r="F39" s="389">
        <v>1E-4</v>
      </c>
      <c r="G39" s="384">
        <v>1E-3</v>
      </c>
      <c r="H39" s="363">
        <v>0</v>
      </c>
      <c r="I39" s="312">
        <f>D6*F39*G39*(1-H39)</f>
        <v>5.6642957135999998E-5</v>
      </c>
      <c r="J39" s="361" t="s">
        <v>291</v>
      </c>
      <c r="K39" s="363">
        <v>0</v>
      </c>
      <c r="L39" s="388">
        <f t="shared" si="0"/>
        <v>5.6642957135999998E-5</v>
      </c>
      <c r="M39" s="258"/>
      <c r="O39" s="311" t="str">
        <f t="shared" si="3"/>
        <v>-</v>
      </c>
      <c r="P39" s="311" t="str">
        <f t="shared" si="3"/>
        <v>-</v>
      </c>
      <c r="Q39" s="311" t="str">
        <f t="shared" si="3"/>
        <v>-</v>
      </c>
      <c r="R39" s="311" t="str">
        <f t="shared" si="3"/>
        <v>-</v>
      </c>
      <c r="S39" s="311" t="str">
        <f t="shared" si="3"/>
        <v>-</v>
      </c>
      <c r="T39" s="311" t="str">
        <f t="shared" si="3"/>
        <v>-</v>
      </c>
      <c r="U39" s="311" t="str">
        <f t="shared" si="3"/>
        <v>-</v>
      </c>
      <c r="V39" s="311" t="str">
        <f t="shared" si="3"/>
        <v>-</v>
      </c>
      <c r="W39" s="311" t="str">
        <f t="shared" si="3"/>
        <v>-</v>
      </c>
      <c r="X39" s="311" t="str">
        <f t="shared" si="3"/>
        <v>-</v>
      </c>
      <c r="Y39" s="311" t="str">
        <f t="shared" si="3"/>
        <v>-</v>
      </c>
      <c r="Z39" s="311" t="str">
        <f t="shared" si="3"/>
        <v>-</v>
      </c>
      <c r="AB39" s="311" t="str">
        <f t="shared" si="4"/>
        <v>-</v>
      </c>
      <c r="AC39" s="311" t="str">
        <f t="shared" si="4"/>
        <v>-</v>
      </c>
      <c r="AD39" s="311" t="str">
        <f t="shared" si="4"/>
        <v>-</v>
      </c>
      <c r="AE39" s="311" t="str">
        <f t="shared" si="4"/>
        <v>-</v>
      </c>
      <c r="AF39" s="311" t="str">
        <f t="shared" si="4"/>
        <v>-</v>
      </c>
      <c r="AG39" s="311" t="str">
        <f t="shared" si="4"/>
        <v>-</v>
      </c>
      <c r="AH39" s="311" t="str">
        <f t="shared" si="4"/>
        <v>-</v>
      </c>
      <c r="AI39" s="311" t="str">
        <f t="shared" si="4"/>
        <v>-</v>
      </c>
      <c r="AJ39" s="311" t="str">
        <f t="shared" si="4"/>
        <v>-</v>
      </c>
      <c r="AK39" s="311" t="str">
        <f t="shared" si="4"/>
        <v>-</v>
      </c>
      <c r="AL39" s="311" t="str">
        <f t="shared" si="4"/>
        <v>-</v>
      </c>
      <c r="AM39" s="311" t="str">
        <f t="shared" si="4"/>
        <v>-</v>
      </c>
    </row>
    <row r="40" spans="2:39" s="233" customFormat="1" ht="14.25" x14ac:dyDescent="0.2">
      <c r="B40" s="109"/>
      <c r="C40" s="554"/>
      <c r="D40" s="554"/>
      <c r="E40" s="308" t="s">
        <v>916</v>
      </c>
      <c r="F40" s="389">
        <v>1.0000000000000001E-5</v>
      </c>
      <c r="G40" s="384">
        <v>1E-3</v>
      </c>
      <c r="H40" s="363">
        <v>0</v>
      </c>
      <c r="I40" s="312">
        <f>D6*F40*G40*(1-H40)</f>
        <v>5.6642957136000002E-6</v>
      </c>
      <c r="J40" s="361" t="s">
        <v>291</v>
      </c>
      <c r="K40" s="363">
        <v>0</v>
      </c>
      <c r="L40" s="388">
        <f>I40*(1-K40)</f>
        <v>5.6642957136000002E-6</v>
      </c>
      <c r="M40" s="258"/>
      <c r="O40" s="311" t="str">
        <f t="shared" si="3"/>
        <v>-</v>
      </c>
      <c r="P40" s="311" t="str">
        <f t="shared" si="3"/>
        <v>-</v>
      </c>
      <c r="Q40" s="311" t="str">
        <f t="shared" si="3"/>
        <v>-</v>
      </c>
      <c r="R40" s="311" t="str">
        <f t="shared" si="3"/>
        <v>-</v>
      </c>
      <c r="S40" s="311" t="str">
        <f t="shared" si="3"/>
        <v>-</v>
      </c>
      <c r="T40" s="311" t="str">
        <f t="shared" si="3"/>
        <v>-</v>
      </c>
      <c r="U40" s="311" t="str">
        <f t="shared" si="3"/>
        <v>-</v>
      </c>
      <c r="V40" s="311" t="str">
        <f t="shared" si="3"/>
        <v>-</v>
      </c>
      <c r="W40" s="311" t="str">
        <f t="shared" si="3"/>
        <v>-</v>
      </c>
      <c r="X40" s="311" t="str">
        <f t="shared" si="3"/>
        <v>-</v>
      </c>
      <c r="Y40" s="311" t="str">
        <f t="shared" si="3"/>
        <v>-</v>
      </c>
      <c r="Z40" s="311" t="str">
        <f t="shared" si="3"/>
        <v>-</v>
      </c>
      <c r="AB40" s="311" t="str">
        <f t="shared" si="4"/>
        <v>-</v>
      </c>
      <c r="AC40" s="311" t="str">
        <f t="shared" si="4"/>
        <v>-</v>
      </c>
      <c r="AD40" s="311" t="str">
        <f t="shared" si="4"/>
        <v>-</v>
      </c>
      <c r="AE40" s="311" t="str">
        <f t="shared" si="4"/>
        <v>-</v>
      </c>
      <c r="AF40" s="311" t="str">
        <f t="shared" si="4"/>
        <v>-</v>
      </c>
      <c r="AG40" s="311" t="str">
        <f t="shared" si="4"/>
        <v>-</v>
      </c>
      <c r="AH40" s="311" t="str">
        <f t="shared" si="4"/>
        <v>-</v>
      </c>
      <c r="AI40" s="311" t="str">
        <f t="shared" si="4"/>
        <v>-</v>
      </c>
      <c r="AJ40" s="311" t="str">
        <f t="shared" si="4"/>
        <v>-</v>
      </c>
      <c r="AK40" s="311" t="str">
        <f t="shared" si="4"/>
        <v>-</v>
      </c>
      <c r="AL40" s="311" t="str">
        <f t="shared" si="4"/>
        <v>-</v>
      </c>
      <c r="AM40" s="311" t="str">
        <f t="shared" si="4"/>
        <v>-</v>
      </c>
    </row>
    <row r="41" spans="2:39" s="233" customFormat="1" ht="14.25" x14ac:dyDescent="0.2">
      <c r="B41" s="109"/>
      <c r="C41" s="262" t="s">
        <v>917</v>
      </c>
      <c r="D41" s="262">
        <v>1.98</v>
      </c>
      <c r="E41" s="308" t="s">
        <v>886</v>
      </c>
      <c r="F41" s="363">
        <v>1</v>
      </c>
      <c r="G41" s="384">
        <v>1E-3</v>
      </c>
      <c r="H41" s="363">
        <v>0</v>
      </c>
      <c r="I41" s="312">
        <f>D41*F41*G41*(1-H41)</f>
        <v>1.98E-3</v>
      </c>
      <c r="J41" s="361" t="s">
        <v>291</v>
      </c>
      <c r="K41" s="363">
        <v>0</v>
      </c>
      <c r="L41" s="388">
        <f>I41*(1-K41)</f>
        <v>1.98E-3</v>
      </c>
      <c r="M41" s="258"/>
      <c r="O41" s="311" t="str">
        <f t="shared" ref="O41:W41" si="5">IF($E41=O$3,$D$6*$F41,"-")</f>
        <v>-</v>
      </c>
      <c r="P41" s="311" t="str">
        <f t="shared" si="5"/>
        <v>-</v>
      </c>
      <c r="Q41" s="311" t="str">
        <f t="shared" si="5"/>
        <v>-</v>
      </c>
      <c r="R41" s="311" t="str">
        <f t="shared" si="5"/>
        <v>-</v>
      </c>
      <c r="S41" s="311" t="str">
        <f t="shared" si="5"/>
        <v>-</v>
      </c>
      <c r="T41" s="311" t="str">
        <f t="shared" si="5"/>
        <v>-</v>
      </c>
      <c r="U41" s="311" t="str">
        <f t="shared" si="5"/>
        <v>-</v>
      </c>
      <c r="V41" s="311" t="str">
        <f t="shared" si="5"/>
        <v>-</v>
      </c>
      <c r="W41" s="311" t="str">
        <f t="shared" si="5"/>
        <v>-</v>
      </c>
      <c r="X41" s="311">
        <f>IF($E41=X$3,$D$41*$F41,"-")</f>
        <v>1.98</v>
      </c>
      <c r="Y41" s="311" t="str">
        <f>IF($E41=Y$3,$D$6*$F41,"-")</f>
        <v>-</v>
      </c>
      <c r="Z41" s="311" t="str">
        <f>IF($E41=Z$3,$D$6*$F41,"-")</f>
        <v>-</v>
      </c>
      <c r="AB41" s="311" t="str">
        <f t="shared" si="4"/>
        <v>-</v>
      </c>
      <c r="AC41" s="311" t="str">
        <f t="shared" si="4"/>
        <v>-</v>
      </c>
      <c r="AD41" s="311" t="str">
        <f t="shared" si="4"/>
        <v>-</v>
      </c>
      <c r="AE41" s="311" t="str">
        <f t="shared" si="4"/>
        <v>-</v>
      </c>
      <c r="AF41" s="311" t="str">
        <f t="shared" si="4"/>
        <v>-</v>
      </c>
      <c r="AG41" s="311" t="str">
        <f t="shared" si="4"/>
        <v>-</v>
      </c>
      <c r="AH41" s="311" t="str">
        <f t="shared" si="4"/>
        <v>-</v>
      </c>
      <c r="AI41" s="311" t="str">
        <f t="shared" si="4"/>
        <v>-</v>
      </c>
      <c r="AJ41" s="311" t="str">
        <f t="shared" si="4"/>
        <v>-</v>
      </c>
      <c r="AK41" s="311" t="e">
        <f>IF($E41=AK$3,#REF!*$F41,"-")</f>
        <v>#REF!</v>
      </c>
      <c r="AL41" s="311" t="str">
        <f>IF($E41=AL$3,$D$6*$F41,"-")</f>
        <v>-</v>
      </c>
      <c r="AM41" s="311" t="str">
        <f>IF($E41=AM$3,$D$6*$F41,"-")</f>
        <v>-</v>
      </c>
    </row>
    <row r="42" spans="2:39" ht="14.25" x14ac:dyDescent="0.2">
      <c r="C42" s="312" t="s">
        <v>771</v>
      </c>
      <c r="D42" s="312">
        <v>142731.74981885432</v>
      </c>
      <c r="E42" s="361" t="s">
        <v>813</v>
      </c>
      <c r="F42" s="372">
        <v>0.06</v>
      </c>
      <c r="G42" s="361">
        <v>0.5</v>
      </c>
      <c r="H42" s="363">
        <v>0</v>
      </c>
      <c r="I42" s="312">
        <f>D42*F42*G42*(1-H42)</f>
        <v>4281.9524945656294</v>
      </c>
      <c r="J42" s="361" t="s">
        <v>252</v>
      </c>
      <c r="K42" s="363">
        <v>0</v>
      </c>
      <c r="L42" s="364">
        <f>I42*(1-K42)</f>
        <v>4281.9524945656294</v>
      </c>
      <c r="M42" s="258"/>
      <c r="O42" s="312"/>
      <c r="P42" s="312"/>
      <c r="Q42" s="312"/>
      <c r="R42" s="312"/>
      <c r="S42" s="312"/>
      <c r="T42" s="312"/>
      <c r="U42" s="312"/>
      <c r="V42" s="312"/>
      <c r="W42" s="312"/>
      <c r="X42" s="312"/>
      <c r="Y42" s="312"/>
      <c r="Z42" s="312"/>
      <c r="AB42" s="312"/>
      <c r="AC42" s="312"/>
      <c r="AD42" s="312"/>
      <c r="AE42" s="312"/>
      <c r="AF42" s="312"/>
      <c r="AG42" s="312"/>
      <c r="AH42" s="312"/>
      <c r="AI42" s="312"/>
      <c r="AJ42" s="312"/>
      <c r="AK42" s="312"/>
      <c r="AL42" s="312"/>
      <c r="AM42" s="312"/>
    </row>
    <row r="43" spans="2:39" ht="14.25" x14ac:dyDescent="0.2">
      <c r="C43" s="312" t="s">
        <v>772</v>
      </c>
      <c r="D43" s="312">
        <v>322365.51010624005</v>
      </c>
      <c r="E43" s="361" t="s">
        <v>813</v>
      </c>
      <c r="F43" s="372">
        <v>0.28000000000000003</v>
      </c>
      <c r="G43" s="361">
        <v>0.5</v>
      </c>
      <c r="H43" s="363">
        <v>0</v>
      </c>
      <c r="I43" s="312">
        <f>D43*F43*G43*(1-H43)</f>
        <v>45131.171414873614</v>
      </c>
      <c r="J43" s="361" t="s">
        <v>252</v>
      </c>
      <c r="K43" s="363">
        <v>0</v>
      </c>
      <c r="L43" s="364">
        <f t="shared" si="0"/>
        <v>45131.171414873614</v>
      </c>
      <c r="M43" s="258"/>
      <c r="O43" s="312"/>
      <c r="P43" s="312"/>
      <c r="Q43" s="312"/>
      <c r="R43" s="312"/>
      <c r="S43" s="312"/>
      <c r="T43" s="312"/>
      <c r="U43" s="312"/>
      <c r="V43" s="312"/>
      <c r="W43" s="312"/>
      <c r="X43" s="312"/>
      <c r="Y43" s="312"/>
      <c r="Z43" s="312"/>
      <c r="AB43" s="312"/>
      <c r="AC43" s="312"/>
      <c r="AD43" s="312"/>
      <c r="AE43" s="312"/>
      <c r="AF43" s="312"/>
      <c r="AG43" s="312"/>
      <c r="AH43" s="312"/>
      <c r="AI43" s="312"/>
      <c r="AJ43" s="312"/>
      <c r="AK43" s="312"/>
      <c r="AL43" s="312"/>
      <c r="AM43" s="312"/>
    </row>
    <row r="44" spans="2:39" s="233" customFormat="1" ht="14.25" x14ac:dyDescent="0.2">
      <c r="B44" s="109"/>
      <c r="C44" s="595" t="s">
        <v>773</v>
      </c>
      <c r="D44" s="560">
        <v>22214.39</v>
      </c>
      <c r="E44" s="309" t="s">
        <v>819</v>
      </c>
      <c r="F44" s="390">
        <v>5.1000000000000004E-2</v>
      </c>
      <c r="G44" s="361">
        <v>0.05</v>
      </c>
      <c r="H44" s="363">
        <v>0</v>
      </c>
      <c r="I44" s="324">
        <f>D44*F44*G44*(1-H44)</f>
        <v>56.646694500000002</v>
      </c>
      <c r="J44" s="361" t="s">
        <v>291</v>
      </c>
      <c r="K44" s="363">
        <v>0.6</v>
      </c>
      <c r="L44" s="365">
        <f t="shared" si="0"/>
        <v>22.658677800000003</v>
      </c>
      <c r="M44" s="258"/>
      <c r="O44" s="313"/>
      <c r="P44" s="313"/>
      <c r="Q44" s="313"/>
      <c r="R44" s="313"/>
      <c r="S44" s="313"/>
      <c r="T44" s="313"/>
      <c r="U44" s="313"/>
      <c r="V44" s="313"/>
      <c r="W44" s="313"/>
      <c r="X44" s="313"/>
      <c r="Y44" s="313"/>
      <c r="Z44" s="313"/>
      <c r="AB44" s="313"/>
      <c r="AC44" s="313"/>
      <c r="AD44" s="313"/>
      <c r="AE44" s="313"/>
      <c r="AF44" s="313"/>
      <c r="AG44" s="313"/>
      <c r="AH44" s="313"/>
      <c r="AI44" s="313"/>
      <c r="AJ44" s="313"/>
      <c r="AK44" s="313"/>
      <c r="AL44" s="313"/>
      <c r="AM44" s="313"/>
    </row>
    <row r="45" spans="2:39" s="233" customFormat="1" ht="14.25" x14ac:dyDescent="0.25">
      <c r="B45" s="109"/>
      <c r="C45" s="595"/>
      <c r="D45" s="561"/>
      <c r="E45" s="309" t="s">
        <v>918</v>
      </c>
      <c r="F45" s="372">
        <v>0.21608000000000002</v>
      </c>
      <c r="G45" s="361">
        <v>0.01</v>
      </c>
      <c r="H45" s="363">
        <v>0</v>
      </c>
      <c r="I45" s="324">
        <f>D44*F45*G45*(1-H45)</f>
        <v>48.000853912000004</v>
      </c>
      <c r="J45" s="361" t="s">
        <v>291</v>
      </c>
      <c r="K45" s="363">
        <v>0.6</v>
      </c>
      <c r="L45" s="365">
        <f t="shared" si="0"/>
        <v>19.200341564800002</v>
      </c>
      <c r="M45" s="258"/>
      <c r="O45" s="313"/>
      <c r="P45" s="313"/>
      <c r="Q45" s="313"/>
      <c r="R45" s="313"/>
      <c r="S45" s="313"/>
      <c r="T45" s="313"/>
      <c r="U45" s="313"/>
      <c r="V45" s="313"/>
      <c r="W45" s="313"/>
      <c r="X45" s="313"/>
      <c r="Y45" s="313"/>
      <c r="Z45" s="313"/>
      <c r="AB45" s="313"/>
      <c r="AC45" s="313"/>
      <c r="AD45" s="313"/>
      <c r="AE45" s="313"/>
      <c r="AF45" s="313"/>
      <c r="AG45" s="313"/>
      <c r="AH45" s="313"/>
      <c r="AI45" s="313"/>
      <c r="AJ45" s="313"/>
      <c r="AK45" s="313"/>
      <c r="AL45" s="313"/>
      <c r="AM45" s="313"/>
    </row>
    <row r="46" spans="2:39" s="233" customFormat="1" ht="14.25" x14ac:dyDescent="0.25">
      <c r="B46" s="109"/>
      <c r="C46" s="595"/>
      <c r="D46" s="554"/>
      <c r="E46" s="309" t="s">
        <v>919</v>
      </c>
      <c r="F46" s="372">
        <v>0.18392</v>
      </c>
      <c r="G46" s="361">
        <v>0.01</v>
      </c>
      <c r="H46" s="363">
        <v>0</v>
      </c>
      <c r="I46" s="324">
        <f>D44*F46*G46*(1-H46)</f>
        <v>40.856706088000003</v>
      </c>
      <c r="J46" s="361" t="s">
        <v>291</v>
      </c>
      <c r="K46" s="363">
        <v>0.5</v>
      </c>
      <c r="L46" s="365">
        <f t="shared" si="0"/>
        <v>20.428353044000001</v>
      </c>
      <c r="M46" s="258"/>
      <c r="O46" s="313"/>
      <c r="P46" s="313"/>
      <c r="Q46" s="313"/>
      <c r="R46" s="313"/>
      <c r="S46" s="313"/>
      <c r="T46" s="313"/>
      <c r="U46" s="313"/>
      <c r="V46" s="313"/>
      <c r="W46" s="313"/>
      <c r="X46" s="313"/>
      <c r="Y46" s="313"/>
      <c r="Z46" s="313"/>
      <c r="AB46" s="313"/>
      <c r="AC46" s="313"/>
      <c r="AD46" s="313"/>
      <c r="AE46" s="313"/>
      <c r="AF46" s="313"/>
      <c r="AG46" s="313"/>
      <c r="AH46" s="313"/>
      <c r="AI46" s="313"/>
      <c r="AJ46" s="313"/>
      <c r="AK46" s="313"/>
      <c r="AL46" s="313"/>
      <c r="AM46" s="313"/>
    </row>
    <row r="47" spans="2:39" ht="14.25" x14ac:dyDescent="0.2">
      <c r="C47" s="595" t="s">
        <v>774</v>
      </c>
      <c r="D47" s="560">
        <v>213616.48288220464</v>
      </c>
      <c r="E47" s="309" t="s">
        <v>819</v>
      </c>
      <c r="F47" s="391">
        <v>1.5474999999999999E-2</v>
      </c>
      <c r="G47" s="309">
        <v>0.05</v>
      </c>
      <c r="H47" s="392">
        <v>0</v>
      </c>
      <c r="I47" s="310">
        <f>D47*F47*G47*(1-H47)</f>
        <v>165.28575363010586</v>
      </c>
      <c r="J47" s="309" t="s">
        <v>291</v>
      </c>
      <c r="K47" s="392">
        <v>0.6</v>
      </c>
      <c r="L47" s="393">
        <f t="shared" si="0"/>
        <v>66.114301452042341</v>
      </c>
      <c r="M47" s="258"/>
      <c r="O47" s="310"/>
      <c r="P47" s="310"/>
      <c r="Q47" s="310"/>
      <c r="R47" s="310"/>
      <c r="S47" s="310"/>
      <c r="T47" s="310"/>
      <c r="U47" s="310"/>
      <c r="V47" s="310"/>
      <c r="W47" s="310"/>
      <c r="X47" s="310"/>
      <c r="Y47" s="310"/>
      <c r="Z47" s="310"/>
      <c r="AB47" s="310"/>
      <c r="AC47" s="310"/>
      <c r="AD47" s="310"/>
      <c r="AE47" s="310"/>
      <c r="AF47" s="310"/>
      <c r="AG47" s="310"/>
      <c r="AH47" s="310"/>
      <c r="AI47" s="310"/>
      <c r="AJ47" s="310"/>
      <c r="AK47" s="310"/>
      <c r="AL47" s="310"/>
      <c r="AM47" s="310"/>
    </row>
    <row r="48" spans="2:39" ht="14.25" x14ac:dyDescent="0.25">
      <c r="C48" s="595"/>
      <c r="D48" s="561"/>
      <c r="E48" s="309" t="s">
        <v>918</v>
      </c>
      <c r="F48" s="372">
        <v>0.14855500000000002</v>
      </c>
      <c r="G48" s="309">
        <v>0.01</v>
      </c>
      <c r="H48" s="392">
        <v>0</v>
      </c>
      <c r="I48" s="310">
        <f>D47*F48*G48*(1-H48)</f>
        <v>317.33796614565915</v>
      </c>
      <c r="J48" s="309" t="s">
        <v>291</v>
      </c>
      <c r="K48" s="392">
        <v>0.6</v>
      </c>
      <c r="L48" s="393">
        <f t="shared" si="0"/>
        <v>126.93518645826367</v>
      </c>
      <c r="M48" s="258"/>
      <c r="O48" s="310"/>
      <c r="P48" s="310"/>
      <c r="Q48" s="310"/>
      <c r="R48" s="310"/>
      <c r="S48" s="310"/>
      <c r="T48" s="310"/>
      <c r="U48" s="310"/>
      <c r="V48" s="310"/>
      <c r="W48" s="310"/>
      <c r="X48" s="310"/>
      <c r="Y48" s="310"/>
      <c r="Z48" s="310"/>
      <c r="AB48" s="310"/>
      <c r="AC48" s="310"/>
      <c r="AD48" s="310"/>
      <c r="AE48" s="310"/>
      <c r="AF48" s="310"/>
      <c r="AG48" s="310"/>
      <c r="AH48" s="310"/>
      <c r="AI48" s="310"/>
      <c r="AJ48" s="310"/>
      <c r="AK48" s="310"/>
      <c r="AL48" s="310"/>
      <c r="AM48" s="310"/>
    </row>
    <row r="49" spans="1:39" ht="14.25" x14ac:dyDescent="0.25">
      <c r="C49" s="595"/>
      <c r="D49" s="554"/>
      <c r="E49" s="309" t="s">
        <v>919</v>
      </c>
      <c r="F49" s="372">
        <v>0.126445</v>
      </c>
      <c r="G49" s="309">
        <v>0.01</v>
      </c>
      <c r="H49" s="392">
        <v>0</v>
      </c>
      <c r="I49" s="310">
        <f>D47*F49*G49*(1-H49)</f>
        <v>270.10736178040366</v>
      </c>
      <c r="J49" s="309" t="s">
        <v>291</v>
      </c>
      <c r="K49" s="392">
        <v>0.5</v>
      </c>
      <c r="L49" s="394">
        <f>I49*(1-K49)</f>
        <v>135.05368089020183</v>
      </c>
      <c r="M49" s="258"/>
      <c r="O49" s="314"/>
      <c r="P49" s="314"/>
      <c r="Q49" s="314"/>
      <c r="R49" s="314"/>
      <c r="S49" s="314"/>
      <c r="T49" s="314"/>
      <c r="U49" s="314"/>
      <c r="V49" s="314"/>
      <c r="W49" s="314"/>
      <c r="X49" s="314"/>
      <c r="Y49" s="314"/>
      <c r="Z49" s="314"/>
      <c r="AB49" s="314"/>
      <c r="AC49" s="314"/>
      <c r="AD49" s="314"/>
      <c r="AE49" s="314"/>
      <c r="AF49" s="314"/>
      <c r="AG49" s="314"/>
      <c r="AH49" s="314"/>
      <c r="AI49" s="314"/>
      <c r="AJ49" s="314"/>
      <c r="AK49" s="314"/>
      <c r="AL49" s="314"/>
      <c r="AM49" s="314"/>
    </row>
    <row r="50" spans="1:39" s="233" customFormat="1" ht="25.5" x14ac:dyDescent="0.2">
      <c r="B50" s="109"/>
      <c r="C50" s="595" t="s">
        <v>775</v>
      </c>
      <c r="D50" s="560">
        <v>90360.224087879746</v>
      </c>
      <c r="E50" s="308" t="s">
        <v>920</v>
      </c>
      <c r="F50" s="372">
        <v>1E-3</v>
      </c>
      <c r="G50" s="361">
        <v>0.05</v>
      </c>
      <c r="H50" s="363">
        <v>0</v>
      </c>
      <c r="I50" s="313">
        <f>D50*F50*G50*(1-H50)</f>
        <v>4.5180112043939875</v>
      </c>
      <c r="J50" s="361" t="s">
        <v>291</v>
      </c>
      <c r="K50" s="363">
        <v>0</v>
      </c>
      <c r="L50" s="379">
        <f t="shared" si="0"/>
        <v>4.5180112043939875</v>
      </c>
      <c r="M50" s="258"/>
      <c r="O50" s="315"/>
      <c r="P50" s="315"/>
      <c r="Q50" s="315"/>
      <c r="R50" s="315"/>
      <c r="S50" s="315"/>
      <c r="T50" s="315"/>
      <c r="U50" s="315"/>
      <c r="V50" s="315"/>
      <c r="W50" s="315"/>
      <c r="X50" s="315"/>
      <c r="Y50" s="315"/>
      <c r="Z50" s="315"/>
      <c r="AB50" s="315"/>
      <c r="AC50" s="315"/>
      <c r="AD50" s="315"/>
      <c r="AE50" s="315"/>
      <c r="AF50" s="315"/>
      <c r="AG50" s="315"/>
      <c r="AH50" s="315"/>
      <c r="AI50" s="315"/>
      <c r="AJ50" s="315"/>
      <c r="AK50" s="315"/>
      <c r="AL50" s="315"/>
      <c r="AM50" s="315"/>
    </row>
    <row r="51" spans="1:39" ht="14.25" x14ac:dyDescent="0.2">
      <c r="C51" s="595"/>
      <c r="D51" s="554"/>
      <c r="E51" s="309" t="s">
        <v>310</v>
      </c>
      <c r="F51" s="392">
        <v>0.03</v>
      </c>
      <c r="G51" s="309">
        <v>1E-3</v>
      </c>
      <c r="H51" s="392">
        <v>0</v>
      </c>
      <c r="I51" s="322">
        <f>D50*F51*G51*(1-H51)</f>
        <v>2.7108067226363923</v>
      </c>
      <c r="J51" s="309" t="s">
        <v>291</v>
      </c>
      <c r="K51" s="392">
        <v>0</v>
      </c>
      <c r="L51" s="395">
        <f t="shared" si="0"/>
        <v>2.7108067226363923</v>
      </c>
      <c r="M51" s="258"/>
      <c r="O51" s="316"/>
      <c r="P51" s="316"/>
      <c r="Q51" s="316"/>
      <c r="R51" s="316"/>
      <c r="S51" s="316"/>
      <c r="T51" s="316"/>
      <c r="U51" s="316"/>
      <c r="V51" s="316"/>
      <c r="W51" s="316"/>
      <c r="X51" s="316"/>
      <c r="Y51" s="316"/>
      <c r="Z51" s="316"/>
      <c r="AB51" s="316"/>
      <c r="AC51" s="316"/>
      <c r="AD51" s="316"/>
      <c r="AE51" s="316"/>
      <c r="AF51" s="316"/>
      <c r="AG51" s="316"/>
      <c r="AH51" s="316"/>
      <c r="AI51" s="316"/>
      <c r="AJ51" s="316"/>
      <c r="AK51" s="316"/>
      <c r="AL51" s="316"/>
      <c r="AM51" s="316"/>
    </row>
    <row r="52" spans="1:39" ht="14.25" x14ac:dyDescent="0.2">
      <c r="A52" s="317" t="s">
        <v>830</v>
      </c>
      <c r="C52" s="312" t="s">
        <v>776</v>
      </c>
      <c r="D52" s="312">
        <v>0</v>
      </c>
      <c r="E52" s="309" t="s">
        <v>888</v>
      </c>
      <c r="F52" s="392">
        <v>1</v>
      </c>
      <c r="G52" s="309">
        <v>1E-3</v>
      </c>
      <c r="H52" s="392">
        <v>0</v>
      </c>
      <c r="I52" s="322">
        <f>D52*F52*G52*(1-H52)</f>
        <v>0</v>
      </c>
      <c r="J52" s="309" t="s">
        <v>291</v>
      </c>
      <c r="K52" s="392">
        <v>0</v>
      </c>
      <c r="L52" s="395">
        <f t="shared" si="0"/>
        <v>0</v>
      </c>
      <c r="M52" s="258"/>
      <c r="O52" s="311" t="str">
        <f t="shared" ref="O52:Z52" si="6">IF($E52=O$3,$D$52*$F52,"-")</f>
        <v>-</v>
      </c>
      <c r="P52" s="311" t="str">
        <f t="shared" si="6"/>
        <v>-</v>
      </c>
      <c r="Q52" s="311" t="str">
        <f t="shared" si="6"/>
        <v>-</v>
      </c>
      <c r="R52" s="311" t="str">
        <f t="shared" si="6"/>
        <v>-</v>
      </c>
      <c r="S52" s="311" t="str">
        <f t="shared" si="6"/>
        <v>-</v>
      </c>
      <c r="T52" s="311" t="str">
        <f t="shared" si="6"/>
        <v>-</v>
      </c>
      <c r="U52" s="311" t="str">
        <f t="shared" si="6"/>
        <v>-</v>
      </c>
      <c r="V52" s="311" t="str">
        <f t="shared" si="6"/>
        <v>-</v>
      </c>
      <c r="W52" s="311" t="str">
        <f t="shared" si="6"/>
        <v>-</v>
      </c>
      <c r="X52" s="311" t="str">
        <f t="shared" si="6"/>
        <v>-</v>
      </c>
      <c r="Y52" s="311" t="str">
        <f t="shared" si="6"/>
        <v>-</v>
      </c>
      <c r="Z52" s="311">
        <f t="shared" si="6"/>
        <v>0</v>
      </c>
      <c r="AB52" s="311" t="str">
        <f t="shared" ref="AB52:AL52" si="7">IF($E52=AB$3,$D$52*$F52,"-")</f>
        <v>-</v>
      </c>
      <c r="AC52" s="311" t="str">
        <f t="shared" si="7"/>
        <v>-</v>
      </c>
      <c r="AD52" s="311" t="str">
        <f t="shared" si="7"/>
        <v>-</v>
      </c>
      <c r="AE52" s="311" t="str">
        <f t="shared" si="7"/>
        <v>-</v>
      </c>
      <c r="AF52" s="311" t="str">
        <f t="shared" si="7"/>
        <v>-</v>
      </c>
      <c r="AG52" s="311" t="str">
        <f t="shared" si="7"/>
        <v>-</v>
      </c>
      <c r="AH52" s="311" t="str">
        <f t="shared" si="7"/>
        <v>-</v>
      </c>
      <c r="AI52" s="311" t="str">
        <f t="shared" si="7"/>
        <v>-</v>
      </c>
      <c r="AJ52" s="311" t="str">
        <f t="shared" si="7"/>
        <v>-</v>
      </c>
      <c r="AK52" s="311" t="str">
        <f t="shared" si="7"/>
        <v>-</v>
      </c>
      <c r="AL52" s="311" t="str">
        <f t="shared" si="7"/>
        <v>-</v>
      </c>
      <c r="AM52" s="311">
        <v>0</v>
      </c>
    </row>
    <row r="53" spans="1:39" ht="15" customHeight="1" x14ac:dyDescent="0.2">
      <c r="A53" s="317"/>
      <c r="C53" s="596" t="s">
        <v>921</v>
      </c>
      <c r="D53" s="560">
        <v>1738.7999999999997</v>
      </c>
      <c r="E53" s="309" t="s">
        <v>885</v>
      </c>
      <c r="F53" s="391">
        <v>3.0000000000000001E-5</v>
      </c>
      <c r="G53" s="309">
        <v>1E-3</v>
      </c>
      <c r="H53" s="392">
        <v>0</v>
      </c>
      <c r="I53" s="322">
        <f>D53*F53*G53*(1-H53)</f>
        <v>5.2163999999999997E-5</v>
      </c>
      <c r="J53" s="309" t="s">
        <v>291</v>
      </c>
      <c r="K53" s="392">
        <v>0</v>
      </c>
      <c r="L53" s="396">
        <f>I53*(1-K53)</f>
        <v>5.2163999999999997E-5</v>
      </c>
      <c r="M53" s="258"/>
      <c r="O53" s="311" t="str">
        <f t="shared" ref="O53:X61" si="8">IF($E53=O$3,$D$53*$F53,"-")</f>
        <v>-</v>
      </c>
      <c r="P53" s="311" t="str">
        <f t="shared" si="8"/>
        <v>-</v>
      </c>
      <c r="Q53" s="311" t="str">
        <f t="shared" si="8"/>
        <v>-</v>
      </c>
      <c r="R53" s="311" t="str">
        <f t="shared" si="8"/>
        <v>-</v>
      </c>
      <c r="S53" s="311" t="str">
        <f t="shared" si="8"/>
        <v>-</v>
      </c>
      <c r="T53" s="311" t="str">
        <f t="shared" si="8"/>
        <v>-</v>
      </c>
      <c r="U53" s="311" t="str">
        <f t="shared" si="8"/>
        <v>-</v>
      </c>
      <c r="V53" s="311" t="str">
        <f t="shared" si="8"/>
        <v>-</v>
      </c>
      <c r="W53" s="311">
        <f t="shared" si="8"/>
        <v>5.2163999999999995E-2</v>
      </c>
      <c r="X53" s="311" t="str">
        <f t="shared" si="8"/>
        <v>-</v>
      </c>
      <c r="Y53" s="311" t="str">
        <f t="shared" ref="Y53:Y80" si="9">IF($E53=Y$3,$D$52*$F53,"-")</f>
        <v>-</v>
      </c>
      <c r="Z53" s="311" t="str">
        <f t="shared" ref="Z53:Z61" si="10">IF($E53=Z$3,$D$53*$F53,"-")</f>
        <v>-</v>
      </c>
      <c r="AB53" s="311" t="str">
        <f>IF($E53=AB$3,#REF!*$F53,"-")</f>
        <v>-</v>
      </c>
      <c r="AC53" s="311" t="str">
        <f>IF($E53=AC$3,#REF!*$F53,"-")</f>
        <v>-</v>
      </c>
      <c r="AD53" s="311" t="str">
        <f>IF($E53=AD$3,#REF!*$F53,"-")</f>
        <v>-</v>
      </c>
      <c r="AE53" s="311" t="str">
        <f>IF($E53=AE$3,#REF!*$F53,"-")</f>
        <v>-</v>
      </c>
      <c r="AF53" s="311" t="str">
        <f>IF($E53=AF$3,#REF!*$F53,"-")</f>
        <v>-</v>
      </c>
      <c r="AG53" s="311" t="str">
        <f>IF($E53=AG$3,#REF!*$F53,"-")</f>
        <v>-</v>
      </c>
      <c r="AH53" s="311" t="str">
        <f>IF($E53=AH$3,#REF!*$F53,"-")</f>
        <v>-</v>
      </c>
      <c r="AI53" s="311" t="str">
        <f>IF($E53=AI$3,#REF!*$F53,"-")</f>
        <v>-</v>
      </c>
      <c r="AJ53" s="311" t="e">
        <f>IF($E53=AJ$3,#REF!*$F53,"-")</f>
        <v>#REF!</v>
      </c>
      <c r="AK53" s="311" t="str">
        <f>IF($E53=AK$3,#REF!*$F53,"-")</f>
        <v>-</v>
      </c>
      <c r="AL53" s="311" t="str">
        <f>IF($E53=AL$3,#REF!*$F53,"-")</f>
        <v>-</v>
      </c>
      <c r="AM53" s="311" t="str">
        <f>IF($E53=AM$3,#REF!*$F53,"-")</f>
        <v>-</v>
      </c>
    </row>
    <row r="54" spans="1:39" ht="14.25" customHeight="1" x14ac:dyDescent="0.2">
      <c r="A54" s="317"/>
      <c r="C54" s="597"/>
      <c r="D54" s="561"/>
      <c r="E54" s="309" t="s">
        <v>898</v>
      </c>
      <c r="F54" s="391">
        <v>3.0000000000000001E-5</v>
      </c>
      <c r="G54" s="309">
        <v>1E-3</v>
      </c>
      <c r="H54" s="392">
        <v>0</v>
      </c>
      <c r="I54" s="322">
        <f>D53*F54*G54*(1-H54)</f>
        <v>5.2163999999999997E-5</v>
      </c>
      <c r="J54" s="309" t="s">
        <v>291</v>
      </c>
      <c r="K54" s="392">
        <v>0</v>
      </c>
      <c r="L54" s="396">
        <f>I54*(1-K54)</f>
        <v>5.2163999999999997E-5</v>
      </c>
      <c r="M54" s="258"/>
      <c r="O54" s="311" t="str">
        <f t="shared" si="8"/>
        <v>-</v>
      </c>
      <c r="P54" s="311" t="str">
        <f t="shared" si="8"/>
        <v>-</v>
      </c>
      <c r="Q54" s="311" t="str">
        <f t="shared" si="8"/>
        <v>-</v>
      </c>
      <c r="R54" s="311" t="str">
        <f t="shared" si="8"/>
        <v>-</v>
      </c>
      <c r="S54" s="311" t="str">
        <f t="shared" si="8"/>
        <v>-</v>
      </c>
      <c r="T54" s="311" t="str">
        <f t="shared" si="8"/>
        <v>-</v>
      </c>
      <c r="U54" s="311" t="str">
        <f t="shared" si="8"/>
        <v>-</v>
      </c>
      <c r="V54" s="311" t="str">
        <f t="shared" si="8"/>
        <v>-</v>
      </c>
      <c r="W54" s="311" t="str">
        <f t="shared" si="8"/>
        <v>-</v>
      </c>
      <c r="X54" s="311" t="str">
        <f t="shared" si="8"/>
        <v>-</v>
      </c>
      <c r="Y54" s="311" t="str">
        <f t="shared" si="9"/>
        <v>-</v>
      </c>
      <c r="Z54" s="311" t="str">
        <f t="shared" si="10"/>
        <v>-</v>
      </c>
      <c r="AB54" s="311" t="str">
        <f>IF($E54=AB$3,#REF!*$F54,"-")</f>
        <v>-</v>
      </c>
      <c r="AC54" s="311" t="str">
        <f>IF($E54=AC$3,#REF!*$F54,"-")</f>
        <v>-</v>
      </c>
      <c r="AD54" s="311" t="str">
        <f>IF($E54=AD$3,#REF!*$F54,"-")</f>
        <v>-</v>
      </c>
      <c r="AE54" s="311" t="str">
        <f>IF($E54=AE$3,#REF!*$F54,"-")</f>
        <v>-</v>
      </c>
      <c r="AF54" s="311" t="str">
        <f>IF($E54=AF$3,#REF!*$F54,"-")</f>
        <v>-</v>
      </c>
      <c r="AG54" s="311" t="str">
        <f>IF($E54=AG$3,#REF!*$F54,"-")</f>
        <v>-</v>
      </c>
      <c r="AH54" s="311" t="str">
        <f>IF($E54=AH$3,#REF!*$F54,"-")</f>
        <v>-</v>
      </c>
      <c r="AI54" s="311" t="str">
        <f>IF($E54=AI$3,#REF!*$F54,"-")</f>
        <v>-</v>
      </c>
      <c r="AJ54" s="311" t="str">
        <f>IF($E54=AJ$3,#REF!*$F54,"-")</f>
        <v>-</v>
      </c>
      <c r="AK54" s="311" t="str">
        <f>IF($E54=AK$3,#REF!*$F54,"-")</f>
        <v>-</v>
      </c>
      <c r="AL54" s="311" t="str">
        <f>IF($E54=AL$3,#REF!*$F54,"-")</f>
        <v>-</v>
      </c>
      <c r="AM54" s="311" t="str">
        <f>IF($E54=AM$3,#REF!*$F54,"-")</f>
        <v>-</v>
      </c>
    </row>
    <row r="55" spans="1:39" ht="14.25" customHeight="1" x14ac:dyDescent="0.2">
      <c r="A55" s="317"/>
      <c r="C55" s="597"/>
      <c r="D55" s="561"/>
      <c r="E55" s="309" t="s">
        <v>883</v>
      </c>
      <c r="F55" s="391">
        <v>1.0000000000000001E-5</v>
      </c>
      <c r="G55" s="309">
        <v>1E-3</v>
      </c>
      <c r="H55" s="392">
        <v>0</v>
      </c>
      <c r="I55" s="322">
        <f>D53*F55*G55*(1-H55)</f>
        <v>1.7387999999999997E-5</v>
      </c>
      <c r="J55" s="309" t="s">
        <v>291</v>
      </c>
      <c r="K55" s="392">
        <v>0</v>
      </c>
      <c r="L55" s="396">
        <f>I55*(1-K55)</f>
        <v>1.7387999999999997E-5</v>
      </c>
      <c r="M55" s="258"/>
      <c r="O55" s="311" t="str">
        <f t="shared" si="8"/>
        <v>-</v>
      </c>
      <c r="P55" s="311" t="str">
        <f t="shared" si="8"/>
        <v>-</v>
      </c>
      <c r="Q55" s="311" t="str">
        <f t="shared" si="8"/>
        <v>-</v>
      </c>
      <c r="R55" s="311" t="str">
        <f t="shared" si="8"/>
        <v>-</v>
      </c>
      <c r="S55" s="311" t="str">
        <f t="shared" si="8"/>
        <v>-</v>
      </c>
      <c r="T55" s="311" t="str">
        <f t="shared" si="8"/>
        <v>-</v>
      </c>
      <c r="U55" s="311">
        <f t="shared" si="8"/>
        <v>1.7387999999999997E-2</v>
      </c>
      <c r="V55" s="311" t="str">
        <f t="shared" si="8"/>
        <v>-</v>
      </c>
      <c r="W55" s="311" t="str">
        <f t="shared" si="8"/>
        <v>-</v>
      </c>
      <c r="X55" s="311" t="str">
        <f t="shared" si="8"/>
        <v>-</v>
      </c>
      <c r="Y55" s="311" t="str">
        <f t="shared" si="9"/>
        <v>-</v>
      </c>
      <c r="Z55" s="311" t="str">
        <f t="shared" si="10"/>
        <v>-</v>
      </c>
      <c r="AB55" s="311" t="str">
        <f>IF($E55=AB$3,#REF!*$F55,"-")</f>
        <v>-</v>
      </c>
      <c r="AC55" s="311" t="str">
        <f>IF($E55=AC$3,#REF!*$F55,"-")</f>
        <v>-</v>
      </c>
      <c r="AD55" s="311" t="str">
        <f>IF($E55=AD$3,#REF!*$F55,"-")</f>
        <v>-</v>
      </c>
      <c r="AE55" s="311" t="str">
        <f>IF($E55=AE$3,#REF!*$F55,"-")</f>
        <v>-</v>
      </c>
      <c r="AF55" s="311" t="str">
        <f>IF($E55=AF$3,#REF!*$F55,"-")</f>
        <v>-</v>
      </c>
      <c r="AG55" s="311" t="str">
        <f>IF($E55=AG$3,#REF!*$F55,"-")</f>
        <v>-</v>
      </c>
      <c r="AH55" s="311" t="e">
        <f>IF($E55=AH$3,#REF!*$F55,"-")</f>
        <v>#REF!</v>
      </c>
      <c r="AI55" s="311" t="str">
        <f>IF($E55=AI$3,#REF!*$F55,"-")</f>
        <v>-</v>
      </c>
      <c r="AJ55" s="311" t="str">
        <f>IF($E55=AJ$3,#REF!*$F55,"-")</f>
        <v>-</v>
      </c>
      <c r="AK55" s="311" t="str">
        <f>IF($E55=AK$3,#REF!*$F55,"-")</f>
        <v>-</v>
      </c>
      <c r="AL55" s="311" t="str">
        <f>IF($E55=AL$3,#REF!*$F55,"-")</f>
        <v>-</v>
      </c>
      <c r="AM55" s="311" t="str">
        <f>IF($E55=AM$3,#REF!*$F55,"-")</f>
        <v>-</v>
      </c>
    </row>
    <row r="56" spans="1:39" ht="14.25" customHeight="1" x14ac:dyDescent="0.2">
      <c r="A56" s="317"/>
      <c r="C56" s="597"/>
      <c r="D56" s="561"/>
      <c r="E56" s="309" t="s">
        <v>882</v>
      </c>
      <c r="F56" s="391">
        <v>2.0000000000000002E-5</v>
      </c>
      <c r="G56" s="309">
        <v>1E-3</v>
      </c>
      <c r="H56" s="392">
        <v>0</v>
      </c>
      <c r="I56" s="322">
        <f>D53*F56*G56*(1-H56)</f>
        <v>3.4775999999999994E-5</v>
      </c>
      <c r="J56" s="309" t="s">
        <v>291</v>
      </c>
      <c r="K56" s="392">
        <v>0</v>
      </c>
      <c r="L56" s="396">
        <f>I56*(1-K56)</f>
        <v>3.4775999999999994E-5</v>
      </c>
      <c r="M56" s="258"/>
      <c r="O56" s="311" t="str">
        <f t="shared" si="8"/>
        <v>-</v>
      </c>
      <c r="P56" s="311" t="str">
        <f t="shared" si="8"/>
        <v>-</v>
      </c>
      <c r="Q56" s="311" t="str">
        <f t="shared" si="8"/>
        <v>-</v>
      </c>
      <c r="R56" s="311" t="str">
        <f t="shared" si="8"/>
        <v>-</v>
      </c>
      <c r="S56" s="311" t="str">
        <f t="shared" si="8"/>
        <v>-</v>
      </c>
      <c r="T56" s="311">
        <f t="shared" si="8"/>
        <v>3.4775999999999994E-2</v>
      </c>
      <c r="U56" s="311" t="str">
        <f t="shared" si="8"/>
        <v>-</v>
      </c>
      <c r="V56" s="311" t="str">
        <f t="shared" si="8"/>
        <v>-</v>
      </c>
      <c r="W56" s="311" t="str">
        <f t="shared" si="8"/>
        <v>-</v>
      </c>
      <c r="X56" s="311" t="str">
        <f t="shared" si="8"/>
        <v>-</v>
      </c>
      <c r="Y56" s="311" t="str">
        <f t="shared" si="9"/>
        <v>-</v>
      </c>
      <c r="Z56" s="311" t="str">
        <f t="shared" si="10"/>
        <v>-</v>
      </c>
      <c r="AB56" s="311" t="str">
        <f>IF($E56=AB$3,#REF!*$F56,"-")</f>
        <v>-</v>
      </c>
      <c r="AC56" s="311" t="str">
        <f>IF($E56=AC$3,#REF!*$F56,"-")</f>
        <v>-</v>
      </c>
      <c r="AD56" s="311" t="str">
        <f>IF($E56=AD$3,#REF!*$F56,"-")</f>
        <v>-</v>
      </c>
      <c r="AE56" s="311" t="str">
        <f>IF($E56=AE$3,#REF!*$F56,"-")</f>
        <v>-</v>
      </c>
      <c r="AF56" s="311" t="str">
        <f>IF($E56=AF$3,#REF!*$F56,"-")</f>
        <v>-</v>
      </c>
      <c r="AG56" s="311" t="e">
        <f>IF($E56=AG$3,#REF!*$F56,"-")</f>
        <v>#REF!</v>
      </c>
      <c r="AH56" s="311" t="str">
        <f>IF($E56=AH$3,#REF!*$F56,"-")</f>
        <v>-</v>
      </c>
      <c r="AI56" s="311" t="str">
        <f>IF($E56=AI$3,#REF!*$F56,"-")</f>
        <v>-</v>
      </c>
      <c r="AJ56" s="311" t="str">
        <f>IF($E56=AJ$3,#REF!*$F56,"-")</f>
        <v>-</v>
      </c>
      <c r="AK56" s="311" t="str">
        <f>IF($E56=AK$3,#REF!*$F56,"-")</f>
        <v>-</v>
      </c>
      <c r="AL56" s="311" t="str">
        <f>IF($E56=AL$3,#REF!*$F56,"-")</f>
        <v>-</v>
      </c>
      <c r="AM56" s="311" t="str">
        <f>IF($E56=AM$3,#REF!*$F56,"-")</f>
        <v>-</v>
      </c>
    </row>
    <row r="57" spans="1:39" ht="14.25" customHeight="1" x14ac:dyDescent="0.2">
      <c r="A57" s="317"/>
      <c r="C57" s="597"/>
      <c r="D57" s="561"/>
      <c r="E57" s="309" t="s">
        <v>916</v>
      </c>
      <c r="F57" s="391">
        <v>3.0000000000000001E-5</v>
      </c>
      <c r="G57" s="309">
        <v>1E-3</v>
      </c>
      <c r="H57" s="392">
        <v>0</v>
      </c>
      <c r="I57" s="322">
        <f>D53*F57*G57*(1-H57)</f>
        <v>5.2163999999999997E-5</v>
      </c>
      <c r="J57" s="309" t="s">
        <v>291</v>
      </c>
      <c r="K57" s="392">
        <v>0</v>
      </c>
      <c r="L57" s="396">
        <f>I57*(1-K57)</f>
        <v>5.2163999999999997E-5</v>
      </c>
      <c r="M57" s="258"/>
      <c r="O57" s="311" t="str">
        <f t="shared" si="8"/>
        <v>-</v>
      </c>
      <c r="P57" s="311" t="str">
        <f t="shared" si="8"/>
        <v>-</v>
      </c>
      <c r="Q57" s="311" t="str">
        <f t="shared" si="8"/>
        <v>-</v>
      </c>
      <c r="R57" s="311" t="str">
        <f t="shared" si="8"/>
        <v>-</v>
      </c>
      <c r="S57" s="311" t="str">
        <f t="shared" si="8"/>
        <v>-</v>
      </c>
      <c r="T57" s="311" t="str">
        <f t="shared" si="8"/>
        <v>-</v>
      </c>
      <c r="U57" s="311" t="str">
        <f t="shared" si="8"/>
        <v>-</v>
      </c>
      <c r="V57" s="311" t="str">
        <f t="shared" si="8"/>
        <v>-</v>
      </c>
      <c r="W57" s="311" t="str">
        <f t="shared" si="8"/>
        <v>-</v>
      </c>
      <c r="X57" s="311" t="str">
        <f t="shared" si="8"/>
        <v>-</v>
      </c>
      <c r="Y57" s="311" t="str">
        <f t="shared" si="9"/>
        <v>-</v>
      </c>
      <c r="Z57" s="311" t="str">
        <f t="shared" si="10"/>
        <v>-</v>
      </c>
      <c r="AB57" s="311" t="str">
        <f>IF($E57=AB$3,#REF!*$F57,"-")</f>
        <v>-</v>
      </c>
      <c r="AC57" s="311" t="str">
        <f>IF($E57=AC$3,#REF!*$F57,"-")</f>
        <v>-</v>
      </c>
      <c r="AD57" s="311" t="str">
        <f>IF($E57=AD$3,#REF!*$F57,"-")</f>
        <v>-</v>
      </c>
      <c r="AE57" s="311" t="str">
        <f>IF($E57=AE$3,#REF!*$F57,"-")</f>
        <v>-</v>
      </c>
      <c r="AF57" s="311" t="str">
        <f>IF($E57=AF$3,#REF!*$F57,"-")</f>
        <v>-</v>
      </c>
      <c r="AG57" s="311" t="str">
        <f>IF($E57=AG$3,#REF!*$F57,"-")</f>
        <v>-</v>
      </c>
      <c r="AH57" s="311" t="str">
        <f>IF($E57=AH$3,#REF!*$F57,"-")</f>
        <v>-</v>
      </c>
      <c r="AI57" s="311" t="str">
        <f>IF($E57=AI$3,#REF!*$F57,"-")</f>
        <v>-</v>
      </c>
      <c r="AJ57" s="311" t="str">
        <f>IF($E57=AJ$3,#REF!*$F57,"-")</f>
        <v>-</v>
      </c>
      <c r="AK57" s="311" t="str">
        <f>IF($E57=AK$3,#REF!*$F57,"-")</f>
        <v>-</v>
      </c>
      <c r="AL57" s="311" t="str">
        <f>IF($E57=AL$3,#REF!*$F57,"-")</f>
        <v>-</v>
      </c>
      <c r="AM57" s="311" t="str">
        <f>IF($E57=AM$3,#REF!*$F57,"-")</f>
        <v>-</v>
      </c>
    </row>
    <row r="58" spans="1:39" ht="15" customHeight="1" x14ac:dyDescent="0.2">
      <c r="A58" s="317"/>
      <c r="C58" s="597"/>
      <c r="D58" s="561"/>
      <c r="E58" s="309" t="s">
        <v>904</v>
      </c>
      <c r="F58" s="391">
        <v>1.0000000000000001E-5</v>
      </c>
      <c r="G58" s="309">
        <v>1E-3</v>
      </c>
      <c r="H58" s="392">
        <v>0</v>
      </c>
      <c r="I58" s="322">
        <f>D53*F58*G58*(1-H58)</f>
        <v>1.7387999999999997E-5</v>
      </c>
      <c r="J58" s="309" t="s">
        <v>291</v>
      </c>
      <c r="K58" s="392">
        <v>0</v>
      </c>
      <c r="L58" s="396">
        <f t="shared" si="0"/>
        <v>1.7387999999999997E-5</v>
      </c>
      <c r="M58" s="258"/>
      <c r="O58" s="311" t="str">
        <f t="shared" si="8"/>
        <v>-</v>
      </c>
      <c r="P58" s="311" t="str">
        <f t="shared" si="8"/>
        <v>-</v>
      </c>
      <c r="Q58" s="311" t="str">
        <f t="shared" si="8"/>
        <v>-</v>
      </c>
      <c r="R58" s="311" t="str">
        <f t="shared" si="8"/>
        <v>-</v>
      </c>
      <c r="S58" s="311" t="str">
        <f t="shared" si="8"/>
        <v>-</v>
      </c>
      <c r="T58" s="311" t="str">
        <f t="shared" si="8"/>
        <v>-</v>
      </c>
      <c r="U58" s="311" t="str">
        <f t="shared" si="8"/>
        <v>-</v>
      </c>
      <c r="V58" s="311" t="str">
        <f t="shared" si="8"/>
        <v>-</v>
      </c>
      <c r="W58" s="311" t="str">
        <f t="shared" si="8"/>
        <v>-</v>
      </c>
      <c r="X58" s="311" t="str">
        <f t="shared" si="8"/>
        <v>-</v>
      </c>
      <c r="Y58" s="311" t="str">
        <f t="shared" si="9"/>
        <v>-</v>
      </c>
      <c r="Z58" s="311" t="str">
        <f t="shared" si="10"/>
        <v>-</v>
      </c>
      <c r="AB58" s="311" t="str">
        <f>IF($E58=AB$3,#REF!*$F58,"-")</f>
        <v>-</v>
      </c>
      <c r="AC58" s="311" t="str">
        <f>IF($E58=AC$3,#REF!*$F58,"-")</f>
        <v>-</v>
      </c>
      <c r="AD58" s="311" t="str">
        <f>IF($E58=AD$3,#REF!*$F58,"-")</f>
        <v>-</v>
      </c>
      <c r="AE58" s="311" t="str">
        <f>IF($E58=AE$3,#REF!*$F58,"-")</f>
        <v>-</v>
      </c>
      <c r="AF58" s="311" t="str">
        <f>IF($E58=AF$3,#REF!*$F58,"-")</f>
        <v>-</v>
      </c>
      <c r="AG58" s="311" t="str">
        <f>IF($E58=AG$3,#REF!*$F58,"-")</f>
        <v>-</v>
      </c>
      <c r="AH58" s="311" t="str">
        <f>IF($E58=AH$3,#REF!*$F58,"-")</f>
        <v>-</v>
      </c>
      <c r="AI58" s="311" t="str">
        <f>IF($E58=AI$3,#REF!*$F58,"-")</f>
        <v>-</v>
      </c>
      <c r="AJ58" s="311" t="str">
        <f>IF($E58=AJ$3,#REF!*$F58,"-")</f>
        <v>-</v>
      </c>
      <c r="AK58" s="311" t="str">
        <f>IF($E58=AK$3,#REF!*$F58,"-")</f>
        <v>-</v>
      </c>
      <c r="AL58" s="311" t="str">
        <f>IF($E58=AL$3,#REF!*$F58,"-")</f>
        <v>-</v>
      </c>
      <c r="AM58" s="311" t="str">
        <f>IF($E58=AM$3,#REF!*$F58,"-")</f>
        <v>-</v>
      </c>
    </row>
    <row r="59" spans="1:39" ht="15" customHeight="1" x14ac:dyDescent="0.2">
      <c r="A59" s="317"/>
      <c r="C59" s="597"/>
      <c r="D59" s="561"/>
      <c r="E59" s="309" t="s">
        <v>907</v>
      </c>
      <c r="F59" s="391">
        <v>1.0000000000000001E-5</v>
      </c>
      <c r="G59" s="309">
        <v>1E-3</v>
      </c>
      <c r="H59" s="392">
        <v>0</v>
      </c>
      <c r="I59" s="322">
        <f>D53*F59*G59*(1-H59)</f>
        <v>1.7387999999999997E-5</v>
      </c>
      <c r="J59" s="309" t="s">
        <v>291</v>
      </c>
      <c r="K59" s="392">
        <v>0</v>
      </c>
      <c r="L59" s="396">
        <f>I59*(1-K59)</f>
        <v>1.7387999999999997E-5</v>
      </c>
      <c r="M59" s="258"/>
      <c r="O59" s="311" t="str">
        <f t="shared" si="8"/>
        <v>-</v>
      </c>
      <c r="P59" s="311" t="str">
        <f t="shared" si="8"/>
        <v>-</v>
      </c>
      <c r="Q59" s="311" t="str">
        <f t="shared" si="8"/>
        <v>-</v>
      </c>
      <c r="R59" s="311" t="str">
        <f t="shared" si="8"/>
        <v>-</v>
      </c>
      <c r="S59" s="311" t="str">
        <f t="shared" si="8"/>
        <v>-</v>
      </c>
      <c r="T59" s="311" t="str">
        <f t="shared" si="8"/>
        <v>-</v>
      </c>
      <c r="U59" s="311" t="str">
        <f t="shared" si="8"/>
        <v>-</v>
      </c>
      <c r="V59" s="311" t="str">
        <f t="shared" si="8"/>
        <v>-</v>
      </c>
      <c r="W59" s="311" t="str">
        <f t="shared" si="8"/>
        <v>-</v>
      </c>
      <c r="X59" s="311" t="str">
        <f t="shared" si="8"/>
        <v>-</v>
      </c>
      <c r="Y59" s="311" t="str">
        <f t="shared" si="9"/>
        <v>-</v>
      </c>
      <c r="Z59" s="311" t="str">
        <f t="shared" si="10"/>
        <v>-</v>
      </c>
      <c r="AB59" s="311" t="str">
        <f>IF($E59=AB$3,#REF!*$F59,"-")</f>
        <v>-</v>
      </c>
      <c r="AC59" s="311" t="str">
        <f>IF($E59=AC$3,#REF!*$F59,"-")</f>
        <v>-</v>
      </c>
      <c r="AD59" s="311" t="str">
        <f>IF($E59=AD$3,#REF!*$F59,"-")</f>
        <v>-</v>
      </c>
      <c r="AE59" s="311" t="str">
        <f>IF($E59=AE$3,#REF!*$F59,"-")</f>
        <v>-</v>
      </c>
      <c r="AF59" s="311" t="str">
        <f>IF($E59=AF$3,#REF!*$F59,"-")</f>
        <v>-</v>
      </c>
      <c r="AG59" s="311" t="str">
        <f>IF($E59=AG$3,#REF!*$F59,"-")</f>
        <v>-</v>
      </c>
      <c r="AH59" s="311" t="str">
        <f>IF($E59=AH$3,#REF!*$F59,"-")</f>
        <v>-</v>
      </c>
      <c r="AI59" s="311" t="str">
        <f>IF($E59=AI$3,#REF!*$F59,"-")</f>
        <v>-</v>
      </c>
      <c r="AJ59" s="311" t="str">
        <f>IF($E59=AJ$3,#REF!*$F59,"-")</f>
        <v>-</v>
      </c>
      <c r="AK59" s="311" t="str">
        <f>IF($E59=AK$3,#REF!*$F59,"-")</f>
        <v>-</v>
      </c>
      <c r="AL59" s="311" t="str">
        <f>IF($E59=AL$3,#REF!*$F59,"-")</f>
        <v>-</v>
      </c>
      <c r="AM59" s="311" t="str">
        <f>IF($E59=AM$3,#REF!*$F59,"-")</f>
        <v>-</v>
      </c>
    </row>
    <row r="60" spans="1:39" ht="15" customHeight="1" x14ac:dyDescent="0.2">
      <c r="A60" s="317"/>
      <c r="C60" s="597"/>
      <c r="D60" s="561"/>
      <c r="E60" s="309" t="s">
        <v>880</v>
      </c>
      <c r="F60" s="391">
        <v>0.99921000000000004</v>
      </c>
      <c r="G60" s="309">
        <v>1E-3</v>
      </c>
      <c r="H60" s="392">
        <v>0</v>
      </c>
      <c r="I60" s="322">
        <f>D53*F60*G60*(1-H60)</f>
        <v>1.7374263479999998</v>
      </c>
      <c r="J60" s="309" t="s">
        <v>291</v>
      </c>
      <c r="K60" s="392">
        <v>0</v>
      </c>
      <c r="L60" s="397">
        <f>I60*(1-K60)</f>
        <v>1.7374263479999998</v>
      </c>
      <c r="M60" s="258"/>
      <c r="O60" s="311" t="str">
        <f t="shared" si="8"/>
        <v>-</v>
      </c>
      <c r="P60" s="311" t="str">
        <f t="shared" si="8"/>
        <v>-</v>
      </c>
      <c r="Q60" s="311" t="str">
        <f t="shared" si="8"/>
        <v>-</v>
      </c>
      <c r="R60" s="311">
        <f t="shared" si="8"/>
        <v>1737.4263479999997</v>
      </c>
      <c r="S60" s="311" t="str">
        <f t="shared" si="8"/>
        <v>-</v>
      </c>
      <c r="T60" s="311" t="str">
        <f t="shared" si="8"/>
        <v>-</v>
      </c>
      <c r="U60" s="311" t="str">
        <f t="shared" si="8"/>
        <v>-</v>
      </c>
      <c r="V60" s="311" t="str">
        <f t="shared" si="8"/>
        <v>-</v>
      </c>
      <c r="W60" s="311" t="str">
        <f t="shared" si="8"/>
        <v>-</v>
      </c>
      <c r="X60" s="311" t="str">
        <f t="shared" si="8"/>
        <v>-</v>
      </c>
      <c r="Y60" s="311" t="str">
        <f t="shared" si="9"/>
        <v>-</v>
      </c>
      <c r="Z60" s="311" t="str">
        <f t="shared" si="10"/>
        <v>-</v>
      </c>
      <c r="AB60" s="311" t="str">
        <f>IF($E60=AB$3,#REF!*$F60,"-")</f>
        <v>-</v>
      </c>
      <c r="AC60" s="311" t="str">
        <f>IF($E60=AC$3,#REF!*$F60,"-")</f>
        <v>-</v>
      </c>
      <c r="AD60" s="311" t="str">
        <f>IF($E60=AD$3,#REF!*$F60,"-")</f>
        <v>-</v>
      </c>
      <c r="AE60" s="311" t="e">
        <f>IF($E60=AE$3,#REF!*$F60,"-")</f>
        <v>#REF!</v>
      </c>
      <c r="AF60" s="311" t="str">
        <f>IF($E60=AF$3,#REF!*$F60,"-")</f>
        <v>-</v>
      </c>
      <c r="AG60" s="311" t="str">
        <f>IF($E60=AG$3,#REF!*$F60,"-")</f>
        <v>-</v>
      </c>
      <c r="AH60" s="311" t="str">
        <f>IF($E60=AH$3,#REF!*$F60,"-")</f>
        <v>-</v>
      </c>
      <c r="AI60" s="311" t="str">
        <f>IF($E60=AI$3,#REF!*$F60,"-")</f>
        <v>-</v>
      </c>
      <c r="AJ60" s="311" t="str">
        <f>IF($E60=AJ$3,#REF!*$F60,"-")</f>
        <v>-</v>
      </c>
      <c r="AK60" s="311" t="str">
        <f>IF($E60=AK$3,#REF!*$F60,"-")</f>
        <v>-</v>
      </c>
      <c r="AL60" s="311" t="str">
        <f>IF($E60=AL$3,#REF!*$F60,"-")</f>
        <v>-</v>
      </c>
      <c r="AM60" s="311" t="str">
        <f>IF($E60=AM$3,#REF!*$F60,"-")</f>
        <v>-</v>
      </c>
    </row>
    <row r="61" spans="1:39" ht="15" customHeight="1" x14ac:dyDescent="0.2">
      <c r="A61" s="317"/>
      <c r="C61" s="598"/>
      <c r="D61" s="554"/>
      <c r="E61" s="309" t="s">
        <v>883</v>
      </c>
      <c r="F61" s="391">
        <v>6.4999999999999997E-4</v>
      </c>
      <c r="G61" s="309">
        <v>1E-3</v>
      </c>
      <c r="H61" s="392">
        <v>0</v>
      </c>
      <c r="I61" s="322">
        <f>D53*F61*G61*(1-H61)</f>
        <v>1.1302199999999997E-3</v>
      </c>
      <c r="J61" s="309" t="s">
        <v>291</v>
      </c>
      <c r="K61" s="392">
        <v>0</v>
      </c>
      <c r="L61" s="396">
        <f>I61*(1-K61)</f>
        <v>1.1302199999999997E-3</v>
      </c>
      <c r="M61" s="258"/>
      <c r="O61" s="311" t="str">
        <f t="shared" si="8"/>
        <v>-</v>
      </c>
      <c r="P61" s="311" t="str">
        <f t="shared" si="8"/>
        <v>-</v>
      </c>
      <c r="Q61" s="311" t="str">
        <f t="shared" si="8"/>
        <v>-</v>
      </c>
      <c r="R61" s="311" t="str">
        <f t="shared" si="8"/>
        <v>-</v>
      </c>
      <c r="S61" s="311" t="str">
        <f t="shared" si="8"/>
        <v>-</v>
      </c>
      <c r="T61" s="311" t="str">
        <f t="shared" si="8"/>
        <v>-</v>
      </c>
      <c r="U61" s="311">
        <f t="shared" si="8"/>
        <v>1.1302199999999998</v>
      </c>
      <c r="V61" s="311" t="str">
        <f t="shared" si="8"/>
        <v>-</v>
      </c>
      <c r="W61" s="311" t="str">
        <f t="shared" si="8"/>
        <v>-</v>
      </c>
      <c r="X61" s="311" t="str">
        <f t="shared" si="8"/>
        <v>-</v>
      </c>
      <c r="Y61" s="311" t="str">
        <f t="shared" si="9"/>
        <v>-</v>
      </c>
      <c r="Z61" s="311" t="str">
        <f t="shared" si="10"/>
        <v>-</v>
      </c>
      <c r="AB61" s="311" t="str">
        <f>IF($E61=AB$3,#REF!*$F61,"-")</f>
        <v>-</v>
      </c>
      <c r="AC61" s="311" t="str">
        <f>IF($E61=AC$3,#REF!*$F61,"-")</f>
        <v>-</v>
      </c>
      <c r="AD61" s="311" t="str">
        <f>IF($E61=AD$3,#REF!*$F61,"-")</f>
        <v>-</v>
      </c>
      <c r="AE61" s="311" t="str">
        <f>IF($E61=AE$3,#REF!*$F61,"-")</f>
        <v>-</v>
      </c>
      <c r="AF61" s="311" t="str">
        <f>IF($E61=AF$3,#REF!*$F61,"-")</f>
        <v>-</v>
      </c>
      <c r="AG61" s="311" t="str">
        <f>IF($E61=AG$3,#REF!*$F61,"-")</f>
        <v>-</v>
      </c>
      <c r="AH61" s="311" t="e">
        <f>IF($E61=AH$3,#REF!*$F61,"-")</f>
        <v>#REF!</v>
      </c>
      <c r="AI61" s="311" t="str">
        <f>IF($E61=AI$3,#REF!*$F61,"-")</f>
        <v>-</v>
      </c>
      <c r="AJ61" s="311" t="str">
        <f>IF($E61=AJ$3,#REF!*$F61,"-")</f>
        <v>-</v>
      </c>
      <c r="AK61" s="311" t="str">
        <f>IF($E61=AK$3,#REF!*$F61,"-")</f>
        <v>-</v>
      </c>
      <c r="AL61" s="311" t="str">
        <f>IF($E61=AL$3,#REF!*$F61,"-")</f>
        <v>-</v>
      </c>
      <c r="AM61" s="311" t="str">
        <f>IF($E61=AM$3,#REF!*$F61,"-")</f>
        <v>-</v>
      </c>
    </row>
    <row r="62" spans="1:39" ht="14.25" x14ac:dyDescent="0.2">
      <c r="A62" s="317" t="s">
        <v>830</v>
      </c>
      <c r="C62" s="560" t="s">
        <v>922</v>
      </c>
      <c r="D62" s="560">
        <v>173754</v>
      </c>
      <c r="E62" s="309" t="s">
        <v>880</v>
      </c>
      <c r="F62" s="392">
        <v>1</v>
      </c>
      <c r="G62" s="309">
        <v>1E-3</v>
      </c>
      <c r="H62" s="392">
        <v>0</v>
      </c>
      <c r="I62" s="322">
        <f>D62*F62*G62*(1-H62)</f>
        <v>173.75399999999999</v>
      </c>
      <c r="J62" s="309" t="s">
        <v>291</v>
      </c>
      <c r="K62" s="392">
        <v>0</v>
      </c>
      <c r="L62" s="395">
        <f>I62*(1-K62)</f>
        <v>173.75399999999999</v>
      </c>
      <c r="M62" s="258"/>
      <c r="O62" s="311" t="str">
        <f t="shared" ref="O62:X71" si="11">IF($E62=O$3,$D$62*$F62,"-")</f>
        <v>-</v>
      </c>
      <c r="P62" s="311" t="str">
        <f t="shared" si="11"/>
        <v>-</v>
      </c>
      <c r="Q62" s="311" t="str">
        <f t="shared" si="11"/>
        <v>-</v>
      </c>
      <c r="R62" s="311">
        <f t="shared" si="11"/>
        <v>173754</v>
      </c>
      <c r="S62" s="311" t="str">
        <f t="shared" si="11"/>
        <v>-</v>
      </c>
      <c r="T62" s="311" t="str">
        <f t="shared" si="11"/>
        <v>-</v>
      </c>
      <c r="U62" s="311" t="str">
        <f t="shared" si="11"/>
        <v>-</v>
      </c>
      <c r="V62" s="311" t="str">
        <f t="shared" si="11"/>
        <v>-</v>
      </c>
      <c r="W62" s="311" t="str">
        <f t="shared" si="11"/>
        <v>-</v>
      </c>
      <c r="X62" s="311" t="str">
        <f t="shared" si="11"/>
        <v>-</v>
      </c>
      <c r="Y62" s="311" t="str">
        <f t="shared" si="9"/>
        <v>-</v>
      </c>
      <c r="Z62" s="311" t="str">
        <f t="shared" ref="Z62:Z80" si="12">IF($E62=Z$3,$D$62*$F62,"-")</f>
        <v>-</v>
      </c>
      <c r="AB62" s="311" t="str">
        <f>IF($E62=AB$3,#REF!*$F62,"-")</f>
        <v>-</v>
      </c>
      <c r="AC62" s="311" t="str">
        <f>IF($E62=AC$3,#REF!*$F62,"-")</f>
        <v>-</v>
      </c>
      <c r="AD62" s="311" t="str">
        <f>IF($E62=AD$3,#REF!*$F62,"-")</f>
        <v>-</v>
      </c>
      <c r="AE62" s="311" t="e">
        <f>IF($E62=AE$3,#REF!*$F62,"-")</f>
        <v>#REF!</v>
      </c>
      <c r="AF62" s="311" t="str">
        <f>IF($E62=AF$3,#REF!*$F62,"-")</f>
        <v>-</v>
      </c>
      <c r="AG62" s="311" t="str">
        <f>IF($E62=AG$3,#REF!*$F62,"-")</f>
        <v>-</v>
      </c>
      <c r="AH62" s="311" t="str">
        <f>IF($E62=AH$3,#REF!*$F62,"-")</f>
        <v>-</v>
      </c>
      <c r="AI62" s="311" t="str">
        <f>IF($E62=AI$3,#REF!*$F62,"-")</f>
        <v>-</v>
      </c>
      <c r="AJ62" s="311" t="str">
        <f>IF($E62=AJ$3,#REF!*$F62,"-")</f>
        <v>-</v>
      </c>
      <c r="AK62" s="311" t="str">
        <f>IF($E62=AK$3,#REF!*$F62,"-")</f>
        <v>-</v>
      </c>
      <c r="AL62" s="311" t="str">
        <f>IF($E62=AL$3,#REF!*$F62,"-")</f>
        <v>-</v>
      </c>
      <c r="AM62" s="311" t="str">
        <f>IF($E62=AM$3,#REF!*$F62,"-")</f>
        <v>-</v>
      </c>
    </row>
    <row r="63" spans="1:39" ht="15" customHeight="1" x14ac:dyDescent="0.2">
      <c r="A63" s="317"/>
      <c r="C63" s="561"/>
      <c r="D63" s="561"/>
      <c r="E63" s="309" t="s">
        <v>892</v>
      </c>
      <c r="F63" s="398">
        <v>2.9999999999999999E-7</v>
      </c>
      <c r="G63" s="309">
        <v>1E-3</v>
      </c>
      <c r="H63" s="392">
        <v>0</v>
      </c>
      <c r="I63" s="322">
        <f>D62*F63*G63*(1-H63)</f>
        <v>5.2126199999999996E-5</v>
      </c>
      <c r="J63" s="309" t="s">
        <v>291</v>
      </c>
      <c r="K63" s="392">
        <v>0</v>
      </c>
      <c r="L63" s="396">
        <f>I63*(1-K63)</f>
        <v>5.2126199999999996E-5</v>
      </c>
      <c r="M63" s="258"/>
      <c r="O63" s="311" t="str">
        <f t="shared" si="11"/>
        <v>-</v>
      </c>
      <c r="P63" s="311" t="str">
        <f t="shared" si="11"/>
        <v>-</v>
      </c>
      <c r="Q63" s="311" t="str">
        <f t="shared" si="11"/>
        <v>-</v>
      </c>
      <c r="R63" s="311" t="str">
        <f t="shared" si="11"/>
        <v>-</v>
      </c>
      <c r="S63" s="311" t="str">
        <f t="shared" si="11"/>
        <v>-</v>
      </c>
      <c r="T63" s="311" t="str">
        <f t="shared" si="11"/>
        <v>-</v>
      </c>
      <c r="U63" s="311" t="str">
        <f t="shared" si="11"/>
        <v>-</v>
      </c>
      <c r="V63" s="311" t="str">
        <f t="shared" si="11"/>
        <v>-</v>
      </c>
      <c r="W63" s="311" t="str">
        <f t="shared" si="11"/>
        <v>-</v>
      </c>
      <c r="X63" s="311" t="str">
        <f t="shared" si="11"/>
        <v>-</v>
      </c>
      <c r="Y63" s="311" t="str">
        <f t="shared" si="9"/>
        <v>-</v>
      </c>
      <c r="Z63" s="311" t="str">
        <f t="shared" si="12"/>
        <v>-</v>
      </c>
      <c r="AB63" s="311" t="str">
        <f>IF($E63=AB$3,#REF!*$F63,"-")</f>
        <v>-</v>
      </c>
      <c r="AC63" s="311" t="str">
        <f>IF($E63=AC$3,#REF!*$F63,"-")</f>
        <v>-</v>
      </c>
      <c r="AD63" s="311" t="str">
        <f>IF($E63=AD$3,#REF!*$F63,"-")</f>
        <v>-</v>
      </c>
      <c r="AE63" s="311" t="str">
        <f>IF($E63=AE$3,#REF!*$F63,"-")</f>
        <v>-</v>
      </c>
      <c r="AF63" s="311" t="str">
        <f>IF($E63=AF$3,#REF!*$F63,"-")</f>
        <v>-</v>
      </c>
      <c r="AG63" s="311" t="str">
        <f>IF($E63=AG$3,#REF!*$F63,"-")</f>
        <v>-</v>
      </c>
      <c r="AH63" s="311" t="str">
        <f>IF($E63=AH$3,#REF!*$F63,"-")</f>
        <v>-</v>
      </c>
      <c r="AI63" s="311" t="str">
        <f>IF($E63=AI$3,#REF!*$F63,"-")</f>
        <v>-</v>
      </c>
      <c r="AJ63" s="311" t="str">
        <f>IF($E63=AJ$3,#REF!*$F63,"-")</f>
        <v>-</v>
      </c>
      <c r="AK63" s="311" t="str">
        <f>IF($E63=AK$3,#REF!*$F63,"-")</f>
        <v>-</v>
      </c>
      <c r="AL63" s="311" t="str">
        <f>IF($E63=AL$3,#REF!*$F63,"-")</f>
        <v>-</v>
      </c>
      <c r="AM63" s="311" t="str">
        <f>IF($E63=AM$3,#REF!*$F63,"-")</f>
        <v>-</v>
      </c>
    </row>
    <row r="64" spans="1:39" ht="14.25" customHeight="1" x14ac:dyDescent="0.2">
      <c r="A64" s="317"/>
      <c r="C64" s="561"/>
      <c r="D64" s="561"/>
      <c r="E64" s="309" t="s">
        <v>877</v>
      </c>
      <c r="F64" s="398">
        <v>1.0000000000000001E-7</v>
      </c>
      <c r="G64" s="309">
        <v>1E-3</v>
      </c>
      <c r="H64" s="392">
        <v>0</v>
      </c>
      <c r="I64" s="322">
        <f>D62*F64*G64*(1-H64)</f>
        <v>1.7375400000000003E-5</v>
      </c>
      <c r="J64" s="309" t="s">
        <v>291</v>
      </c>
      <c r="K64" s="392">
        <v>0</v>
      </c>
      <c r="L64" s="396">
        <f t="shared" ref="L64:L79" si="13">I64*(1-K64)</f>
        <v>1.7375400000000003E-5</v>
      </c>
      <c r="M64" s="258"/>
      <c r="O64" s="311">
        <f t="shared" si="11"/>
        <v>1.7375400000000003E-2</v>
      </c>
      <c r="P64" s="311" t="str">
        <f t="shared" si="11"/>
        <v>-</v>
      </c>
      <c r="Q64" s="311" t="str">
        <f t="shared" si="11"/>
        <v>-</v>
      </c>
      <c r="R64" s="311" t="str">
        <f t="shared" si="11"/>
        <v>-</v>
      </c>
      <c r="S64" s="311" t="str">
        <f t="shared" si="11"/>
        <v>-</v>
      </c>
      <c r="T64" s="311" t="str">
        <f t="shared" si="11"/>
        <v>-</v>
      </c>
      <c r="U64" s="311" t="str">
        <f t="shared" si="11"/>
        <v>-</v>
      </c>
      <c r="V64" s="311" t="str">
        <f t="shared" si="11"/>
        <v>-</v>
      </c>
      <c r="W64" s="311" t="str">
        <f t="shared" si="11"/>
        <v>-</v>
      </c>
      <c r="X64" s="311" t="str">
        <f t="shared" si="11"/>
        <v>-</v>
      </c>
      <c r="Y64" s="311" t="str">
        <f t="shared" si="9"/>
        <v>-</v>
      </c>
      <c r="Z64" s="311" t="str">
        <f t="shared" si="12"/>
        <v>-</v>
      </c>
      <c r="AB64" s="311" t="e">
        <f>IF($E64=AB$3,#REF!*$F64,"-")</f>
        <v>#REF!</v>
      </c>
      <c r="AC64" s="311" t="str">
        <f>IF($E64=AC$3,#REF!*$F64,"-")</f>
        <v>-</v>
      </c>
      <c r="AD64" s="311" t="str">
        <f>IF($E64=AD$3,#REF!*$F64,"-")</f>
        <v>-</v>
      </c>
      <c r="AE64" s="311" t="str">
        <f>IF($E64=AE$3,#REF!*$F64,"-")</f>
        <v>-</v>
      </c>
      <c r="AF64" s="311" t="str">
        <f>IF($E64=AF$3,#REF!*$F64,"-")</f>
        <v>-</v>
      </c>
      <c r="AG64" s="311" t="str">
        <f>IF($E64=AG$3,#REF!*$F64,"-")</f>
        <v>-</v>
      </c>
      <c r="AH64" s="311" t="str">
        <f>IF($E64=AH$3,#REF!*$F64,"-")</f>
        <v>-</v>
      </c>
      <c r="AI64" s="311" t="str">
        <f>IF($E64=AI$3,#REF!*$F64,"-")</f>
        <v>-</v>
      </c>
      <c r="AJ64" s="311" t="str">
        <f>IF($E64=AJ$3,#REF!*$F64,"-")</f>
        <v>-</v>
      </c>
      <c r="AK64" s="311" t="str">
        <f>IF($E64=AK$3,#REF!*$F64,"-")</f>
        <v>-</v>
      </c>
      <c r="AL64" s="311" t="str">
        <f>IF($E64=AL$3,#REF!*$F64,"-")</f>
        <v>-</v>
      </c>
      <c r="AM64" s="311" t="str">
        <f>IF($E64=AM$3,#REF!*$F64,"-")</f>
        <v>-</v>
      </c>
    </row>
    <row r="65" spans="1:39" ht="14.25" customHeight="1" x14ac:dyDescent="0.2">
      <c r="A65" s="317"/>
      <c r="C65" s="561"/>
      <c r="D65" s="561"/>
      <c r="E65" s="309" t="s">
        <v>885</v>
      </c>
      <c r="F65" s="398">
        <v>2.0000000000000004E-8</v>
      </c>
      <c r="G65" s="309">
        <v>1E-3</v>
      </c>
      <c r="H65" s="392">
        <v>0</v>
      </c>
      <c r="I65" s="322">
        <f>D62*F65*G65*(1-H65)</f>
        <v>3.4750800000000007E-6</v>
      </c>
      <c r="J65" s="309" t="s">
        <v>291</v>
      </c>
      <c r="K65" s="392">
        <v>0</v>
      </c>
      <c r="L65" s="396">
        <f t="shared" si="13"/>
        <v>3.4750800000000007E-6</v>
      </c>
      <c r="M65" s="258"/>
      <c r="O65" s="311" t="str">
        <f t="shared" si="11"/>
        <v>-</v>
      </c>
      <c r="P65" s="311" t="str">
        <f t="shared" si="11"/>
        <v>-</v>
      </c>
      <c r="Q65" s="311" t="str">
        <f t="shared" si="11"/>
        <v>-</v>
      </c>
      <c r="R65" s="311" t="str">
        <f t="shared" si="11"/>
        <v>-</v>
      </c>
      <c r="S65" s="311" t="str">
        <f t="shared" si="11"/>
        <v>-</v>
      </c>
      <c r="T65" s="311" t="str">
        <f t="shared" si="11"/>
        <v>-</v>
      </c>
      <c r="U65" s="311" t="str">
        <f t="shared" si="11"/>
        <v>-</v>
      </c>
      <c r="V65" s="311" t="str">
        <f t="shared" si="11"/>
        <v>-</v>
      </c>
      <c r="W65" s="311">
        <f t="shared" si="11"/>
        <v>3.4750800000000006E-3</v>
      </c>
      <c r="X65" s="311" t="str">
        <f t="shared" si="11"/>
        <v>-</v>
      </c>
      <c r="Y65" s="311" t="str">
        <f t="shared" si="9"/>
        <v>-</v>
      </c>
      <c r="Z65" s="311" t="str">
        <f t="shared" si="12"/>
        <v>-</v>
      </c>
      <c r="AB65" s="311" t="str">
        <f>IF($E65=AB$3,#REF!*$F65,"-")</f>
        <v>-</v>
      </c>
      <c r="AC65" s="311" t="str">
        <f>IF($E65=AC$3,#REF!*$F65,"-")</f>
        <v>-</v>
      </c>
      <c r="AD65" s="311" t="str">
        <f>IF($E65=AD$3,#REF!*$F65,"-")</f>
        <v>-</v>
      </c>
      <c r="AE65" s="311" t="str">
        <f>IF($E65=AE$3,#REF!*$F65,"-")</f>
        <v>-</v>
      </c>
      <c r="AF65" s="311" t="str">
        <f>IF($E65=AF$3,#REF!*$F65,"-")</f>
        <v>-</v>
      </c>
      <c r="AG65" s="311" t="str">
        <f>IF($E65=AG$3,#REF!*$F65,"-")</f>
        <v>-</v>
      </c>
      <c r="AH65" s="311" t="str">
        <f>IF($E65=AH$3,#REF!*$F65,"-")</f>
        <v>-</v>
      </c>
      <c r="AI65" s="311" t="str">
        <f>IF($E65=AI$3,#REF!*$F65,"-")</f>
        <v>-</v>
      </c>
      <c r="AJ65" s="311" t="e">
        <f>IF($E65=AJ$3,#REF!*$F65,"-")</f>
        <v>#REF!</v>
      </c>
      <c r="AK65" s="311" t="str">
        <f>IF($E65=AK$3,#REF!*$F65,"-")</f>
        <v>-</v>
      </c>
      <c r="AL65" s="311" t="str">
        <f>IF($E65=AL$3,#REF!*$F65,"-")</f>
        <v>-</v>
      </c>
      <c r="AM65" s="311" t="str">
        <f>IF($E65=AM$3,#REF!*$F65,"-")</f>
        <v>-</v>
      </c>
    </row>
    <row r="66" spans="1:39" ht="14.25" customHeight="1" x14ac:dyDescent="0.2">
      <c r="A66" s="317"/>
      <c r="C66" s="561"/>
      <c r="D66" s="561"/>
      <c r="E66" s="309" t="s">
        <v>895</v>
      </c>
      <c r="F66" s="398">
        <v>2.0000000000000004E-8</v>
      </c>
      <c r="G66" s="309">
        <v>1E-3</v>
      </c>
      <c r="H66" s="392">
        <v>0</v>
      </c>
      <c r="I66" s="322">
        <f>D62*F66*G66*(1-H66)</f>
        <v>3.4750800000000007E-6</v>
      </c>
      <c r="J66" s="309" t="s">
        <v>291</v>
      </c>
      <c r="K66" s="392">
        <v>0</v>
      </c>
      <c r="L66" s="396">
        <f t="shared" si="13"/>
        <v>3.4750800000000007E-6</v>
      </c>
      <c r="M66" s="258"/>
      <c r="O66" s="311" t="str">
        <f t="shared" si="11"/>
        <v>-</v>
      </c>
      <c r="P66" s="311" t="str">
        <f t="shared" si="11"/>
        <v>-</v>
      </c>
      <c r="Q66" s="311" t="str">
        <f t="shared" si="11"/>
        <v>-</v>
      </c>
      <c r="R66" s="311" t="str">
        <f t="shared" si="11"/>
        <v>-</v>
      </c>
      <c r="S66" s="311" t="str">
        <f t="shared" si="11"/>
        <v>-</v>
      </c>
      <c r="T66" s="311" t="str">
        <f t="shared" si="11"/>
        <v>-</v>
      </c>
      <c r="U66" s="311" t="str">
        <f t="shared" si="11"/>
        <v>-</v>
      </c>
      <c r="V66" s="311" t="str">
        <f t="shared" si="11"/>
        <v>-</v>
      </c>
      <c r="W66" s="311" t="str">
        <f t="shared" si="11"/>
        <v>-</v>
      </c>
      <c r="X66" s="311" t="str">
        <f t="shared" si="11"/>
        <v>-</v>
      </c>
      <c r="Y66" s="311" t="str">
        <f t="shared" si="9"/>
        <v>-</v>
      </c>
      <c r="Z66" s="311" t="str">
        <f t="shared" si="12"/>
        <v>-</v>
      </c>
      <c r="AB66" s="311" t="str">
        <f>IF($E66=AB$3,#REF!*$F66,"-")</f>
        <v>-</v>
      </c>
      <c r="AC66" s="311" t="str">
        <f>IF($E66=AC$3,#REF!*$F66,"-")</f>
        <v>-</v>
      </c>
      <c r="AD66" s="311" t="str">
        <f>IF($E66=AD$3,#REF!*$F66,"-")</f>
        <v>-</v>
      </c>
      <c r="AE66" s="311" t="str">
        <f>IF($E66=AE$3,#REF!*$F66,"-")</f>
        <v>-</v>
      </c>
      <c r="AF66" s="311" t="str">
        <f>IF($E66=AF$3,#REF!*$F66,"-")</f>
        <v>-</v>
      </c>
      <c r="AG66" s="311" t="str">
        <f>IF($E66=AG$3,#REF!*$F66,"-")</f>
        <v>-</v>
      </c>
      <c r="AH66" s="311" t="str">
        <f>IF($E66=AH$3,#REF!*$F66,"-")</f>
        <v>-</v>
      </c>
      <c r="AI66" s="311" t="str">
        <f>IF($E66=AI$3,#REF!*$F66,"-")</f>
        <v>-</v>
      </c>
      <c r="AJ66" s="311" t="str">
        <f>IF($E66=AJ$3,#REF!*$F66,"-")</f>
        <v>-</v>
      </c>
      <c r="AK66" s="311" t="str">
        <f>IF($E66=AK$3,#REF!*$F66,"-")</f>
        <v>-</v>
      </c>
      <c r="AL66" s="311" t="str">
        <f>IF($E66=AL$3,#REF!*$F66,"-")</f>
        <v>-</v>
      </c>
      <c r="AM66" s="311" t="str">
        <f>IF($E66=AM$3,#REF!*$F66,"-")</f>
        <v>-</v>
      </c>
    </row>
    <row r="67" spans="1:39" ht="14.25" customHeight="1" x14ac:dyDescent="0.2">
      <c r="A67" s="317"/>
      <c r="C67" s="561"/>
      <c r="D67" s="561"/>
      <c r="E67" s="309" t="s">
        <v>896</v>
      </c>
      <c r="F67" s="398">
        <v>2.0000000000000004E-8</v>
      </c>
      <c r="G67" s="309">
        <v>1E-3</v>
      </c>
      <c r="H67" s="392">
        <v>0</v>
      </c>
      <c r="I67" s="322">
        <f>D62*F67*G67*(1-H67)</f>
        <v>3.4750800000000007E-6</v>
      </c>
      <c r="J67" s="309" t="s">
        <v>291</v>
      </c>
      <c r="K67" s="392">
        <v>0</v>
      </c>
      <c r="L67" s="396">
        <f t="shared" si="13"/>
        <v>3.4750800000000007E-6</v>
      </c>
      <c r="M67" s="258"/>
      <c r="O67" s="311" t="str">
        <f t="shared" si="11"/>
        <v>-</v>
      </c>
      <c r="P67" s="311" t="str">
        <f t="shared" si="11"/>
        <v>-</v>
      </c>
      <c r="Q67" s="311" t="str">
        <f t="shared" si="11"/>
        <v>-</v>
      </c>
      <c r="R67" s="311" t="str">
        <f t="shared" si="11"/>
        <v>-</v>
      </c>
      <c r="S67" s="311" t="str">
        <f t="shared" si="11"/>
        <v>-</v>
      </c>
      <c r="T67" s="311" t="str">
        <f t="shared" si="11"/>
        <v>-</v>
      </c>
      <c r="U67" s="311" t="str">
        <f t="shared" si="11"/>
        <v>-</v>
      </c>
      <c r="V67" s="311" t="str">
        <f t="shared" si="11"/>
        <v>-</v>
      </c>
      <c r="W67" s="311" t="str">
        <f t="shared" si="11"/>
        <v>-</v>
      </c>
      <c r="X67" s="311" t="str">
        <f t="shared" si="11"/>
        <v>-</v>
      </c>
      <c r="Y67" s="311" t="str">
        <f t="shared" si="9"/>
        <v>-</v>
      </c>
      <c r="Z67" s="311" t="str">
        <f t="shared" si="12"/>
        <v>-</v>
      </c>
      <c r="AB67" s="311" t="str">
        <f>IF($E67=AB$3,#REF!*$F67,"-")</f>
        <v>-</v>
      </c>
      <c r="AC67" s="311" t="str">
        <f>IF($E67=AC$3,#REF!*$F67,"-")</f>
        <v>-</v>
      </c>
      <c r="AD67" s="311" t="str">
        <f>IF($E67=AD$3,#REF!*$F67,"-")</f>
        <v>-</v>
      </c>
      <c r="AE67" s="311" t="str">
        <f>IF($E67=AE$3,#REF!*$F67,"-")</f>
        <v>-</v>
      </c>
      <c r="AF67" s="311" t="str">
        <f>IF($E67=AF$3,#REF!*$F67,"-")</f>
        <v>-</v>
      </c>
      <c r="AG67" s="311" t="str">
        <f>IF($E67=AG$3,#REF!*$F67,"-")</f>
        <v>-</v>
      </c>
      <c r="AH67" s="311" t="str">
        <f>IF($E67=AH$3,#REF!*$F67,"-")</f>
        <v>-</v>
      </c>
      <c r="AI67" s="311" t="str">
        <f>IF($E67=AI$3,#REF!*$F67,"-")</f>
        <v>-</v>
      </c>
      <c r="AJ67" s="311" t="str">
        <f>IF($E67=AJ$3,#REF!*$F67,"-")</f>
        <v>-</v>
      </c>
      <c r="AK67" s="311" t="str">
        <f>IF($E67=AK$3,#REF!*$F67,"-")</f>
        <v>-</v>
      </c>
      <c r="AL67" s="311" t="str">
        <f>IF($E67=AL$3,#REF!*$F67,"-")</f>
        <v>-</v>
      </c>
      <c r="AM67" s="311" t="str">
        <f>IF($E67=AM$3,#REF!*$F67,"-")</f>
        <v>-</v>
      </c>
    </row>
    <row r="68" spans="1:39" ht="14.25" customHeight="1" x14ac:dyDescent="0.2">
      <c r="A68" s="317"/>
      <c r="C68" s="561"/>
      <c r="D68" s="561"/>
      <c r="E68" s="309" t="s">
        <v>897</v>
      </c>
      <c r="F68" s="398">
        <v>2.0000000000000004E-8</v>
      </c>
      <c r="G68" s="309">
        <v>1E-3</v>
      </c>
      <c r="H68" s="392">
        <v>0</v>
      </c>
      <c r="I68" s="322">
        <f>D62*F68*G68*(1-H68)</f>
        <v>3.4750800000000007E-6</v>
      </c>
      <c r="J68" s="309" t="s">
        <v>291</v>
      </c>
      <c r="K68" s="392">
        <v>0</v>
      </c>
      <c r="L68" s="396">
        <f t="shared" si="13"/>
        <v>3.4750800000000007E-6</v>
      </c>
      <c r="M68" s="258"/>
      <c r="O68" s="311" t="str">
        <f t="shared" si="11"/>
        <v>-</v>
      </c>
      <c r="P68" s="311" t="str">
        <f t="shared" si="11"/>
        <v>-</v>
      </c>
      <c r="Q68" s="311" t="str">
        <f t="shared" si="11"/>
        <v>-</v>
      </c>
      <c r="R68" s="311" t="str">
        <f t="shared" si="11"/>
        <v>-</v>
      </c>
      <c r="S68" s="311" t="str">
        <f t="shared" si="11"/>
        <v>-</v>
      </c>
      <c r="T68" s="311" t="str">
        <f t="shared" si="11"/>
        <v>-</v>
      </c>
      <c r="U68" s="311" t="str">
        <f t="shared" si="11"/>
        <v>-</v>
      </c>
      <c r="V68" s="311" t="str">
        <f t="shared" si="11"/>
        <v>-</v>
      </c>
      <c r="W68" s="311" t="str">
        <f t="shared" si="11"/>
        <v>-</v>
      </c>
      <c r="X68" s="311" t="str">
        <f t="shared" si="11"/>
        <v>-</v>
      </c>
      <c r="Y68" s="311" t="str">
        <f t="shared" si="9"/>
        <v>-</v>
      </c>
      <c r="Z68" s="311" t="str">
        <f t="shared" si="12"/>
        <v>-</v>
      </c>
      <c r="AB68" s="311" t="str">
        <f>IF($E68=AB$3,#REF!*$F68,"-")</f>
        <v>-</v>
      </c>
      <c r="AC68" s="311" t="str">
        <f>IF($E68=AC$3,#REF!*$F68,"-")</f>
        <v>-</v>
      </c>
      <c r="AD68" s="311" t="str">
        <f>IF($E68=AD$3,#REF!*$F68,"-")</f>
        <v>-</v>
      </c>
      <c r="AE68" s="311" t="str">
        <f>IF($E68=AE$3,#REF!*$F68,"-")</f>
        <v>-</v>
      </c>
      <c r="AF68" s="311" t="str">
        <f>IF($E68=AF$3,#REF!*$F68,"-")</f>
        <v>-</v>
      </c>
      <c r="AG68" s="311" t="str">
        <f>IF($E68=AG$3,#REF!*$F68,"-")</f>
        <v>-</v>
      </c>
      <c r="AH68" s="311" t="str">
        <f>IF($E68=AH$3,#REF!*$F68,"-")</f>
        <v>-</v>
      </c>
      <c r="AI68" s="311" t="str">
        <f>IF($E68=AI$3,#REF!*$F68,"-")</f>
        <v>-</v>
      </c>
      <c r="AJ68" s="311" t="str">
        <f>IF($E68=AJ$3,#REF!*$F68,"-")</f>
        <v>-</v>
      </c>
      <c r="AK68" s="311" t="str">
        <f>IF($E68=AK$3,#REF!*$F68,"-")</f>
        <v>-</v>
      </c>
      <c r="AL68" s="311" t="str">
        <f>IF($E68=AL$3,#REF!*$F68,"-")</f>
        <v>-</v>
      </c>
      <c r="AM68" s="311" t="str">
        <f>IF($E68=AM$3,#REF!*$F68,"-")</f>
        <v>-</v>
      </c>
    </row>
    <row r="69" spans="1:39" ht="14.25" customHeight="1" x14ac:dyDescent="0.2">
      <c r="A69" s="317"/>
      <c r="C69" s="561"/>
      <c r="D69" s="561"/>
      <c r="E69" s="309" t="s">
        <v>898</v>
      </c>
      <c r="F69" s="398">
        <v>2.0000000000000002E-7</v>
      </c>
      <c r="G69" s="309">
        <v>1E-3</v>
      </c>
      <c r="H69" s="392">
        <v>0</v>
      </c>
      <c r="I69" s="322">
        <f>D62*F69*G69*(1-H69)</f>
        <v>3.4750800000000006E-5</v>
      </c>
      <c r="J69" s="309" t="s">
        <v>291</v>
      </c>
      <c r="K69" s="392">
        <v>0</v>
      </c>
      <c r="L69" s="396">
        <f t="shared" si="13"/>
        <v>3.4750800000000006E-5</v>
      </c>
      <c r="M69" s="258"/>
      <c r="O69" s="311" t="str">
        <f t="shared" si="11"/>
        <v>-</v>
      </c>
      <c r="P69" s="311" t="str">
        <f t="shared" si="11"/>
        <v>-</v>
      </c>
      <c r="Q69" s="311" t="str">
        <f>IF($E69=Q$3,$D$62*$F69,"-")</f>
        <v>-</v>
      </c>
      <c r="R69" s="311" t="str">
        <f t="shared" si="11"/>
        <v>-</v>
      </c>
      <c r="S69" s="311" t="str">
        <f t="shared" si="11"/>
        <v>-</v>
      </c>
      <c r="T69" s="311" t="str">
        <f t="shared" si="11"/>
        <v>-</v>
      </c>
      <c r="U69" s="311" t="str">
        <f t="shared" si="11"/>
        <v>-</v>
      </c>
      <c r="V69" s="311" t="str">
        <f t="shared" si="11"/>
        <v>-</v>
      </c>
      <c r="W69" s="311" t="str">
        <f t="shared" si="11"/>
        <v>-</v>
      </c>
      <c r="X69" s="311" t="str">
        <f t="shared" si="11"/>
        <v>-</v>
      </c>
      <c r="Y69" s="311" t="str">
        <f t="shared" si="9"/>
        <v>-</v>
      </c>
      <c r="Z69" s="311" t="str">
        <f t="shared" si="12"/>
        <v>-</v>
      </c>
      <c r="AB69" s="311" t="str">
        <f>IF($E69=AB$3,#REF!*$F69,"-")</f>
        <v>-</v>
      </c>
      <c r="AC69" s="311" t="str">
        <f>IF($E69=AC$3,#REF!*$F69,"-")</f>
        <v>-</v>
      </c>
      <c r="AD69" s="311" t="str">
        <f>IF($E69=AD$3,#REF!*$F69,"-")</f>
        <v>-</v>
      </c>
      <c r="AE69" s="311" t="str">
        <f>IF($E69=AE$3,#REF!*$F69,"-")</f>
        <v>-</v>
      </c>
      <c r="AF69" s="311" t="str">
        <f>IF($E69=AF$3,#REF!*$F69,"-")</f>
        <v>-</v>
      </c>
      <c r="AG69" s="311" t="str">
        <f>IF($E69=AG$3,#REF!*$F69,"-")</f>
        <v>-</v>
      </c>
      <c r="AH69" s="311" t="str">
        <f>IF($E69=AH$3,#REF!*$F69,"-")</f>
        <v>-</v>
      </c>
      <c r="AI69" s="311" t="str">
        <f>IF($E69=AI$3,#REF!*$F69,"-")</f>
        <v>-</v>
      </c>
      <c r="AJ69" s="311" t="str">
        <f>IF($E69=AJ$3,#REF!*$F69,"-")</f>
        <v>-</v>
      </c>
      <c r="AK69" s="311" t="str">
        <f>IF($E69=AK$3,#REF!*$F69,"-")</f>
        <v>-</v>
      </c>
      <c r="AL69" s="311" t="str">
        <f>IF($E69=AL$3,#REF!*$F69,"-")</f>
        <v>-</v>
      </c>
      <c r="AM69" s="311" t="str">
        <f>IF($E69=AM$3,#REF!*$F69,"-")</f>
        <v>-</v>
      </c>
    </row>
    <row r="70" spans="1:39" ht="14.25" customHeight="1" x14ac:dyDescent="0.2">
      <c r="A70" s="317"/>
      <c r="C70" s="561"/>
      <c r="D70" s="561"/>
      <c r="E70" s="309" t="s">
        <v>882</v>
      </c>
      <c r="F70" s="398">
        <v>1.0000000000000001E-7</v>
      </c>
      <c r="G70" s="309">
        <v>1E-3</v>
      </c>
      <c r="H70" s="392">
        <v>0</v>
      </c>
      <c r="I70" s="322">
        <f>D62*F70*G70*(1-H70)</f>
        <v>1.7375400000000003E-5</v>
      </c>
      <c r="J70" s="309" t="s">
        <v>291</v>
      </c>
      <c r="K70" s="392">
        <v>0</v>
      </c>
      <c r="L70" s="396">
        <f t="shared" si="13"/>
        <v>1.7375400000000003E-5</v>
      </c>
      <c r="M70" s="258"/>
      <c r="O70" s="311" t="str">
        <f t="shared" si="11"/>
        <v>-</v>
      </c>
      <c r="P70" s="311" t="str">
        <f t="shared" si="11"/>
        <v>-</v>
      </c>
      <c r="Q70" s="311" t="str">
        <f t="shared" si="11"/>
        <v>-</v>
      </c>
      <c r="R70" s="311" t="str">
        <f t="shared" si="11"/>
        <v>-</v>
      </c>
      <c r="S70" s="311" t="str">
        <f t="shared" si="11"/>
        <v>-</v>
      </c>
      <c r="T70" s="311">
        <f t="shared" si="11"/>
        <v>1.7375400000000003E-2</v>
      </c>
      <c r="U70" s="311" t="str">
        <f t="shared" si="11"/>
        <v>-</v>
      </c>
      <c r="V70" s="311" t="str">
        <f t="shared" si="11"/>
        <v>-</v>
      </c>
      <c r="W70" s="311" t="str">
        <f t="shared" si="11"/>
        <v>-</v>
      </c>
      <c r="X70" s="311" t="str">
        <f t="shared" si="11"/>
        <v>-</v>
      </c>
      <c r="Y70" s="311" t="str">
        <f t="shared" si="9"/>
        <v>-</v>
      </c>
      <c r="Z70" s="311" t="str">
        <f t="shared" si="12"/>
        <v>-</v>
      </c>
      <c r="AB70" s="311" t="str">
        <f>IF($E70=AB$3,#REF!*$F70,"-")</f>
        <v>-</v>
      </c>
      <c r="AC70" s="311" t="str">
        <f>IF($E70=AC$3,#REF!*$F70,"-")</f>
        <v>-</v>
      </c>
      <c r="AD70" s="311" t="str">
        <f>IF($E70=AD$3,#REF!*$F70,"-")</f>
        <v>-</v>
      </c>
      <c r="AE70" s="311" t="str">
        <f>IF($E70=AE$3,#REF!*$F70,"-")</f>
        <v>-</v>
      </c>
      <c r="AF70" s="311" t="str">
        <f>IF($E70=AF$3,#REF!*$F70,"-")</f>
        <v>-</v>
      </c>
      <c r="AG70" s="311" t="e">
        <f>IF($E70=AG$3,#REF!*$F70,"-")</f>
        <v>#REF!</v>
      </c>
      <c r="AH70" s="311" t="str">
        <f>IF($E70=AH$3,#REF!*$F70,"-")</f>
        <v>-</v>
      </c>
      <c r="AI70" s="311" t="str">
        <f>IF($E70=AI$3,#REF!*$F70,"-")</f>
        <v>-</v>
      </c>
      <c r="AJ70" s="311" t="str">
        <f>IF($E70=AJ$3,#REF!*$F70,"-")</f>
        <v>-</v>
      </c>
      <c r="AK70" s="311" t="str">
        <f>IF($E70=AK$3,#REF!*$F70,"-")</f>
        <v>-</v>
      </c>
      <c r="AL70" s="311" t="str">
        <f>IF($E70=AL$3,#REF!*$F70,"-")</f>
        <v>-</v>
      </c>
      <c r="AM70" s="311" t="str">
        <f>IF($E70=AM$3,#REF!*$F70,"-")</f>
        <v>-</v>
      </c>
    </row>
    <row r="71" spans="1:39" ht="14.25" customHeight="1" x14ac:dyDescent="0.2">
      <c r="A71" s="317"/>
      <c r="C71" s="561"/>
      <c r="D71" s="561"/>
      <c r="E71" s="309" t="s">
        <v>902</v>
      </c>
      <c r="F71" s="398">
        <v>2.0000000000000004E-8</v>
      </c>
      <c r="G71" s="309">
        <v>1E-3</v>
      </c>
      <c r="H71" s="392">
        <v>0</v>
      </c>
      <c r="I71" s="322">
        <f>D62*F71*G71*(1-H71)</f>
        <v>3.4750800000000007E-6</v>
      </c>
      <c r="J71" s="309" t="s">
        <v>291</v>
      </c>
      <c r="K71" s="392">
        <v>0</v>
      </c>
      <c r="L71" s="396">
        <f t="shared" si="13"/>
        <v>3.4750800000000007E-6</v>
      </c>
      <c r="M71" s="258"/>
      <c r="O71" s="311" t="str">
        <f t="shared" si="11"/>
        <v>-</v>
      </c>
      <c r="P71" s="311" t="str">
        <f t="shared" si="11"/>
        <v>-</v>
      </c>
      <c r="Q71" s="311" t="str">
        <f t="shared" si="11"/>
        <v>-</v>
      </c>
      <c r="R71" s="311" t="str">
        <f t="shared" si="11"/>
        <v>-</v>
      </c>
      <c r="S71" s="311" t="str">
        <f t="shared" si="11"/>
        <v>-</v>
      </c>
      <c r="T71" s="311" t="str">
        <f t="shared" si="11"/>
        <v>-</v>
      </c>
      <c r="U71" s="311" t="str">
        <f t="shared" si="11"/>
        <v>-</v>
      </c>
      <c r="V71" s="311" t="str">
        <f t="shared" si="11"/>
        <v>-</v>
      </c>
      <c r="W71" s="311" t="str">
        <f t="shared" si="11"/>
        <v>-</v>
      </c>
      <c r="X71" s="311" t="str">
        <f t="shared" si="11"/>
        <v>-</v>
      </c>
      <c r="Y71" s="311" t="str">
        <f t="shared" si="9"/>
        <v>-</v>
      </c>
      <c r="Z71" s="311" t="str">
        <f t="shared" si="12"/>
        <v>-</v>
      </c>
      <c r="AB71" s="311" t="str">
        <f>IF($E71=AB$3,#REF!*$F71,"-")</f>
        <v>-</v>
      </c>
      <c r="AC71" s="311" t="str">
        <f>IF($E71=AC$3,#REF!*$F71,"-")</f>
        <v>-</v>
      </c>
      <c r="AD71" s="311" t="str">
        <f>IF($E71=AD$3,#REF!*$F71,"-")</f>
        <v>-</v>
      </c>
      <c r="AE71" s="311" t="str">
        <f>IF($E71=AE$3,#REF!*$F71,"-")</f>
        <v>-</v>
      </c>
      <c r="AF71" s="311" t="str">
        <f>IF($E71=AF$3,#REF!*$F71,"-")</f>
        <v>-</v>
      </c>
      <c r="AG71" s="311" t="str">
        <f>IF($E71=AG$3,#REF!*$F71,"-")</f>
        <v>-</v>
      </c>
      <c r="AH71" s="311" t="str">
        <f>IF($E71=AH$3,#REF!*$F71,"-")</f>
        <v>-</v>
      </c>
      <c r="AI71" s="311" t="str">
        <f>IF($E71=AI$3,#REF!*$F71,"-")</f>
        <v>-</v>
      </c>
      <c r="AJ71" s="311" t="str">
        <f>IF($E71=AJ$3,#REF!*$F71,"-")</f>
        <v>-</v>
      </c>
      <c r="AK71" s="311" t="str">
        <f>IF($E71=AK$3,#REF!*$F71,"-")</f>
        <v>-</v>
      </c>
      <c r="AL71" s="311" t="str">
        <f>IF($E71=AL$3,#REF!*$F71,"-")</f>
        <v>-</v>
      </c>
      <c r="AM71" s="311" t="str">
        <f>IF($E71=AM$3,#REF!*$F71,"-")</f>
        <v>-</v>
      </c>
    </row>
    <row r="72" spans="1:39" ht="14.25" customHeight="1" x14ac:dyDescent="0.2">
      <c r="A72" s="317"/>
      <c r="C72" s="561"/>
      <c r="D72" s="561"/>
      <c r="E72" s="309" t="s">
        <v>916</v>
      </c>
      <c r="F72" s="398">
        <v>4.9999999999999998E-7</v>
      </c>
      <c r="G72" s="309">
        <v>1E-3</v>
      </c>
      <c r="H72" s="392">
        <v>0</v>
      </c>
      <c r="I72" s="322">
        <f>D62*F72*G72*(1-H72)</f>
        <v>8.6877000000000002E-5</v>
      </c>
      <c r="J72" s="309" t="s">
        <v>291</v>
      </c>
      <c r="K72" s="392">
        <v>0</v>
      </c>
      <c r="L72" s="396">
        <f t="shared" si="13"/>
        <v>8.6877000000000002E-5</v>
      </c>
      <c r="M72" s="258"/>
      <c r="O72" s="311" t="str">
        <f t="shared" ref="O72:X80" si="14">IF($E72=O$3,$D$62*$F72,"-")</f>
        <v>-</v>
      </c>
      <c r="P72" s="311" t="str">
        <f t="shared" si="14"/>
        <v>-</v>
      </c>
      <c r="Q72" s="311" t="str">
        <f t="shared" si="14"/>
        <v>-</v>
      </c>
      <c r="R72" s="311" t="str">
        <f t="shared" si="14"/>
        <v>-</v>
      </c>
      <c r="S72" s="311" t="str">
        <f t="shared" si="14"/>
        <v>-</v>
      </c>
      <c r="T72" s="311" t="str">
        <f t="shared" si="14"/>
        <v>-</v>
      </c>
      <c r="U72" s="311" t="str">
        <f t="shared" si="14"/>
        <v>-</v>
      </c>
      <c r="V72" s="311" t="str">
        <f t="shared" si="14"/>
        <v>-</v>
      </c>
      <c r="W72" s="311" t="str">
        <f t="shared" si="14"/>
        <v>-</v>
      </c>
      <c r="X72" s="311" t="str">
        <f t="shared" si="14"/>
        <v>-</v>
      </c>
      <c r="Y72" s="311" t="str">
        <f t="shared" si="9"/>
        <v>-</v>
      </c>
      <c r="Z72" s="311" t="str">
        <f t="shared" si="12"/>
        <v>-</v>
      </c>
      <c r="AB72" s="311" t="str">
        <f>IF($E72=AB$3,#REF!*$F72,"-")</f>
        <v>-</v>
      </c>
      <c r="AC72" s="311" t="str">
        <f>IF($E72=AC$3,#REF!*$F72,"-")</f>
        <v>-</v>
      </c>
      <c r="AD72" s="311" t="str">
        <f>IF($E72=AD$3,#REF!*$F72,"-")</f>
        <v>-</v>
      </c>
      <c r="AE72" s="311" t="str">
        <f>IF($E72=AE$3,#REF!*$F72,"-")</f>
        <v>-</v>
      </c>
      <c r="AF72" s="311" t="str">
        <f>IF($E72=AF$3,#REF!*$F72,"-")</f>
        <v>-</v>
      </c>
      <c r="AG72" s="311" t="str">
        <f>IF($E72=AG$3,#REF!*$F72,"-")</f>
        <v>-</v>
      </c>
      <c r="AH72" s="311" t="str">
        <f>IF($E72=AH$3,#REF!*$F72,"-")</f>
        <v>-</v>
      </c>
      <c r="AI72" s="311" t="str">
        <f>IF($E72=AI$3,#REF!*$F72,"-")</f>
        <v>-</v>
      </c>
      <c r="AJ72" s="311" t="str">
        <f>IF($E72=AJ$3,#REF!*$F72,"-")</f>
        <v>-</v>
      </c>
      <c r="AK72" s="311" t="str">
        <f>IF($E72=AK$3,#REF!*$F72,"-")</f>
        <v>-</v>
      </c>
      <c r="AL72" s="311" t="str">
        <f>IF($E72=AL$3,#REF!*$F72,"-")</f>
        <v>-</v>
      </c>
      <c r="AM72" s="311" t="str">
        <f>IF($E72=AM$3,#REF!*$F72,"-")</f>
        <v>-</v>
      </c>
    </row>
    <row r="73" spans="1:39" ht="14.25" customHeight="1" x14ac:dyDescent="0.2">
      <c r="A73" s="317"/>
      <c r="C73" s="561"/>
      <c r="D73" s="561"/>
      <c r="E73" s="309" t="s">
        <v>886</v>
      </c>
      <c r="F73" s="398">
        <v>2.0000000000000004E-8</v>
      </c>
      <c r="G73" s="309">
        <v>1E-3</v>
      </c>
      <c r="H73" s="392">
        <v>0</v>
      </c>
      <c r="I73" s="322">
        <f>D62*F73*G73*(1-H73)</f>
        <v>3.4750800000000007E-6</v>
      </c>
      <c r="J73" s="309" t="s">
        <v>291</v>
      </c>
      <c r="K73" s="392">
        <v>0</v>
      </c>
      <c r="L73" s="396">
        <f t="shared" si="13"/>
        <v>3.4750800000000007E-6</v>
      </c>
      <c r="M73" s="258"/>
      <c r="O73" s="311" t="str">
        <f t="shared" si="14"/>
        <v>-</v>
      </c>
      <c r="P73" s="311" t="str">
        <f t="shared" si="14"/>
        <v>-</v>
      </c>
      <c r="Q73" s="311" t="str">
        <f t="shared" si="14"/>
        <v>-</v>
      </c>
      <c r="R73" s="311" t="str">
        <f t="shared" si="14"/>
        <v>-</v>
      </c>
      <c r="S73" s="311" t="str">
        <f t="shared" si="14"/>
        <v>-</v>
      </c>
      <c r="T73" s="311" t="str">
        <f t="shared" si="14"/>
        <v>-</v>
      </c>
      <c r="U73" s="311" t="str">
        <f t="shared" si="14"/>
        <v>-</v>
      </c>
      <c r="V73" s="311" t="str">
        <f t="shared" si="14"/>
        <v>-</v>
      </c>
      <c r="W73" s="311" t="str">
        <f t="shared" si="14"/>
        <v>-</v>
      </c>
      <c r="X73" s="311">
        <f t="shared" si="14"/>
        <v>3.4750800000000006E-3</v>
      </c>
      <c r="Y73" s="311" t="str">
        <f t="shared" si="9"/>
        <v>-</v>
      </c>
      <c r="Z73" s="311" t="str">
        <f t="shared" si="12"/>
        <v>-</v>
      </c>
      <c r="AB73" s="311" t="str">
        <f>IF($E73=AB$3,#REF!*$F73,"-")</f>
        <v>-</v>
      </c>
      <c r="AC73" s="311" t="str">
        <f>IF($E73=AC$3,#REF!*$F73,"-")</f>
        <v>-</v>
      </c>
      <c r="AD73" s="311" t="str">
        <f>IF($E73=AD$3,#REF!*$F73,"-")</f>
        <v>-</v>
      </c>
      <c r="AE73" s="311" t="str">
        <f>IF($E73=AE$3,#REF!*$F73,"-")</f>
        <v>-</v>
      </c>
      <c r="AF73" s="311" t="str">
        <f>IF($E73=AF$3,#REF!*$F73,"-")</f>
        <v>-</v>
      </c>
      <c r="AG73" s="311" t="str">
        <f>IF($E73=AG$3,#REF!*$F73,"-")</f>
        <v>-</v>
      </c>
      <c r="AH73" s="311" t="str">
        <f>IF($E73=AH$3,#REF!*$F73,"-")</f>
        <v>-</v>
      </c>
      <c r="AI73" s="311" t="str">
        <f>IF($E73=AI$3,#REF!*$F73,"-")</f>
        <v>-</v>
      </c>
      <c r="AJ73" s="311" t="str">
        <f>IF($E73=AJ$3,#REF!*$F73,"-")</f>
        <v>-</v>
      </c>
      <c r="AK73" s="311" t="e">
        <f>IF($E73=AK$3,#REF!*$F73,"-")</f>
        <v>#REF!</v>
      </c>
      <c r="AL73" s="311" t="str">
        <f>IF($E73=AL$3,#REF!*$F73,"-")</f>
        <v>-</v>
      </c>
      <c r="AM73" s="311" t="str">
        <f>IF($E73=AM$3,#REF!*$F73,"-")</f>
        <v>-</v>
      </c>
    </row>
    <row r="74" spans="1:39" ht="14.25" customHeight="1" x14ac:dyDescent="0.2">
      <c r="A74" s="317"/>
      <c r="C74" s="561"/>
      <c r="D74" s="561"/>
      <c r="E74" s="309" t="s">
        <v>911</v>
      </c>
      <c r="F74" s="398">
        <v>2.0000000000000004E-8</v>
      </c>
      <c r="G74" s="309">
        <v>1E-3</v>
      </c>
      <c r="H74" s="392">
        <v>0</v>
      </c>
      <c r="I74" s="322">
        <f>D62*F74*G74*(1-H74)</f>
        <v>3.4750800000000007E-6</v>
      </c>
      <c r="J74" s="309" t="s">
        <v>291</v>
      </c>
      <c r="K74" s="392">
        <v>0</v>
      </c>
      <c r="L74" s="396">
        <f t="shared" si="13"/>
        <v>3.4750800000000007E-6</v>
      </c>
      <c r="M74" s="258"/>
      <c r="O74" s="311" t="str">
        <f t="shared" si="14"/>
        <v>-</v>
      </c>
      <c r="P74" s="311" t="str">
        <f t="shared" si="14"/>
        <v>-</v>
      </c>
      <c r="Q74" s="311" t="str">
        <f t="shared" si="14"/>
        <v>-</v>
      </c>
      <c r="R74" s="311" t="str">
        <f t="shared" si="14"/>
        <v>-</v>
      </c>
      <c r="S74" s="311" t="str">
        <f t="shared" si="14"/>
        <v>-</v>
      </c>
      <c r="T74" s="311" t="str">
        <f t="shared" si="14"/>
        <v>-</v>
      </c>
      <c r="U74" s="311" t="str">
        <f t="shared" si="14"/>
        <v>-</v>
      </c>
      <c r="V74" s="311" t="str">
        <f t="shared" si="14"/>
        <v>-</v>
      </c>
      <c r="W74" s="311" t="str">
        <f t="shared" si="14"/>
        <v>-</v>
      </c>
      <c r="X74" s="311" t="str">
        <f t="shared" si="14"/>
        <v>-</v>
      </c>
      <c r="Y74" s="311" t="str">
        <f t="shared" si="9"/>
        <v>-</v>
      </c>
      <c r="Z74" s="311" t="str">
        <f t="shared" si="12"/>
        <v>-</v>
      </c>
      <c r="AB74" s="311" t="str">
        <f>IF($E74=AB$3,#REF!*$F74,"-")</f>
        <v>-</v>
      </c>
      <c r="AC74" s="311" t="str">
        <f>IF($E74=AC$3,#REF!*$F74,"-")</f>
        <v>-</v>
      </c>
      <c r="AD74" s="311" t="str">
        <f>IF($E74=AD$3,#REF!*$F74,"-")</f>
        <v>-</v>
      </c>
      <c r="AE74" s="311" t="str">
        <f>IF($E74=AE$3,#REF!*$F74,"-")</f>
        <v>-</v>
      </c>
      <c r="AF74" s="311" t="str">
        <f>IF($E74=AF$3,#REF!*$F74,"-")</f>
        <v>-</v>
      </c>
      <c r="AG74" s="311" t="str">
        <f>IF($E74=AG$3,#REF!*$F74,"-")</f>
        <v>-</v>
      </c>
      <c r="AH74" s="311" t="str">
        <f>IF($E74=AH$3,#REF!*$F74,"-")</f>
        <v>-</v>
      </c>
      <c r="AI74" s="311" t="str">
        <f>IF($E74=AI$3,#REF!*$F74,"-")</f>
        <v>-</v>
      </c>
      <c r="AJ74" s="311" t="str">
        <f>IF($E74=AJ$3,#REF!*$F74,"-")</f>
        <v>-</v>
      </c>
      <c r="AK74" s="311" t="str">
        <f>IF($E74=AK$3,#REF!*$F74,"-")</f>
        <v>-</v>
      </c>
      <c r="AL74" s="311" t="str">
        <f>IF($E74=AL$3,#REF!*$F74,"-")</f>
        <v>-</v>
      </c>
      <c r="AM74" s="311" t="str">
        <f>IF($E74=AM$3,#REF!*$F74,"-")</f>
        <v>-</v>
      </c>
    </row>
    <row r="75" spans="1:39" ht="14.25" customHeight="1" x14ac:dyDescent="0.2">
      <c r="A75" s="317"/>
      <c r="C75" s="561"/>
      <c r="D75" s="561"/>
      <c r="E75" s="309" t="s">
        <v>909</v>
      </c>
      <c r="F75" s="398">
        <v>2.0000000000000004E-8</v>
      </c>
      <c r="G75" s="309">
        <v>1E-3</v>
      </c>
      <c r="H75" s="392">
        <v>0</v>
      </c>
      <c r="I75" s="322">
        <f>D62*F75*G75*(1-H75)</f>
        <v>3.4750800000000007E-6</v>
      </c>
      <c r="J75" s="309" t="s">
        <v>291</v>
      </c>
      <c r="K75" s="392">
        <v>0</v>
      </c>
      <c r="L75" s="396">
        <f t="shared" si="13"/>
        <v>3.4750800000000007E-6</v>
      </c>
      <c r="M75" s="258"/>
      <c r="O75" s="311" t="str">
        <f t="shared" si="14"/>
        <v>-</v>
      </c>
      <c r="P75" s="311" t="str">
        <f t="shared" si="14"/>
        <v>-</v>
      </c>
      <c r="Q75" s="311" t="str">
        <f t="shared" si="14"/>
        <v>-</v>
      </c>
      <c r="R75" s="311" t="str">
        <f t="shared" si="14"/>
        <v>-</v>
      </c>
      <c r="S75" s="311" t="str">
        <f t="shared" si="14"/>
        <v>-</v>
      </c>
      <c r="T75" s="311" t="str">
        <f t="shared" si="14"/>
        <v>-</v>
      </c>
      <c r="U75" s="311" t="str">
        <f t="shared" si="14"/>
        <v>-</v>
      </c>
      <c r="V75" s="311" t="str">
        <f t="shared" si="14"/>
        <v>-</v>
      </c>
      <c r="W75" s="311" t="str">
        <f t="shared" si="14"/>
        <v>-</v>
      </c>
      <c r="X75" s="311" t="str">
        <f t="shared" si="14"/>
        <v>-</v>
      </c>
      <c r="Y75" s="311" t="str">
        <f t="shared" si="9"/>
        <v>-</v>
      </c>
      <c r="Z75" s="311" t="str">
        <f t="shared" si="12"/>
        <v>-</v>
      </c>
      <c r="AB75" s="311" t="str">
        <f>IF($E75=AB$3,#REF!*$F75,"-")</f>
        <v>-</v>
      </c>
      <c r="AC75" s="311" t="str">
        <f>IF($E75=AC$3,#REF!*$F75,"-")</f>
        <v>-</v>
      </c>
      <c r="AD75" s="311" t="str">
        <f>IF($E75=AD$3,#REF!*$F75,"-")</f>
        <v>-</v>
      </c>
      <c r="AE75" s="311" t="str">
        <f>IF($E75=AE$3,#REF!*$F75,"-")</f>
        <v>-</v>
      </c>
      <c r="AF75" s="311" t="str">
        <f>IF($E75=AF$3,#REF!*$F75,"-")</f>
        <v>-</v>
      </c>
      <c r="AG75" s="311" t="str">
        <f>IF($E75=AG$3,#REF!*$F75,"-")</f>
        <v>-</v>
      </c>
      <c r="AH75" s="311" t="str">
        <f>IF($E75=AH$3,#REF!*$F75,"-")</f>
        <v>-</v>
      </c>
      <c r="AI75" s="311" t="str">
        <f>IF($E75=AI$3,#REF!*$F75,"-")</f>
        <v>-</v>
      </c>
      <c r="AJ75" s="311" t="str">
        <f>IF($E75=AJ$3,#REF!*$F75,"-")</f>
        <v>-</v>
      </c>
      <c r="AK75" s="311" t="str">
        <f>IF($E75=AK$3,#REF!*$F75,"-")</f>
        <v>-</v>
      </c>
      <c r="AL75" s="311" t="str">
        <f>IF($E75=AL$3,#REF!*$F75,"-")</f>
        <v>-</v>
      </c>
      <c r="AM75" s="311" t="str">
        <f>IF($E75=AM$3,#REF!*$F75,"-")</f>
        <v>-</v>
      </c>
    </row>
    <row r="76" spans="1:39" ht="14.25" customHeight="1" x14ac:dyDescent="0.2">
      <c r="A76" s="317"/>
      <c r="C76" s="561"/>
      <c r="D76" s="561"/>
      <c r="E76" s="309" t="s">
        <v>887</v>
      </c>
      <c r="F76" s="398">
        <v>5.0000000000000003E-10</v>
      </c>
      <c r="G76" s="309">
        <v>1E-3</v>
      </c>
      <c r="H76" s="392">
        <v>0</v>
      </c>
      <c r="I76" s="322">
        <f>D62*F76*G76*(1-H76)</f>
        <v>8.6877000000000004E-8</v>
      </c>
      <c r="J76" s="309" t="s">
        <v>291</v>
      </c>
      <c r="K76" s="392">
        <v>0</v>
      </c>
      <c r="L76" s="396">
        <f t="shared" si="13"/>
        <v>8.6877000000000004E-8</v>
      </c>
      <c r="M76" s="258"/>
      <c r="O76" s="311" t="str">
        <f t="shared" si="14"/>
        <v>-</v>
      </c>
      <c r="P76" s="311" t="str">
        <f t="shared" si="14"/>
        <v>-</v>
      </c>
      <c r="Q76" s="311" t="str">
        <f t="shared" si="14"/>
        <v>-</v>
      </c>
      <c r="R76" s="311" t="str">
        <f t="shared" si="14"/>
        <v>-</v>
      </c>
      <c r="S76" s="311" t="str">
        <f t="shared" si="14"/>
        <v>-</v>
      </c>
      <c r="T76" s="311" t="str">
        <f t="shared" si="14"/>
        <v>-</v>
      </c>
      <c r="U76" s="311" t="str">
        <f t="shared" si="14"/>
        <v>-</v>
      </c>
      <c r="V76" s="311" t="str">
        <f t="shared" si="14"/>
        <v>-</v>
      </c>
      <c r="W76" s="311" t="str">
        <f t="shared" si="14"/>
        <v>-</v>
      </c>
      <c r="X76" s="311" t="str">
        <f t="shared" si="14"/>
        <v>-</v>
      </c>
      <c r="Y76" s="311">
        <f t="shared" si="9"/>
        <v>0</v>
      </c>
      <c r="Z76" s="311" t="str">
        <f t="shared" si="12"/>
        <v>-</v>
      </c>
      <c r="AB76" s="311" t="str">
        <f>IF($E76=AB$3,#REF!*$F76,"-")</f>
        <v>-</v>
      </c>
      <c r="AC76" s="311" t="str">
        <f>IF($E76=AC$3,#REF!*$F76,"-")</f>
        <v>-</v>
      </c>
      <c r="AD76" s="311" t="str">
        <f>IF($E76=AD$3,#REF!*$F76,"-")</f>
        <v>-</v>
      </c>
      <c r="AE76" s="311" t="str">
        <f>IF($E76=AE$3,#REF!*$F76,"-")</f>
        <v>-</v>
      </c>
      <c r="AF76" s="311" t="str">
        <f>IF($E76=AF$3,#REF!*$F76,"-")</f>
        <v>-</v>
      </c>
      <c r="AG76" s="311" t="str">
        <f>IF($E76=AG$3,#REF!*$F76,"-")</f>
        <v>-</v>
      </c>
      <c r="AH76" s="311" t="str">
        <f>IF($E76=AH$3,#REF!*$F76,"-")</f>
        <v>-</v>
      </c>
      <c r="AI76" s="311" t="str">
        <f>IF($E76=AI$3,#REF!*$F76,"-")</f>
        <v>-</v>
      </c>
      <c r="AJ76" s="311" t="str">
        <f>IF($E76=AJ$3,#REF!*$F76,"-")</f>
        <v>-</v>
      </c>
      <c r="AK76" s="311" t="str">
        <f>IF($E76=AK$3,#REF!*$F76,"-")</f>
        <v>-</v>
      </c>
      <c r="AL76" s="311" t="e">
        <f>IF($E76=AL$3,#REF!*$F76,"-")</f>
        <v>#REF!</v>
      </c>
      <c r="AM76" s="311" t="str">
        <f>IF($E76=AM$3,#REF!*$F76,"-")</f>
        <v>-</v>
      </c>
    </row>
    <row r="77" spans="1:39" ht="14.25" customHeight="1" x14ac:dyDescent="0.2">
      <c r="A77" s="317"/>
      <c r="C77" s="561"/>
      <c r="D77" s="561"/>
      <c r="E77" s="309" t="s">
        <v>905</v>
      </c>
      <c r="F77" s="398">
        <v>5.0000000000000003E-10</v>
      </c>
      <c r="G77" s="309">
        <v>1E-3</v>
      </c>
      <c r="H77" s="392">
        <v>0</v>
      </c>
      <c r="I77" s="322">
        <f>D62*F77*G77*(1-H77)</f>
        <v>8.6877000000000004E-8</v>
      </c>
      <c r="J77" s="309" t="s">
        <v>291</v>
      </c>
      <c r="K77" s="392">
        <v>0</v>
      </c>
      <c r="L77" s="396">
        <f t="shared" si="13"/>
        <v>8.6877000000000004E-8</v>
      </c>
      <c r="M77" s="258"/>
      <c r="O77" s="311" t="str">
        <f t="shared" si="14"/>
        <v>-</v>
      </c>
      <c r="P77" s="311" t="str">
        <f>IF($E77=P$3,$D$62*$F77,"-")</f>
        <v>-</v>
      </c>
      <c r="Q77" s="311" t="str">
        <f t="shared" si="14"/>
        <v>-</v>
      </c>
      <c r="R77" s="311" t="str">
        <f t="shared" si="14"/>
        <v>-</v>
      </c>
      <c r="S77" s="311" t="str">
        <f t="shared" si="14"/>
        <v>-</v>
      </c>
      <c r="T77" s="311" t="str">
        <f t="shared" si="14"/>
        <v>-</v>
      </c>
      <c r="U77" s="311" t="str">
        <f t="shared" si="14"/>
        <v>-</v>
      </c>
      <c r="V77" s="311" t="str">
        <f t="shared" si="14"/>
        <v>-</v>
      </c>
      <c r="W77" s="311" t="str">
        <f t="shared" si="14"/>
        <v>-</v>
      </c>
      <c r="X77" s="311" t="str">
        <f t="shared" si="14"/>
        <v>-</v>
      </c>
      <c r="Y77" s="311" t="str">
        <f t="shared" si="9"/>
        <v>-</v>
      </c>
      <c r="Z77" s="311" t="str">
        <f t="shared" si="12"/>
        <v>-</v>
      </c>
      <c r="AB77" s="311" t="str">
        <f>IF($E77=AB$3,#REF!*$F77,"-")</f>
        <v>-</v>
      </c>
      <c r="AC77" s="311" t="str">
        <f>IF($E77=AC$3,#REF!*$F77,"-")</f>
        <v>-</v>
      </c>
      <c r="AD77" s="311" t="str">
        <f>IF($E77=AD$3,#REF!*$F77,"-")</f>
        <v>-</v>
      </c>
      <c r="AE77" s="311" t="str">
        <f>IF($E77=AE$3,#REF!*$F77,"-")</f>
        <v>-</v>
      </c>
      <c r="AF77" s="311" t="str">
        <f>IF($E77=AF$3,#REF!*$F77,"-")</f>
        <v>-</v>
      </c>
      <c r="AG77" s="311" t="str">
        <f>IF($E77=AG$3,#REF!*$F77,"-")</f>
        <v>-</v>
      </c>
      <c r="AH77" s="311" t="str">
        <f>IF($E77=AH$3,#REF!*$F77,"-")</f>
        <v>-</v>
      </c>
      <c r="AI77" s="311" t="str">
        <f>IF($E77=AI$3,#REF!*$F77,"-")</f>
        <v>-</v>
      </c>
      <c r="AJ77" s="311" t="str">
        <f>IF($E77=AJ$3,#REF!*$F77,"-")</f>
        <v>-</v>
      </c>
      <c r="AK77" s="311" t="str">
        <f>IF($E77=AK$3,#REF!*$F77,"-")</f>
        <v>-</v>
      </c>
      <c r="AL77" s="311" t="str">
        <f>IF($E77=AL$3,#REF!*$F77,"-")</f>
        <v>-</v>
      </c>
      <c r="AM77" s="311" t="str">
        <f>IF($E77=AM$3,#REF!*$F77,"-")</f>
        <v>-</v>
      </c>
    </row>
    <row r="78" spans="1:39" ht="14.25" customHeight="1" x14ac:dyDescent="0.2">
      <c r="A78" s="317"/>
      <c r="C78" s="561"/>
      <c r="D78" s="561"/>
      <c r="E78" s="309" t="s">
        <v>912</v>
      </c>
      <c r="F78" s="398">
        <v>9.9999999999999995E-7</v>
      </c>
      <c r="G78" s="309">
        <v>1E-3</v>
      </c>
      <c r="H78" s="392">
        <v>0</v>
      </c>
      <c r="I78" s="322">
        <f>D62*F78*G78*(1-H78)</f>
        <v>1.73754E-4</v>
      </c>
      <c r="J78" s="309" t="s">
        <v>291</v>
      </c>
      <c r="K78" s="392">
        <v>0</v>
      </c>
      <c r="L78" s="396">
        <f t="shared" si="13"/>
        <v>1.73754E-4</v>
      </c>
      <c r="M78" s="258"/>
      <c r="O78" s="311" t="str">
        <f t="shared" si="14"/>
        <v>-</v>
      </c>
      <c r="P78" s="311" t="str">
        <f t="shared" si="14"/>
        <v>-</v>
      </c>
      <c r="Q78" s="311" t="str">
        <f t="shared" si="14"/>
        <v>-</v>
      </c>
      <c r="R78" s="311" t="str">
        <f t="shared" si="14"/>
        <v>-</v>
      </c>
      <c r="S78" s="311" t="str">
        <f t="shared" si="14"/>
        <v>-</v>
      </c>
      <c r="T78" s="311" t="str">
        <f t="shared" si="14"/>
        <v>-</v>
      </c>
      <c r="U78" s="311" t="str">
        <f t="shared" si="14"/>
        <v>-</v>
      </c>
      <c r="V78" s="311" t="str">
        <f t="shared" si="14"/>
        <v>-</v>
      </c>
      <c r="W78" s="311" t="str">
        <f t="shared" si="14"/>
        <v>-</v>
      </c>
      <c r="X78" s="311" t="str">
        <f t="shared" si="14"/>
        <v>-</v>
      </c>
      <c r="Y78" s="311" t="str">
        <f t="shared" si="9"/>
        <v>-</v>
      </c>
      <c r="Z78" s="311" t="str">
        <f t="shared" si="12"/>
        <v>-</v>
      </c>
      <c r="AB78" s="311" t="str">
        <f>IF($E78=AB$3,#REF!*$F78,"-")</f>
        <v>-</v>
      </c>
      <c r="AC78" s="311" t="str">
        <f>IF($E78=AC$3,#REF!*$F78,"-")</f>
        <v>-</v>
      </c>
      <c r="AD78" s="311" t="str">
        <f>IF($E78=AD$3,#REF!*$F78,"-")</f>
        <v>-</v>
      </c>
      <c r="AE78" s="311" t="str">
        <f>IF($E78=AE$3,#REF!*$F78,"-")</f>
        <v>-</v>
      </c>
      <c r="AF78" s="311" t="str">
        <f>IF($E78=AF$3,#REF!*$F78,"-")</f>
        <v>-</v>
      </c>
      <c r="AG78" s="311" t="str">
        <f>IF($E78=AG$3,#REF!*$F78,"-")</f>
        <v>-</v>
      </c>
      <c r="AH78" s="311" t="str">
        <f>IF($E78=AH$3,#REF!*$F78,"-")</f>
        <v>-</v>
      </c>
      <c r="AI78" s="311" t="str">
        <f>IF($E78=AI$3,#REF!*$F78,"-")</f>
        <v>-</v>
      </c>
      <c r="AJ78" s="311" t="str">
        <f>IF($E78=AJ$3,#REF!*$F78,"-")</f>
        <v>-</v>
      </c>
      <c r="AK78" s="311" t="str">
        <f>IF($E78=AK$3,#REF!*$F78,"-")</f>
        <v>-</v>
      </c>
      <c r="AL78" s="311" t="str">
        <f>IF($E78=AL$3,#REF!*$F78,"-")</f>
        <v>-</v>
      </c>
      <c r="AM78" s="311" t="str">
        <f>IF($E78=AM$3,#REF!*$F78,"-")</f>
        <v>-</v>
      </c>
    </row>
    <row r="79" spans="1:39" ht="14.25" customHeight="1" x14ac:dyDescent="0.2">
      <c r="A79" s="317"/>
      <c r="C79" s="561"/>
      <c r="D79" s="561"/>
      <c r="E79" s="309" t="s">
        <v>915</v>
      </c>
      <c r="F79" s="398">
        <v>9.9999999999999995E-7</v>
      </c>
      <c r="G79" s="309">
        <v>1E-3</v>
      </c>
      <c r="H79" s="392">
        <v>0</v>
      </c>
      <c r="I79" s="322">
        <f>D62*F79*G79*(1-H79)</f>
        <v>1.73754E-4</v>
      </c>
      <c r="J79" s="309" t="s">
        <v>291</v>
      </c>
      <c r="K79" s="392">
        <v>0</v>
      </c>
      <c r="L79" s="396">
        <f t="shared" si="13"/>
        <v>1.73754E-4</v>
      </c>
      <c r="M79" s="258"/>
      <c r="O79" s="311" t="str">
        <f t="shared" si="14"/>
        <v>-</v>
      </c>
      <c r="P79" s="311" t="str">
        <f t="shared" si="14"/>
        <v>-</v>
      </c>
      <c r="Q79" s="311" t="str">
        <f t="shared" si="14"/>
        <v>-</v>
      </c>
      <c r="R79" s="311" t="str">
        <f t="shared" si="14"/>
        <v>-</v>
      </c>
      <c r="S79" s="311" t="str">
        <f t="shared" si="14"/>
        <v>-</v>
      </c>
      <c r="T79" s="311" t="str">
        <f t="shared" si="14"/>
        <v>-</v>
      </c>
      <c r="U79" s="311" t="str">
        <f t="shared" si="14"/>
        <v>-</v>
      </c>
      <c r="V79" s="311" t="str">
        <f t="shared" si="14"/>
        <v>-</v>
      </c>
      <c r="W79" s="311" t="str">
        <f t="shared" si="14"/>
        <v>-</v>
      </c>
      <c r="X79" s="311" t="str">
        <f t="shared" si="14"/>
        <v>-</v>
      </c>
      <c r="Y79" s="311" t="str">
        <f t="shared" si="9"/>
        <v>-</v>
      </c>
      <c r="Z79" s="311" t="str">
        <f t="shared" si="12"/>
        <v>-</v>
      </c>
      <c r="AB79" s="311" t="str">
        <f>IF($E79=AB$3,#REF!*$F79,"-")</f>
        <v>-</v>
      </c>
      <c r="AC79" s="311" t="str">
        <f>IF($E79=AC$3,#REF!*$F79,"-")</f>
        <v>-</v>
      </c>
      <c r="AD79" s="311" t="str">
        <f>IF($E79=AD$3,#REF!*$F79,"-")</f>
        <v>-</v>
      </c>
      <c r="AE79" s="311" t="str">
        <f>IF($E79=AE$3,#REF!*$F79,"-")</f>
        <v>-</v>
      </c>
      <c r="AF79" s="311" t="str">
        <f>IF($E79=AF$3,#REF!*$F79,"-")</f>
        <v>-</v>
      </c>
      <c r="AG79" s="311" t="str">
        <f>IF($E79=AG$3,#REF!*$F79,"-")</f>
        <v>-</v>
      </c>
      <c r="AH79" s="311" t="str">
        <f>IF($E79=AH$3,#REF!*$F79,"-")</f>
        <v>-</v>
      </c>
      <c r="AI79" s="311" t="str">
        <f>IF($E79=AI$3,#REF!*$F79,"-")</f>
        <v>-</v>
      </c>
      <c r="AJ79" s="311" t="str">
        <f>IF($E79=AJ$3,#REF!*$F79,"-")</f>
        <v>-</v>
      </c>
      <c r="AK79" s="311" t="str">
        <f>IF($E79=AK$3,#REF!*$F79,"-")</f>
        <v>-</v>
      </c>
      <c r="AL79" s="311" t="str">
        <f>IF($E79=AL$3,#REF!*$F79,"-")</f>
        <v>-</v>
      </c>
      <c r="AM79" s="311" t="str">
        <f>IF($E79=AM$3,#REF!*$F79,"-")</f>
        <v>-</v>
      </c>
    </row>
    <row r="80" spans="1:39" ht="14.25" customHeight="1" x14ac:dyDescent="0.2">
      <c r="A80" s="317"/>
      <c r="C80" s="554"/>
      <c r="D80" s="554"/>
      <c r="E80" s="309" t="s">
        <v>914</v>
      </c>
      <c r="F80" s="398">
        <v>9.9999999999999995E-7</v>
      </c>
      <c r="G80" s="309">
        <v>1E-3</v>
      </c>
      <c r="H80" s="392">
        <v>0</v>
      </c>
      <c r="I80" s="322">
        <f>D62*F80*G80*(1-H80)</f>
        <v>1.73754E-4</v>
      </c>
      <c r="J80" s="309" t="s">
        <v>291</v>
      </c>
      <c r="K80" s="392">
        <v>0</v>
      </c>
      <c r="L80" s="396">
        <f>I80*(1-K80)</f>
        <v>1.73754E-4</v>
      </c>
      <c r="M80" s="258"/>
      <c r="O80" s="311" t="str">
        <f>IF($E80=O$3,$D$62*$F80,"-")</f>
        <v>-</v>
      </c>
      <c r="P80" s="311" t="str">
        <f t="shared" si="14"/>
        <v>-</v>
      </c>
      <c r="Q80" s="311" t="str">
        <f t="shared" si="14"/>
        <v>-</v>
      </c>
      <c r="R80" s="311" t="str">
        <f t="shared" si="14"/>
        <v>-</v>
      </c>
      <c r="S80" s="311" t="str">
        <f t="shared" si="14"/>
        <v>-</v>
      </c>
      <c r="T80" s="311" t="str">
        <f t="shared" si="14"/>
        <v>-</v>
      </c>
      <c r="U80" s="311" t="str">
        <f t="shared" si="14"/>
        <v>-</v>
      </c>
      <c r="V80" s="311" t="str">
        <f t="shared" si="14"/>
        <v>-</v>
      </c>
      <c r="W80" s="311" t="str">
        <f t="shared" si="14"/>
        <v>-</v>
      </c>
      <c r="X80" s="311" t="str">
        <f t="shared" si="14"/>
        <v>-</v>
      </c>
      <c r="Y80" s="311" t="str">
        <f t="shared" si="9"/>
        <v>-</v>
      </c>
      <c r="Z80" s="311" t="str">
        <f t="shared" si="12"/>
        <v>-</v>
      </c>
      <c r="AB80" s="311" t="str">
        <f>IF($E80=AB$3,#REF!*$F80,"-")</f>
        <v>-</v>
      </c>
      <c r="AC80" s="311" t="str">
        <f>IF($E80=AC$3,#REF!*$F80,"-")</f>
        <v>-</v>
      </c>
      <c r="AD80" s="311" t="str">
        <f>IF($E80=AD$3,#REF!*$F80,"-")</f>
        <v>-</v>
      </c>
      <c r="AE80" s="311" t="str">
        <f>IF($E80=AE$3,#REF!*$F80,"-")</f>
        <v>-</v>
      </c>
      <c r="AF80" s="311" t="str">
        <f>IF($E80=AF$3,#REF!*$F80,"-")</f>
        <v>-</v>
      </c>
      <c r="AG80" s="311" t="str">
        <f>IF($E80=AG$3,#REF!*$F80,"-")</f>
        <v>-</v>
      </c>
      <c r="AH80" s="311" t="str">
        <f>IF($E80=AH$3,#REF!*$F80,"-")</f>
        <v>-</v>
      </c>
      <c r="AI80" s="311" t="str">
        <f>IF($E80=AI$3,#REF!*$F80,"-")</f>
        <v>-</v>
      </c>
      <c r="AJ80" s="311" t="str">
        <f>IF($E80=AJ$3,#REF!*$F80,"-")</f>
        <v>-</v>
      </c>
      <c r="AK80" s="311" t="str">
        <f>IF($E80=AK$3,#REF!*$F80,"-")</f>
        <v>-</v>
      </c>
      <c r="AL80" s="311" t="str">
        <f>IF($E80=AL$3,#REF!*$F80,"-")</f>
        <v>-</v>
      </c>
      <c r="AM80" s="311" t="str">
        <f>IF($E80=AM$3,#REF!*$F80,"-")</f>
        <v>-</v>
      </c>
    </row>
    <row r="81" spans="1:39" ht="14.25" customHeight="1" x14ac:dyDescent="0.2">
      <c r="A81" s="317"/>
      <c r="C81" s="560" t="s">
        <v>923</v>
      </c>
      <c r="D81" s="560">
        <v>5702.4000000000005</v>
      </c>
      <c r="E81" s="309" t="s">
        <v>877</v>
      </c>
      <c r="F81" s="398">
        <v>0.995</v>
      </c>
      <c r="G81" s="309">
        <v>1E-3</v>
      </c>
      <c r="H81" s="392">
        <v>0</v>
      </c>
      <c r="I81" s="322">
        <f>D81*F81*G81*(1-H81)</f>
        <v>5.6738880000000007</v>
      </c>
      <c r="J81" s="309" t="s">
        <v>291</v>
      </c>
      <c r="K81" s="392">
        <v>0</v>
      </c>
      <c r="L81" s="396">
        <f t="shared" ref="L81:L82" si="15">I81*(1-K81)</f>
        <v>5.6738880000000007</v>
      </c>
      <c r="M81" s="258"/>
      <c r="O81" s="311">
        <f>IF($E81=O$3,$D$81*$F81,"-")</f>
        <v>5673.8880000000008</v>
      </c>
      <c r="P81" s="311" t="str">
        <f t="shared" ref="P81:Z82" si="16">IF($E81=P$3,$D$81*$F81,"-")</f>
        <v>-</v>
      </c>
      <c r="Q81" s="311" t="str">
        <f t="shared" si="16"/>
        <v>-</v>
      </c>
      <c r="R81" s="311" t="str">
        <f t="shared" si="16"/>
        <v>-</v>
      </c>
      <c r="S81" s="311" t="str">
        <f t="shared" si="16"/>
        <v>-</v>
      </c>
      <c r="T81" s="311" t="str">
        <f t="shared" si="16"/>
        <v>-</v>
      </c>
      <c r="U81" s="311" t="str">
        <f t="shared" si="16"/>
        <v>-</v>
      </c>
      <c r="V81" s="311" t="str">
        <f>IF($E81=V$3,$D$81*$F81,"-")</f>
        <v>-</v>
      </c>
      <c r="W81" s="311" t="str">
        <f t="shared" si="16"/>
        <v>-</v>
      </c>
      <c r="X81" s="311" t="str">
        <f t="shared" si="16"/>
        <v>-</v>
      </c>
      <c r="Y81" s="311" t="str">
        <f t="shared" si="16"/>
        <v>-</v>
      </c>
      <c r="Z81" s="311" t="str">
        <f t="shared" si="16"/>
        <v>-</v>
      </c>
      <c r="AB81" s="311" t="e">
        <f>IF($E81=AB$3,#REF!*$F81,"-")</f>
        <v>#REF!</v>
      </c>
      <c r="AC81" s="311" t="str">
        <f>IF($E81=AC$3,#REF!*$F81,"-")</f>
        <v>-</v>
      </c>
      <c r="AD81" s="311" t="str">
        <f>IF($E81=AD$3,#REF!*$F81,"-")</f>
        <v>-</v>
      </c>
      <c r="AE81" s="311" t="str">
        <f>IF($E81=AE$3,#REF!*$F81,"-")</f>
        <v>-</v>
      </c>
      <c r="AF81" s="311" t="str">
        <f>IF($E81=AF$3,#REF!*$F81,"-")</f>
        <v>-</v>
      </c>
      <c r="AG81" s="311" t="str">
        <f>IF($E81=AG$3,#REF!*$F81,"-")</f>
        <v>-</v>
      </c>
      <c r="AH81" s="311" t="str">
        <f>IF($E81=AH$3,#REF!*$F81,"-")</f>
        <v>-</v>
      </c>
      <c r="AI81" s="311" t="str">
        <f>IF($E81=AI$3,#REF!*$F81,"-")</f>
        <v>-</v>
      </c>
      <c r="AJ81" s="311" t="str">
        <f>IF($E81=AJ$3,#REF!*$F81,"-")</f>
        <v>-</v>
      </c>
      <c r="AK81" s="311" t="str">
        <f>IF($E81=AK$3,#REF!*$F81,"-")</f>
        <v>-</v>
      </c>
      <c r="AL81" s="311" t="str">
        <f>IF($E81=AL$3,#REF!*$F81,"-")</f>
        <v>-</v>
      </c>
      <c r="AM81" s="311" t="str">
        <f>IF($E81=AM$3,#REF!*$F81,"-")</f>
        <v>-</v>
      </c>
    </row>
    <row r="82" spans="1:39" ht="14.25" customHeight="1" x14ac:dyDescent="0.2">
      <c r="A82" s="317"/>
      <c r="C82" s="554"/>
      <c r="D82" s="554"/>
      <c r="E82" s="309" t="s">
        <v>880</v>
      </c>
      <c r="F82" s="398">
        <v>5.0000000000000001E-3</v>
      </c>
      <c r="G82" s="309">
        <v>1E-3</v>
      </c>
      <c r="H82" s="392">
        <v>0</v>
      </c>
      <c r="I82" s="322">
        <f>D81*F82*G82*(1-H82)</f>
        <v>2.8512000000000006E-2</v>
      </c>
      <c r="J82" s="309" t="s">
        <v>291</v>
      </c>
      <c r="K82" s="392">
        <v>0</v>
      </c>
      <c r="L82" s="396">
        <f t="shared" si="15"/>
        <v>2.8512000000000006E-2</v>
      </c>
      <c r="M82" s="258"/>
      <c r="O82" s="311" t="str">
        <f>IF($E82=O$3,$D$81*$F82,"-")</f>
        <v>-</v>
      </c>
      <c r="P82" s="311" t="str">
        <f t="shared" si="16"/>
        <v>-</v>
      </c>
      <c r="Q82" s="311" t="str">
        <f t="shared" si="16"/>
        <v>-</v>
      </c>
      <c r="R82" s="311">
        <f>IF($E82=R$3,$D$81*$F82,"-")</f>
        <v>28.512000000000004</v>
      </c>
      <c r="S82" s="311" t="str">
        <f t="shared" si="16"/>
        <v>-</v>
      </c>
      <c r="T82" s="311" t="str">
        <f t="shared" si="16"/>
        <v>-</v>
      </c>
      <c r="U82" s="311" t="str">
        <f t="shared" si="16"/>
        <v>-</v>
      </c>
      <c r="V82" s="311" t="str">
        <f t="shared" si="16"/>
        <v>-</v>
      </c>
      <c r="W82" s="311" t="str">
        <f t="shared" si="16"/>
        <v>-</v>
      </c>
      <c r="X82" s="311" t="str">
        <f t="shared" si="16"/>
        <v>-</v>
      </c>
      <c r="Y82" s="311" t="str">
        <f t="shared" si="16"/>
        <v>-</v>
      </c>
      <c r="Z82" s="311" t="str">
        <f t="shared" si="16"/>
        <v>-</v>
      </c>
      <c r="AB82" s="311" t="str">
        <f>IF($E82=AB$3,#REF!*$F82,"-")</f>
        <v>-</v>
      </c>
      <c r="AC82" s="311" t="str">
        <f>IF($E82=AC$3,#REF!*$F82,"-")</f>
        <v>-</v>
      </c>
      <c r="AD82" s="311" t="str">
        <f>IF($E82=AD$3,#REF!*$F82,"-")</f>
        <v>-</v>
      </c>
      <c r="AE82" s="311" t="e">
        <f>IF($E82=AE$3,#REF!*$F82,"-")</f>
        <v>#REF!</v>
      </c>
      <c r="AF82" s="311" t="str">
        <f>IF($E82=AF$3,#REF!*$F82,"-")</f>
        <v>-</v>
      </c>
      <c r="AG82" s="311" t="str">
        <f>IF($E82=AG$3,#REF!*$F82,"-")</f>
        <v>-</v>
      </c>
      <c r="AH82" s="311" t="str">
        <f>IF($E82=AH$3,#REF!*$F82,"-")</f>
        <v>-</v>
      </c>
      <c r="AI82" s="311" t="str">
        <f>IF($E82=AI$3,#REF!*$F82,"-")</f>
        <v>-</v>
      </c>
      <c r="AJ82" s="311" t="str">
        <f>IF($E82=AJ$3,#REF!*$F82,"-")</f>
        <v>-</v>
      </c>
      <c r="AK82" s="311" t="str">
        <f>IF($E82=AK$3,#REF!*$F82,"-")</f>
        <v>-</v>
      </c>
      <c r="AL82" s="311" t="str">
        <f>IF($E82=AL$3,#REF!*$F82,"-")</f>
        <v>-</v>
      </c>
      <c r="AM82" s="311" t="str">
        <f>IF($E82=AM$3,#REF!*$F82,"-")</f>
        <v>-</v>
      </c>
    </row>
    <row r="83" spans="1:39" s="233" customFormat="1" ht="14.25" customHeight="1" x14ac:dyDescent="0.2">
      <c r="B83" s="109"/>
      <c r="C83" s="595" t="s">
        <v>777</v>
      </c>
      <c r="D83" s="560">
        <v>1001.2059768609305</v>
      </c>
      <c r="E83" s="361" t="s">
        <v>848</v>
      </c>
      <c r="F83" s="363">
        <v>5.4999999999999997E-3</v>
      </c>
      <c r="G83" s="324">
        <v>1</v>
      </c>
      <c r="H83" s="363">
        <v>0</v>
      </c>
      <c r="I83" s="324">
        <f>D83*F83*G83*(1-H83)</f>
        <v>5.5066328727351177</v>
      </c>
      <c r="J83" s="361" t="s">
        <v>291</v>
      </c>
      <c r="K83" s="363">
        <v>0</v>
      </c>
      <c r="L83" s="395">
        <f t="shared" si="0"/>
        <v>5.5066328727351177</v>
      </c>
      <c r="M83" s="258"/>
      <c r="O83" s="316"/>
      <c r="P83" s="316"/>
      <c r="Q83" s="316"/>
      <c r="R83" s="316"/>
      <c r="S83" s="316"/>
      <c r="T83" s="316"/>
      <c r="U83" s="316"/>
      <c r="V83" s="316"/>
      <c r="W83" s="316"/>
      <c r="X83" s="316"/>
      <c r="Y83" s="316"/>
      <c r="Z83" s="316"/>
      <c r="AB83" s="316"/>
      <c r="AC83" s="316"/>
      <c r="AD83" s="316"/>
      <c r="AE83" s="316"/>
      <c r="AF83" s="316"/>
      <c r="AG83" s="316"/>
      <c r="AH83" s="316"/>
      <c r="AI83" s="316"/>
      <c r="AJ83" s="316"/>
      <c r="AK83" s="316"/>
      <c r="AL83" s="316"/>
      <c r="AM83" s="316"/>
    </row>
    <row r="84" spans="1:39" s="233" customFormat="1" ht="25.5" x14ac:dyDescent="0.2">
      <c r="B84" s="109"/>
      <c r="C84" s="595"/>
      <c r="D84" s="561"/>
      <c r="E84" s="308" t="s">
        <v>924</v>
      </c>
      <c r="F84" s="363">
        <v>5.4999999999999997E-3</v>
      </c>
      <c r="G84" s="361">
        <v>1E-3</v>
      </c>
      <c r="H84" s="363">
        <v>0</v>
      </c>
      <c r="I84" s="362">
        <f>D83*F84*G84*(1-H84)</f>
        <v>5.5066328727351177E-3</v>
      </c>
      <c r="J84" s="361" t="s">
        <v>291</v>
      </c>
      <c r="K84" s="363">
        <v>0</v>
      </c>
      <c r="L84" s="379">
        <f t="shared" si="0"/>
        <v>5.5066328727351177E-3</v>
      </c>
      <c r="M84" s="258"/>
      <c r="O84" s="315"/>
      <c r="P84" s="315"/>
      <c r="Q84" s="315"/>
      <c r="R84" s="315"/>
      <c r="S84" s="315"/>
      <c r="T84" s="315"/>
      <c r="U84" s="315"/>
      <c r="V84" s="315"/>
      <c r="W84" s="315"/>
      <c r="X84" s="315"/>
      <c r="Y84" s="315"/>
      <c r="Z84" s="315"/>
      <c r="AB84" s="315"/>
      <c r="AC84" s="315"/>
      <c r="AD84" s="315"/>
      <c r="AE84" s="315"/>
      <c r="AF84" s="315"/>
      <c r="AG84" s="315"/>
      <c r="AH84" s="315"/>
      <c r="AI84" s="315"/>
      <c r="AJ84" s="315"/>
      <c r="AK84" s="315"/>
      <c r="AL84" s="315"/>
      <c r="AM84" s="315"/>
    </row>
    <row r="85" spans="1:39" s="233" customFormat="1" ht="14.25" x14ac:dyDescent="0.2">
      <c r="B85" s="109"/>
      <c r="C85" s="595"/>
      <c r="D85" s="554"/>
      <c r="E85" s="308" t="s">
        <v>306</v>
      </c>
      <c r="F85" s="363">
        <v>5.4999999999999997E-3</v>
      </c>
      <c r="G85" s="361">
        <v>1E-3</v>
      </c>
      <c r="H85" s="363">
        <v>0</v>
      </c>
      <c r="I85" s="362">
        <f>D83*F85*G85*(1-H85)</f>
        <v>5.5066328727351177E-3</v>
      </c>
      <c r="J85" s="361" t="s">
        <v>291</v>
      </c>
      <c r="K85" s="363">
        <v>0.4</v>
      </c>
      <c r="L85" s="373">
        <f t="shared" si="0"/>
        <v>3.3039797236410705E-3</v>
      </c>
      <c r="M85" s="258"/>
      <c r="O85" s="319"/>
      <c r="P85" s="319"/>
      <c r="Q85" s="319"/>
      <c r="R85" s="319"/>
      <c r="S85" s="319"/>
      <c r="T85" s="319"/>
      <c r="U85" s="319"/>
      <c r="V85" s="319"/>
      <c r="W85" s="319"/>
      <c r="X85" s="319"/>
      <c r="Y85" s="319"/>
      <c r="Z85" s="319"/>
      <c r="AB85" s="319"/>
      <c r="AC85" s="319"/>
      <c r="AD85" s="319"/>
      <c r="AE85" s="319"/>
      <c r="AF85" s="319"/>
      <c r="AG85" s="319"/>
      <c r="AH85" s="319"/>
      <c r="AI85" s="319"/>
      <c r="AJ85" s="319"/>
      <c r="AK85" s="319"/>
      <c r="AL85" s="319"/>
      <c r="AM85" s="319"/>
    </row>
    <row r="86" spans="1:39" s="233" customFormat="1" ht="14.25" x14ac:dyDescent="0.2">
      <c r="B86" s="109"/>
      <c r="C86" s="312" t="s">
        <v>778</v>
      </c>
      <c r="D86" s="312">
        <v>288.82652989817348</v>
      </c>
      <c r="E86" s="308" t="s">
        <v>925</v>
      </c>
      <c r="F86" s="372">
        <v>5.5000000000000003E-4</v>
      </c>
      <c r="G86" s="361">
        <v>1E-3</v>
      </c>
      <c r="H86" s="363">
        <v>0</v>
      </c>
      <c r="I86" s="367">
        <f>D86*F86*G86*(1-H86)</f>
        <v>1.5885459144399542E-4</v>
      </c>
      <c r="J86" s="361" t="s">
        <v>291</v>
      </c>
      <c r="K86" s="363">
        <v>0</v>
      </c>
      <c r="L86" s="373">
        <f t="shared" si="0"/>
        <v>1.5885459144399542E-4</v>
      </c>
      <c r="M86" s="258"/>
      <c r="O86" s="319"/>
      <c r="P86" s="319"/>
      <c r="Q86" s="319"/>
      <c r="R86" s="319"/>
      <c r="S86" s="319"/>
      <c r="T86" s="319"/>
      <c r="U86" s="319"/>
      <c r="V86" s="319"/>
      <c r="W86" s="319"/>
      <c r="X86" s="319"/>
      <c r="Y86" s="319"/>
      <c r="Z86" s="319"/>
      <c r="AB86" s="319"/>
      <c r="AC86" s="319"/>
      <c r="AD86" s="319"/>
      <c r="AE86" s="319"/>
      <c r="AF86" s="319"/>
      <c r="AG86" s="319"/>
      <c r="AH86" s="319"/>
      <c r="AI86" s="319"/>
      <c r="AJ86" s="319"/>
      <c r="AK86" s="319"/>
      <c r="AL86" s="319"/>
      <c r="AM86" s="319"/>
    </row>
    <row r="87" spans="1:39" s="233" customFormat="1" ht="25.5" x14ac:dyDescent="0.2">
      <c r="B87" s="109"/>
      <c r="C87" s="312" t="s">
        <v>779</v>
      </c>
      <c r="D87" s="312">
        <v>240118.74778077664</v>
      </c>
      <c r="E87" s="399" t="s">
        <v>926</v>
      </c>
      <c r="F87" s="363">
        <v>0.25</v>
      </c>
      <c r="G87" s="361">
        <v>0.05</v>
      </c>
      <c r="H87" s="361">
        <v>0</v>
      </c>
      <c r="I87" s="362">
        <f>D87*F87*G87*(1-H87)</f>
        <v>3001.4843472597081</v>
      </c>
      <c r="J87" s="361" t="s">
        <v>291</v>
      </c>
      <c r="K87" s="363">
        <v>0</v>
      </c>
      <c r="L87" s="373">
        <f t="shared" si="0"/>
        <v>3001.4843472597081</v>
      </c>
      <c r="M87" s="258"/>
      <c r="O87" s="319"/>
      <c r="P87" s="319"/>
      <c r="Q87" s="319"/>
      <c r="R87" s="319"/>
      <c r="S87" s="319"/>
      <c r="T87" s="319"/>
      <c r="U87" s="319"/>
      <c r="V87" s="319"/>
      <c r="W87" s="319"/>
      <c r="X87" s="319"/>
      <c r="Y87" s="319"/>
      <c r="Z87" s="319"/>
      <c r="AB87" s="319"/>
      <c r="AC87" s="319"/>
      <c r="AD87" s="319"/>
      <c r="AE87" s="319"/>
      <c r="AF87" s="319"/>
      <c r="AG87" s="319"/>
      <c r="AH87" s="319"/>
      <c r="AI87" s="319"/>
      <c r="AJ87" s="319"/>
      <c r="AK87" s="319"/>
      <c r="AL87" s="319"/>
      <c r="AM87" s="319"/>
    </row>
    <row r="88" spans="1:39" ht="14.25" x14ac:dyDescent="0.2">
      <c r="C88" s="595" t="s">
        <v>927</v>
      </c>
      <c r="D88" s="560">
        <v>494066.80019382958</v>
      </c>
      <c r="E88" s="309" t="s">
        <v>819</v>
      </c>
      <c r="F88" s="400">
        <v>0.02</v>
      </c>
      <c r="G88" s="309">
        <v>0.05</v>
      </c>
      <c r="H88" s="392">
        <v>0</v>
      </c>
      <c r="I88" s="320">
        <f>D88*F88*G88*(1-H88)</f>
        <v>494.06680019382958</v>
      </c>
      <c r="J88" s="309" t="s">
        <v>291</v>
      </c>
      <c r="K88" s="392">
        <v>0.6</v>
      </c>
      <c r="L88" s="401">
        <f t="shared" si="0"/>
        <v>197.62672007753184</v>
      </c>
      <c r="M88" s="258"/>
      <c r="O88" s="320"/>
      <c r="P88" s="320"/>
      <c r="Q88" s="320"/>
      <c r="R88" s="320"/>
      <c r="S88" s="320"/>
      <c r="T88" s="320"/>
      <c r="U88" s="320"/>
      <c r="V88" s="320"/>
      <c r="W88" s="320"/>
      <c r="X88" s="320"/>
      <c r="Y88" s="320"/>
      <c r="Z88" s="320"/>
      <c r="AB88" s="320"/>
      <c r="AC88" s="320"/>
      <c r="AD88" s="320"/>
      <c r="AE88" s="320"/>
      <c r="AF88" s="320"/>
      <c r="AG88" s="320"/>
      <c r="AH88" s="320"/>
      <c r="AI88" s="320"/>
      <c r="AJ88" s="320"/>
      <c r="AK88" s="320"/>
      <c r="AL88" s="320"/>
      <c r="AM88" s="320"/>
    </row>
    <row r="89" spans="1:39" ht="14.25" x14ac:dyDescent="0.2">
      <c r="C89" s="595"/>
      <c r="D89" s="561"/>
      <c r="E89" s="309" t="s">
        <v>928</v>
      </c>
      <c r="F89" s="392">
        <v>8.4999999999999992E-2</v>
      </c>
      <c r="G89" s="309">
        <v>0.05</v>
      </c>
      <c r="H89" s="392">
        <v>0</v>
      </c>
      <c r="I89" s="320">
        <f>D88*F89*G89*(1-H89)</f>
        <v>2099.7839008237756</v>
      </c>
      <c r="J89" s="309" t="s">
        <v>291</v>
      </c>
      <c r="K89" s="392">
        <v>0.4</v>
      </c>
      <c r="L89" s="401">
        <f t="shared" si="0"/>
        <v>1259.8703404942653</v>
      </c>
      <c r="M89" s="258"/>
      <c r="O89" s="320"/>
      <c r="P89" s="320"/>
      <c r="Q89" s="320"/>
      <c r="R89" s="320"/>
      <c r="S89" s="320"/>
      <c r="T89" s="320"/>
      <c r="U89" s="320"/>
      <c r="V89" s="320"/>
      <c r="W89" s="320"/>
      <c r="X89" s="320"/>
      <c r="Y89" s="320"/>
      <c r="Z89" s="320"/>
      <c r="AB89" s="320"/>
      <c r="AC89" s="320"/>
      <c r="AD89" s="320"/>
      <c r="AE89" s="320"/>
      <c r="AF89" s="320"/>
      <c r="AG89" s="320"/>
      <c r="AH89" s="320"/>
      <c r="AI89" s="320"/>
      <c r="AJ89" s="320"/>
      <c r="AK89" s="320"/>
      <c r="AL89" s="320"/>
      <c r="AM89" s="320"/>
    </row>
    <row r="90" spans="1:39" ht="14.25" x14ac:dyDescent="0.2">
      <c r="C90" s="595"/>
      <c r="D90" s="554"/>
      <c r="E90" s="309" t="s">
        <v>552</v>
      </c>
      <c r="F90" s="400">
        <v>0.4</v>
      </c>
      <c r="G90" s="309">
        <v>0.01</v>
      </c>
      <c r="H90" s="392">
        <v>0</v>
      </c>
      <c r="I90" s="320">
        <f>D88*F90*G90*(1-H90)</f>
        <v>1976.2672007753185</v>
      </c>
      <c r="J90" s="309" t="s">
        <v>291</v>
      </c>
      <c r="K90" s="392">
        <v>0.4</v>
      </c>
      <c r="L90" s="401">
        <f t="shared" si="0"/>
        <v>1185.7603204651912</v>
      </c>
      <c r="M90" s="258"/>
      <c r="O90" s="320"/>
      <c r="P90" s="320"/>
      <c r="Q90" s="320"/>
      <c r="R90" s="320"/>
      <c r="S90" s="320"/>
      <c r="T90" s="320"/>
      <c r="U90" s="320"/>
      <c r="V90" s="320"/>
      <c r="W90" s="320"/>
      <c r="X90" s="320"/>
      <c r="Y90" s="320"/>
      <c r="Z90" s="320"/>
      <c r="AB90" s="320"/>
      <c r="AC90" s="320"/>
      <c r="AD90" s="320"/>
      <c r="AE90" s="320"/>
      <c r="AF90" s="320"/>
      <c r="AG90" s="320"/>
      <c r="AH90" s="320"/>
      <c r="AI90" s="320"/>
      <c r="AJ90" s="320"/>
      <c r="AK90" s="320"/>
      <c r="AL90" s="320"/>
      <c r="AM90" s="320"/>
    </row>
    <row r="91" spans="1:39" ht="38.25" x14ac:dyDescent="0.2">
      <c r="A91" s="321" t="s">
        <v>830</v>
      </c>
      <c r="C91" s="312" t="s">
        <v>780</v>
      </c>
      <c r="D91" s="312">
        <v>70.980813515886226</v>
      </c>
      <c r="E91" s="308" t="s">
        <v>929</v>
      </c>
      <c r="F91" s="372">
        <v>0.1</v>
      </c>
      <c r="G91" s="361">
        <v>1E-3</v>
      </c>
      <c r="H91" s="363">
        <v>0</v>
      </c>
      <c r="I91" s="312">
        <f>D91*F91*G91*(1-H91)</f>
        <v>7.0980813515886228E-3</v>
      </c>
      <c r="J91" s="361" t="s">
        <v>291</v>
      </c>
      <c r="K91" s="363">
        <v>0</v>
      </c>
      <c r="L91" s="364">
        <f t="shared" si="0"/>
        <v>7.0980813515886228E-3</v>
      </c>
      <c r="M91" s="258"/>
      <c r="O91" s="312"/>
      <c r="P91" s="312"/>
      <c r="Q91" s="312"/>
      <c r="R91" s="312"/>
      <c r="S91" s="312"/>
      <c r="T91" s="312"/>
      <c r="U91" s="312"/>
      <c r="V91" s="312"/>
      <c r="W91" s="312"/>
      <c r="X91" s="312"/>
      <c r="Y91" s="312"/>
      <c r="Z91" s="312"/>
      <c r="AB91" s="312"/>
      <c r="AC91" s="312"/>
      <c r="AD91" s="312"/>
      <c r="AE91" s="312"/>
      <c r="AF91" s="312"/>
      <c r="AG91" s="312"/>
      <c r="AH91" s="312"/>
      <c r="AI91" s="312"/>
      <c r="AJ91" s="312"/>
      <c r="AK91" s="312"/>
      <c r="AL91" s="312"/>
      <c r="AM91" s="312"/>
    </row>
    <row r="92" spans="1:39" s="233" customFormat="1" ht="14.25" customHeight="1" x14ac:dyDescent="0.2">
      <c r="B92" s="109"/>
      <c r="C92" s="595" t="s">
        <v>781</v>
      </c>
      <c r="D92" s="560">
        <v>57897.918046513631</v>
      </c>
      <c r="E92" s="309" t="s">
        <v>925</v>
      </c>
      <c r="F92" s="392">
        <v>0.1</v>
      </c>
      <c r="G92" s="309">
        <v>1E-3</v>
      </c>
      <c r="H92" s="392">
        <v>0</v>
      </c>
      <c r="I92" s="310">
        <f>D92*F92*G92*(1-H92)</f>
        <v>5.7897918046513634</v>
      </c>
      <c r="J92" s="309" t="s">
        <v>291</v>
      </c>
      <c r="K92" s="392">
        <v>0</v>
      </c>
      <c r="L92" s="401">
        <f t="shared" si="0"/>
        <v>5.7897918046513634</v>
      </c>
      <c r="M92" s="258"/>
      <c r="O92" s="320"/>
      <c r="P92" s="320"/>
      <c r="Q92" s="320"/>
      <c r="R92" s="320"/>
      <c r="S92" s="320"/>
      <c r="T92" s="320"/>
      <c r="U92" s="320"/>
      <c r="V92" s="320"/>
      <c r="W92" s="320"/>
      <c r="X92" s="320"/>
      <c r="Y92" s="320"/>
      <c r="Z92" s="320"/>
      <c r="AB92" s="320"/>
      <c r="AC92" s="320"/>
      <c r="AD92" s="320"/>
      <c r="AE92" s="320"/>
      <c r="AF92" s="320"/>
      <c r="AG92" s="320"/>
      <c r="AH92" s="320"/>
      <c r="AI92" s="320"/>
      <c r="AJ92" s="320"/>
      <c r="AK92" s="320"/>
      <c r="AL92" s="320"/>
      <c r="AM92" s="320"/>
    </row>
    <row r="93" spans="1:39" s="233" customFormat="1" ht="14.25" x14ac:dyDescent="0.2">
      <c r="B93" s="109"/>
      <c r="C93" s="595"/>
      <c r="D93" s="554"/>
      <c r="E93" s="309" t="s">
        <v>306</v>
      </c>
      <c r="F93" s="392">
        <v>0.01</v>
      </c>
      <c r="G93" s="309">
        <v>1E-3</v>
      </c>
      <c r="H93" s="392">
        <v>0</v>
      </c>
      <c r="I93" s="322">
        <f>D92*F93*G93*(1-H93)</f>
        <v>0.5789791804651363</v>
      </c>
      <c r="J93" s="309" t="s">
        <v>291</v>
      </c>
      <c r="K93" s="392">
        <v>0.4</v>
      </c>
      <c r="L93" s="395">
        <f t="shared" si="0"/>
        <v>0.34738750827908177</v>
      </c>
      <c r="M93" s="258"/>
      <c r="O93" s="316"/>
      <c r="P93" s="316"/>
      <c r="Q93" s="316"/>
      <c r="R93" s="316"/>
      <c r="S93" s="316"/>
      <c r="T93" s="316"/>
      <c r="U93" s="316"/>
      <c r="V93" s="316"/>
      <c r="W93" s="316"/>
      <c r="X93" s="316"/>
      <c r="Y93" s="316"/>
      <c r="Z93" s="316"/>
      <c r="AB93" s="316"/>
      <c r="AC93" s="316"/>
      <c r="AD93" s="316"/>
      <c r="AE93" s="316"/>
      <c r="AF93" s="316"/>
      <c r="AG93" s="316"/>
      <c r="AH93" s="316"/>
      <c r="AI93" s="316"/>
      <c r="AJ93" s="316"/>
      <c r="AK93" s="316"/>
      <c r="AL93" s="316"/>
      <c r="AM93" s="316"/>
    </row>
    <row r="94" spans="1:39" s="233" customFormat="1" ht="25.5" x14ac:dyDescent="0.2">
      <c r="B94" s="109"/>
      <c r="C94" s="312" t="s">
        <v>782</v>
      </c>
      <c r="D94" s="312">
        <v>947.88887428801877</v>
      </c>
      <c r="E94" s="308" t="s">
        <v>930</v>
      </c>
      <c r="F94" s="363">
        <v>0.8</v>
      </c>
      <c r="G94" s="361">
        <v>1</v>
      </c>
      <c r="H94" s="363">
        <v>0</v>
      </c>
      <c r="I94" s="312">
        <f>D94*F94*G94*(1-H94)</f>
        <v>758.31109943041508</v>
      </c>
      <c r="J94" s="361" t="s">
        <v>32</v>
      </c>
      <c r="K94" s="363">
        <v>0</v>
      </c>
      <c r="L94" s="364">
        <f t="shared" si="0"/>
        <v>758.31109943041508</v>
      </c>
      <c r="M94" s="258"/>
      <c r="O94" s="312"/>
      <c r="P94" s="312"/>
      <c r="Q94" s="312"/>
      <c r="R94" s="312"/>
      <c r="S94" s="312"/>
      <c r="T94" s="312"/>
      <c r="U94" s="312"/>
      <c r="V94" s="312"/>
      <c r="W94" s="312"/>
      <c r="X94" s="312"/>
      <c r="Y94" s="312"/>
      <c r="Z94" s="312"/>
      <c r="AB94" s="312"/>
      <c r="AC94" s="312"/>
      <c r="AD94" s="312"/>
      <c r="AE94" s="312"/>
      <c r="AF94" s="312"/>
      <c r="AG94" s="312"/>
      <c r="AH94" s="312"/>
      <c r="AI94" s="312"/>
      <c r="AJ94" s="312"/>
      <c r="AK94" s="312"/>
      <c r="AL94" s="312"/>
      <c r="AM94" s="312"/>
    </row>
    <row r="95" spans="1:39" s="233" customFormat="1" ht="25.5" x14ac:dyDescent="0.2">
      <c r="B95" s="109"/>
      <c r="C95" s="312" t="s">
        <v>783</v>
      </c>
      <c r="D95" s="312">
        <v>2025.7355414110432</v>
      </c>
      <c r="E95" s="308" t="s">
        <v>930</v>
      </c>
      <c r="F95" s="363">
        <v>0.8</v>
      </c>
      <c r="G95" s="361">
        <v>1</v>
      </c>
      <c r="H95" s="363">
        <v>0</v>
      </c>
      <c r="I95" s="312">
        <f>D95*F95*G95*(1-H95)</f>
        <v>1620.5884331288346</v>
      </c>
      <c r="J95" s="361" t="s">
        <v>32</v>
      </c>
      <c r="K95" s="363">
        <v>0</v>
      </c>
      <c r="L95" s="364">
        <f t="shared" si="0"/>
        <v>1620.5884331288346</v>
      </c>
      <c r="M95" s="258"/>
      <c r="O95" s="312"/>
      <c r="P95" s="312"/>
      <c r="Q95" s="312"/>
      <c r="R95" s="312"/>
      <c r="S95" s="312"/>
      <c r="T95" s="312"/>
      <c r="U95" s="312"/>
      <c r="V95" s="312"/>
      <c r="W95" s="312"/>
      <c r="X95" s="312"/>
      <c r="Y95" s="312"/>
      <c r="Z95" s="312"/>
      <c r="AB95" s="312"/>
      <c r="AC95" s="312"/>
      <c r="AD95" s="312"/>
      <c r="AE95" s="312"/>
      <c r="AF95" s="312"/>
      <c r="AG95" s="312"/>
      <c r="AH95" s="312"/>
      <c r="AI95" s="312"/>
      <c r="AJ95" s="312"/>
      <c r="AK95" s="312"/>
      <c r="AL95" s="312"/>
      <c r="AM95" s="312"/>
    </row>
    <row r="96" spans="1:39" s="233" customFormat="1" ht="26.25" thickBot="1" x14ac:dyDescent="0.25">
      <c r="B96" s="109"/>
      <c r="C96" s="368" t="s">
        <v>784</v>
      </c>
      <c r="D96" s="368">
        <v>7047.4352666666655</v>
      </c>
      <c r="E96" s="402" t="s">
        <v>930</v>
      </c>
      <c r="F96" s="369">
        <v>0.8</v>
      </c>
      <c r="G96" s="370">
        <v>1</v>
      </c>
      <c r="H96" s="369">
        <v>0</v>
      </c>
      <c r="I96" s="368">
        <f>D96*F96*G96*(1-H96)</f>
        <v>5637.9482133333331</v>
      </c>
      <c r="J96" s="370" t="s">
        <v>32</v>
      </c>
      <c r="K96" s="369">
        <v>0</v>
      </c>
      <c r="L96" s="371">
        <f t="shared" si="0"/>
        <v>5637.9482133333331</v>
      </c>
      <c r="M96" s="258"/>
      <c r="O96" s="312"/>
      <c r="P96" s="312"/>
      <c r="Q96" s="312"/>
      <c r="R96" s="312"/>
      <c r="S96" s="312"/>
      <c r="T96" s="312"/>
      <c r="U96" s="312"/>
      <c r="V96" s="312"/>
      <c r="W96" s="312"/>
      <c r="X96" s="312"/>
      <c r="Y96" s="312"/>
      <c r="Z96" s="312"/>
      <c r="AB96" s="312"/>
      <c r="AC96" s="312"/>
      <c r="AD96" s="312"/>
      <c r="AE96" s="312"/>
      <c r="AF96" s="312"/>
      <c r="AG96" s="312"/>
      <c r="AH96" s="312"/>
      <c r="AI96" s="312"/>
      <c r="AJ96" s="312"/>
      <c r="AK96" s="312"/>
      <c r="AL96" s="312"/>
      <c r="AM96" s="312"/>
    </row>
    <row r="97" spans="1:39" ht="14.25" x14ac:dyDescent="0.2">
      <c r="M97" s="258"/>
      <c r="O97" s="322"/>
      <c r="P97" s="322"/>
      <c r="Q97" s="322"/>
      <c r="R97" s="322"/>
      <c r="S97" s="322"/>
      <c r="T97" s="322"/>
      <c r="U97" s="322"/>
      <c r="V97" s="322"/>
      <c r="W97" s="322"/>
      <c r="X97" s="322"/>
      <c r="Y97" s="322"/>
      <c r="Z97" s="322"/>
      <c r="AB97" s="322"/>
      <c r="AC97" s="322"/>
      <c r="AD97" s="322"/>
      <c r="AE97" s="322"/>
      <c r="AF97" s="322"/>
      <c r="AG97" s="322"/>
      <c r="AH97" s="322"/>
      <c r="AI97" s="322"/>
      <c r="AJ97" s="322"/>
      <c r="AK97" s="322"/>
      <c r="AL97" s="322"/>
      <c r="AM97" s="322"/>
    </row>
    <row r="98" spans="1:39" ht="15" thickBot="1" x14ac:dyDescent="0.25">
      <c r="C98" s="276" t="s">
        <v>1905</v>
      </c>
      <c r="F98" s="230"/>
      <c r="I98" s="231"/>
      <c r="M98" s="258"/>
      <c r="O98" s="322"/>
      <c r="P98" s="322"/>
      <c r="Q98" s="322"/>
      <c r="R98" s="322"/>
      <c r="S98" s="322"/>
      <c r="T98" s="322"/>
      <c r="U98" s="322"/>
      <c r="V98" s="322"/>
      <c r="W98" s="322"/>
      <c r="X98" s="322"/>
      <c r="Y98" s="322"/>
      <c r="Z98" s="322"/>
      <c r="AB98" s="322"/>
      <c r="AC98" s="322"/>
      <c r="AD98" s="322"/>
      <c r="AE98" s="322"/>
      <c r="AF98" s="322"/>
      <c r="AG98" s="322"/>
      <c r="AH98" s="322"/>
      <c r="AI98" s="322"/>
      <c r="AJ98" s="322"/>
      <c r="AK98" s="322"/>
      <c r="AL98" s="322"/>
      <c r="AM98" s="322"/>
    </row>
    <row r="99" spans="1:39" ht="12.75" customHeight="1" x14ac:dyDescent="0.2">
      <c r="C99" s="545" t="s">
        <v>803</v>
      </c>
      <c r="D99" s="543" t="s">
        <v>867</v>
      </c>
      <c r="E99" s="545" t="s">
        <v>868</v>
      </c>
      <c r="F99" s="547" t="s">
        <v>869</v>
      </c>
      <c r="G99" s="545" t="s">
        <v>870</v>
      </c>
      <c r="H99" s="547" t="s">
        <v>871</v>
      </c>
      <c r="I99" s="543" t="s">
        <v>872</v>
      </c>
      <c r="J99" s="545" t="s">
        <v>873</v>
      </c>
      <c r="K99" s="547" t="s">
        <v>874</v>
      </c>
      <c r="L99" s="549" t="s">
        <v>875</v>
      </c>
      <c r="M99" s="258"/>
      <c r="O99" s="323"/>
      <c r="P99" s="323"/>
      <c r="Q99" s="323"/>
      <c r="R99" s="323"/>
      <c r="S99" s="323"/>
      <c r="T99" s="323"/>
      <c r="U99" s="323"/>
      <c r="V99" s="323"/>
      <c r="W99" s="323"/>
      <c r="X99" s="323"/>
      <c r="Y99" s="323"/>
      <c r="Z99" s="323"/>
      <c r="AB99" s="323"/>
      <c r="AC99" s="323"/>
      <c r="AD99" s="323"/>
      <c r="AE99" s="323"/>
      <c r="AF99" s="323"/>
      <c r="AG99" s="323"/>
      <c r="AH99" s="323"/>
      <c r="AI99" s="323"/>
      <c r="AJ99" s="323"/>
      <c r="AK99" s="323"/>
      <c r="AL99" s="323"/>
      <c r="AM99" s="323"/>
    </row>
    <row r="100" spans="1:39" ht="15" thickBot="1" x14ac:dyDescent="0.25">
      <c r="C100" s="546"/>
      <c r="D100" s="544"/>
      <c r="E100" s="546"/>
      <c r="F100" s="548"/>
      <c r="G100" s="546"/>
      <c r="H100" s="548"/>
      <c r="I100" s="544"/>
      <c r="J100" s="546"/>
      <c r="K100" s="548"/>
      <c r="L100" s="550"/>
      <c r="M100" s="258"/>
      <c r="O100" s="323"/>
      <c r="P100" s="323"/>
      <c r="Q100" s="323"/>
      <c r="R100" s="323"/>
      <c r="S100" s="323"/>
      <c r="T100" s="323"/>
      <c r="U100" s="323"/>
      <c r="V100" s="323"/>
      <c r="W100" s="323"/>
      <c r="X100" s="323"/>
      <c r="Y100" s="323"/>
      <c r="Z100" s="323"/>
      <c r="AB100" s="323"/>
      <c r="AC100" s="323"/>
      <c r="AD100" s="323"/>
      <c r="AE100" s="323"/>
      <c r="AF100" s="323"/>
      <c r="AG100" s="323"/>
      <c r="AH100" s="323"/>
      <c r="AI100" s="323"/>
      <c r="AJ100" s="323"/>
      <c r="AK100" s="323"/>
      <c r="AL100" s="323"/>
      <c r="AM100" s="323"/>
    </row>
    <row r="101" spans="1:39" s="233" customFormat="1" ht="14.25" x14ac:dyDescent="0.2">
      <c r="B101" s="109"/>
      <c r="C101" s="262" t="s">
        <v>931</v>
      </c>
      <c r="D101" s="262">
        <v>204711.86440677967</v>
      </c>
      <c r="E101" s="384" t="s">
        <v>816</v>
      </c>
      <c r="F101" s="358">
        <v>0.31</v>
      </c>
      <c r="G101" s="261">
        <v>0.05</v>
      </c>
      <c r="H101" s="358">
        <v>0</v>
      </c>
      <c r="I101" s="262">
        <f t="shared" ref="I101:I110" si="17">D101*F101*G101*(1-H101)</f>
        <v>3173.0338983050851</v>
      </c>
      <c r="J101" s="261" t="s">
        <v>291</v>
      </c>
      <c r="K101" s="358">
        <v>0.6</v>
      </c>
      <c r="L101" s="359">
        <f t="shared" ref="L101:L106" si="18">I101*(1-K101)</f>
        <v>1269.2135593220341</v>
      </c>
      <c r="M101" s="258"/>
      <c r="O101" s="312"/>
      <c r="P101" s="312"/>
      <c r="Q101" s="312"/>
      <c r="R101" s="312"/>
      <c r="S101" s="312"/>
      <c r="T101" s="312"/>
      <c r="U101" s="312"/>
      <c r="V101" s="312"/>
      <c r="W101" s="312"/>
      <c r="X101" s="312"/>
      <c r="Y101" s="312"/>
      <c r="Z101" s="312"/>
      <c r="AB101" s="312"/>
      <c r="AC101" s="312"/>
      <c r="AD101" s="312"/>
      <c r="AE101" s="312"/>
      <c r="AF101" s="312"/>
      <c r="AG101" s="312"/>
      <c r="AH101" s="312"/>
      <c r="AI101" s="312"/>
      <c r="AJ101" s="312"/>
      <c r="AK101" s="312"/>
      <c r="AL101" s="312"/>
      <c r="AM101" s="312"/>
    </row>
    <row r="102" spans="1:39" ht="14.25" x14ac:dyDescent="0.2">
      <c r="C102" s="320" t="s">
        <v>786</v>
      </c>
      <c r="D102" s="320">
        <v>42509.169090458628</v>
      </c>
      <c r="E102" s="309" t="s">
        <v>816</v>
      </c>
      <c r="F102" s="392">
        <v>0.36499999999999999</v>
      </c>
      <c r="G102" s="403">
        <v>0.05</v>
      </c>
      <c r="H102" s="392">
        <v>0</v>
      </c>
      <c r="I102" s="320">
        <f t="shared" si="17"/>
        <v>775.79233590087006</v>
      </c>
      <c r="J102" s="309" t="s">
        <v>291</v>
      </c>
      <c r="K102" s="392">
        <v>0.6</v>
      </c>
      <c r="L102" s="401">
        <f t="shared" si="18"/>
        <v>310.31693436034806</v>
      </c>
      <c r="M102" s="258"/>
      <c r="O102" s="320"/>
      <c r="P102" s="320"/>
      <c r="Q102" s="320"/>
      <c r="R102" s="320"/>
      <c r="S102" s="320"/>
      <c r="T102" s="320"/>
      <c r="U102" s="320"/>
      <c r="V102" s="320"/>
      <c r="W102" s="320"/>
      <c r="X102" s="320"/>
      <c r="Y102" s="320"/>
      <c r="Z102" s="320"/>
      <c r="AB102" s="320"/>
      <c r="AC102" s="320"/>
      <c r="AD102" s="320"/>
      <c r="AE102" s="320"/>
      <c r="AF102" s="320"/>
      <c r="AG102" s="320"/>
      <c r="AH102" s="320"/>
      <c r="AI102" s="320"/>
      <c r="AJ102" s="320"/>
      <c r="AK102" s="320"/>
      <c r="AL102" s="320"/>
      <c r="AM102" s="320"/>
    </row>
    <row r="103" spans="1:39" ht="14.25" x14ac:dyDescent="0.2">
      <c r="C103" s="262" t="s">
        <v>932</v>
      </c>
      <c r="D103" s="320">
        <v>0</v>
      </c>
      <c r="E103" s="309" t="s">
        <v>816</v>
      </c>
      <c r="F103" s="400">
        <v>1E-3</v>
      </c>
      <c r="G103" s="403">
        <v>0.05</v>
      </c>
      <c r="H103" s="392">
        <v>0</v>
      </c>
      <c r="I103" s="320">
        <f t="shared" si="17"/>
        <v>0</v>
      </c>
      <c r="J103" s="309" t="s">
        <v>291</v>
      </c>
      <c r="K103" s="392">
        <v>0</v>
      </c>
      <c r="L103" s="401">
        <f t="shared" si="18"/>
        <v>0</v>
      </c>
      <c r="M103" s="258"/>
      <c r="O103" s="320"/>
      <c r="P103" s="320"/>
      <c r="Q103" s="320"/>
      <c r="R103" s="320"/>
      <c r="S103" s="320"/>
      <c r="T103" s="320"/>
      <c r="U103" s="320"/>
      <c r="V103" s="320"/>
      <c r="W103" s="320"/>
      <c r="X103" s="320"/>
      <c r="Y103" s="320"/>
      <c r="Z103" s="320"/>
      <c r="AB103" s="320"/>
      <c r="AC103" s="320"/>
      <c r="AD103" s="320"/>
      <c r="AE103" s="320"/>
      <c r="AF103" s="320"/>
      <c r="AG103" s="320"/>
      <c r="AH103" s="320"/>
      <c r="AI103" s="320"/>
      <c r="AJ103" s="320"/>
      <c r="AK103" s="320"/>
      <c r="AL103" s="320"/>
      <c r="AM103" s="320"/>
    </row>
    <row r="104" spans="1:39" s="233" customFormat="1" ht="14.25" x14ac:dyDescent="0.2">
      <c r="B104" s="109"/>
      <c r="C104" s="312" t="s">
        <v>787</v>
      </c>
      <c r="D104" s="312">
        <v>223612.62</v>
      </c>
      <c r="E104" s="361" t="s">
        <v>819</v>
      </c>
      <c r="F104" s="363">
        <v>0.49</v>
      </c>
      <c r="G104" s="325">
        <v>0.05</v>
      </c>
      <c r="H104" s="363">
        <v>0</v>
      </c>
      <c r="I104" s="312">
        <f t="shared" si="17"/>
        <v>5478.5091900000007</v>
      </c>
      <c r="J104" s="361" t="s">
        <v>291</v>
      </c>
      <c r="K104" s="363">
        <v>0.6</v>
      </c>
      <c r="L104" s="364">
        <f t="shared" si="18"/>
        <v>2191.4036760000004</v>
      </c>
      <c r="M104" s="258"/>
      <c r="O104" s="312"/>
      <c r="P104" s="312"/>
      <c r="Q104" s="312"/>
      <c r="R104" s="312"/>
      <c r="S104" s="312"/>
      <c r="T104" s="312"/>
      <c r="U104" s="312"/>
      <c r="V104" s="312"/>
      <c r="W104" s="312"/>
      <c r="X104" s="312"/>
      <c r="Y104" s="312"/>
      <c r="Z104" s="312"/>
      <c r="AB104" s="312"/>
      <c r="AC104" s="312"/>
      <c r="AD104" s="312"/>
      <c r="AE104" s="312"/>
      <c r="AF104" s="312"/>
      <c r="AG104" s="312"/>
      <c r="AH104" s="312"/>
      <c r="AI104" s="312"/>
      <c r="AJ104" s="312"/>
      <c r="AK104" s="312"/>
      <c r="AL104" s="312"/>
      <c r="AM104" s="312"/>
    </row>
    <row r="105" spans="1:39" s="233" customFormat="1" ht="14.25" x14ac:dyDescent="0.2">
      <c r="B105" s="109"/>
      <c r="C105" s="312" t="s">
        <v>933</v>
      </c>
      <c r="D105" s="312">
        <v>1235894.7108497033</v>
      </c>
      <c r="E105" s="361" t="s">
        <v>934</v>
      </c>
      <c r="F105" s="363">
        <v>0.31</v>
      </c>
      <c r="G105" s="361">
        <v>1E-3</v>
      </c>
      <c r="H105" s="363">
        <v>0</v>
      </c>
      <c r="I105" s="324">
        <f t="shared" si="17"/>
        <v>383.127360363408</v>
      </c>
      <c r="J105" s="361" t="s">
        <v>291</v>
      </c>
      <c r="K105" s="363">
        <v>0.4</v>
      </c>
      <c r="L105" s="366">
        <f t="shared" si="18"/>
        <v>229.8764162180448</v>
      </c>
      <c r="M105" s="258"/>
      <c r="O105" s="324"/>
      <c r="P105" s="324"/>
      <c r="Q105" s="324"/>
      <c r="R105" s="324"/>
      <c r="S105" s="324"/>
      <c r="T105" s="324"/>
      <c r="U105" s="324"/>
      <c r="V105" s="324"/>
      <c r="W105" s="324"/>
      <c r="X105" s="324"/>
      <c r="Y105" s="324"/>
      <c r="Z105" s="324"/>
      <c r="AB105" s="324"/>
      <c r="AC105" s="324"/>
      <c r="AD105" s="324"/>
      <c r="AE105" s="324"/>
      <c r="AF105" s="324"/>
      <c r="AG105" s="324"/>
      <c r="AH105" s="324"/>
      <c r="AI105" s="324"/>
      <c r="AJ105" s="324"/>
      <c r="AK105" s="324"/>
      <c r="AL105" s="324"/>
      <c r="AM105" s="324"/>
    </row>
    <row r="106" spans="1:39" s="233" customFormat="1" ht="14.25" x14ac:dyDescent="0.2">
      <c r="A106" s="317" t="s">
        <v>830</v>
      </c>
      <c r="B106" s="109"/>
      <c r="C106" s="312" t="s">
        <v>788</v>
      </c>
      <c r="D106" s="312">
        <v>761814.35515430884</v>
      </c>
      <c r="E106" s="309" t="s">
        <v>310</v>
      </c>
      <c r="F106" s="363">
        <v>0.25</v>
      </c>
      <c r="G106" s="361">
        <v>1E-3</v>
      </c>
      <c r="H106" s="363">
        <v>0</v>
      </c>
      <c r="I106" s="324">
        <f t="shared" si="17"/>
        <v>190.45358878857721</v>
      </c>
      <c r="J106" s="361" t="s">
        <v>291</v>
      </c>
      <c r="K106" s="363">
        <v>0</v>
      </c>
      <c r="L106" s="366">
        <f t="shared" si="18"/>
        <v>190.45358878857721</v>
      </c>
      <c r="M106" s="258"/>
      <c r="O106" s="324"/>
      <c r="P106" s="324"/>
      <c r="Q106" s="324"/>
      <c r="R106" s="324"/>
      <c r="S106" s="324"/>
      <c r="T106" s="324"/>
      <c r="U106" s="324"/>
      <c r="V106" s="324"/>
      <c r="W106" s="324"/>
      <c r="X106" s="324"/>
      <c r="Y106" s="324"/>
      <c r="Z106" s="324"/>
      <c r="AB106" s="324"/>
      <c r="AC106" s="324"/>
      <c r="AD106" s="324"/>
      <c r="AE106" s="324"/>
      <c r="AF106" s="324"/>
      <c r="AG106" s="324"/>
      <c r="AH106" s="324"/>
      <c r="AI106" s="324"/>
      <c r="AJ106" s="324"/>
      <c r="AK106" s="324"/>
      <c r="AL106" s="324"/>
      <c r="AM106" s="324"/>
    </row>
    <row r="107" spans="1:39" ht="14.25" x14ac:dyDescent="0.25">
      <c r="C107" s="320" t="s">
        <v>789</v>
      </c>
      <c r="D107" s="320">
        <v>190532.55349371347</v>
      </c>
      <c r="E107" s="309" t="s">
        <v>935</v>
      </c>
      <c r="F107" s="392">
        <v>0.69499999999999995</v>
      </c>
      <c r="G107" s="322">
        <v>0.4</v>
      </c>
      <c r="H107" s="392">
        <v>0.9</v>
      </c>
      <c r="I107" s="320">
        <f t="shared" si="17"/>
        <v>5296.8049871252333</v>
      </c>
      <c r="J107" s="309" t="s">
        <v>291</v>
      </c>
      <c r="K107" s="392">
        <v>0.4</v>
      </c>
      <c r="L107" s="401">
        <f t="shared" ref="L107:L115" si="19">I107*(1-K107)</f>
        <v>3178.08299227514</v>
      </c>
      <c r="M107" s="258"/>
      <c r="O107" s="320"/>
      <c r="P107" s="320"/>
      <c r="Q107" s="320"/>
      <c r="R107" s="320"/>
      <c r="S107" s="320"/>
      <c r="T107" s="320"/>
      <c r="U107" s="320"/>
      <c r="V107" s="320"/>
      <c r="W107" s="320"/>
      <c r="X107" s="320"/>
      <c r="Y107" s="320"/>
      <c r="Z107" s="320"/>
      <c r="AB107" s="320"/>
      <c r="AC107" s="320"/>
      <c r="AD107" s="320"/>
      <c r="AE107" s="320"/>
      <c r="AF107" s="320"/>
      <c r="AG107" s="320"/>
      <c r="AH107" s="320"/>
      <c r="AI107" s="320"/>
      <c r="AJ107" s="320"/>
      <c r="AK107" s="320"/>
      <c r="AL107" s="320"/>
      <c r="AM107" s="320"/>
    </row>
    <row r="108" spans="1:39" ht="14.25" x14ac:dyDescent="0.2">
      <c r="A108" s="317" t="s">
        <v>830</v>
      </c>
      <c r="C108" s="320" t="s">
        <v>790</v>
      </c>
      <c r="D108" s="320">
        <v>110576.74427648453</v>
      </c>
      <c r="E108" s="309" t="s">
        <v>936</v>
      </c>
      <c r="F108" s="392">
        <v>5.0500000000000003E-2</v>
      </c>
      <c r="G108" s="314">
        <v>1E-3</v>
      </c>
      <c r="H108" s="392">
        <v>0</v>
      </c>
      <c r="I108" s="320">
        <f t="shared" si="17"/>
        <v>5.584125585962469</v>
      </c>
      <c r="J108" s="309"/>
      <c r="K108" s="392">
        <v>0</v>
      </c>
      <c r="L108" s="401">
        <f t="shared" si="19"/>
        <v>5.584125585962469</v>
      </c>
      <c r="M108" s="258"/>
      <c r="O108" s="320"/>
      <c r="P108" s="320"/>
      <c r="Q108" s="320"/>
      <c r="R108" s="320"/>
      <c r="S108" s="320"/>
      <c r="T108" s="320"/>
      <c r="U108" s="320"/>
      <c r="V108" s="320"/>
      <c r="W108" s="320"/>
      <c r="X108" s="320"/>
      <c r="Y108" s="320"/>
      <c r="Z108" s="320"/>
      <c r="AB108" s="320"/>
      <c r="AC108" s="320"/>
      <c r="AD108" s="320"/>
      <c r="AE108" s="320"/>
      <c r="AF108" s="320"/>
      <c r="AG108" s="320"/>
      <c r="AH108" s="320"/>
      <c r="AI108" s="320"/>
      <c r="AJ108" s="320"/>
      <c r="AK108" s="320"/>
      <c r="AL108" s="320"/>
      <c r="AM108" s="320"/>
    </row>
    <row r="109" spans="1:39" ht="14.25" x14ac:dyDescent="0.25">
      <c r="C109" s="320" t="s">
        <v>791</v>
      </c>
      <c r="D109" s="320">
        <v>259662.02047369222</v>
      </c>
      <c r="E109" s="309" t="s">
        <v>937</v>
      </c>
      <c r="F109" s="392">
        <v>0.86</v>
      </c>
      <c r="G109" s="309">
        <v>1E-3</v>
      </c>
      <c r="H109" s="392">
        <v>0</v>
      </c>
      <c r="I109" s="310">
        <f t="shared" si="17"/>
        <v>223.30933760737531</v>
      </c>
      <c r="J109" s="309" t="s">
        <v>291</v>
      </c>
      <c r="K109" s="392">
        <v>0.4</v>
      </c>
      <c r="L109" s="393">
        <f t="shared" si="19"/>
        <v>133.98560256442519</v>
      </c>
      <c r="M109" s="258"/>
      <c r="O109" s="310"/>
      <c r="P109" s="310"/>
      <c r="Q109" s="310"/>
      <c r="R109" s="310"/>
      <c r="S109" s="310"/>
      <c r="T109" s="310"/>
      <c r="U109" s="310"/>
      <c r="V109" s="310"/>
      <c r="W109" s="310"/>
      <c r="X109" s="310"/>
      <c r="Y109" s="310"/>
      <c r="Z109" s="310"/>
      <c r="AB109" s="310"/>
      <c r="AC109" s="310"/>
      <c r="AD109" s="310"/>
      <c r="AE109" s="310"/>
      <c r="AF109" s="310"/>
      <c r="AG109" s="310"/>
      <c r="AH109" s="310"/>
      <c r="AI109" s="310"/>
      <c r="AJ109" s="310"/>
      <c r="AK109" s="310"/>
      <c r="AL109" s="310"/>
      <c r="AM109" s="310"/>
    </row>
    <row r="110" spans="1:39" s="233" customFormat="1" ht="14.25" customHeight="1" x14ac:dyDescent="0.2">
      <c r="B110" s="109"/>
      <c r="C110" s="312" t="s">
        <v>792</v>
      </c>
      <c r="D110" s="312">
        <v>15844.433461495715</v>
      </c>
      <c r="E110" s="361" t="s">
        <v>938</v>
      </c>
      <c r="F110" s="363">
        <v>0.45500000000000002</v>
      </c>
      <c r="G110" s="361">
        <v>1E-3</v>
      </c>
      <c r="H110" s="363">
        <v>0</v>
      </c>
      <c r="I110" s="313">
        <f t="shared" si="17"/>
        <v>7.2092172249805513</v>
      </c>
      <c r="J110" s="361" t="s">
        <v>291</v>
      </c>
      <c r="K110" s="363">
        <v>0</v>
      </c>
      <c r="L110" s="365">
        <f t="shared" si="19"/>
        <v>7.2092172249805513</v>
      </c>
      <c r="M110" s="258"/>
      <c r="O110" s="313"/>
      <c r="P110" s="313"/>
      <c r="Q110" s="313"/>
      <c r="R110" s="313"/>
      <c r="S110" s="313"/>
      <c r="T110" s="313"/>
      <c r="U110" s="313"/>
      <c r="V110" s="313"/>
      <c r="W110" s="313"/>
      <c r="X110" s="313"/>
      <c r="Y110" s="313"/>
      <c r="Z110" s="313"/>
      <c r="AB110" s="313"/>
      <c r="AC110" s="313"/>
      <c r="AD110" s="313"/>
      <c r="AE110" s="313"/>
      <c r="AF110" s="313"/>
      <c r="AG110" s="313"/>
      <c r="AH110" s="313"/>
      <c r="AI110" s="313"/>
      <c r="AJ110" s="313"/>
      <c r="AK110" s="313"/>
      <c r="AL110" s="313"/>
      <c r="AM110" s="313"/>
    </row>
    <row r="111" spans="1:39" s="233" customFormat="1" ht="14.25" customHeight="1" x14ac:dyDescent="0.2">
      <c r="B111" s="109"/>
      <c r="C111" s="318" t="s">
        <v>939</v>
      </c>
      <c r="D111" s="318">
        <v>158.55500000000001</v>
      </c>
      <c r="E111" s="361" t="s">
        <v>360</v>
      </c>
      <c r="F111" s="390">
        <v>1E-3</v>
      </c>
      <c r="G111" s="361">
        <v>1E-3</v>
      </c>
      <c r="H111" s="392">
        <v>0</v>
      </c>
      <c r="I111" s="320">
        <v>0</v>
      </c>
      <c r="J111" s="309" t="s">
        <v>291</v>
      </c>
      <c r="K111" s="392">
        <v>0</v>
      </c>
      <c r="L111" s="365">
        <f t="shared" ref="L111" si="20">I111*(1-K111)</f>
        <v>0</v>
      </c>
      <c r="M111" s="258"/>
      <c r="O111" s="313"/>
      <c r="P111" s="313"/>
      <c r="Q111" s="313"/>
      <c r="R111" s="313"/>
      <c r="S111" s="313"/>
      <c r="T111" s="313"/>
      <c r="U111" s="313"/>
      <c r="V111" s="313"/>
      <c r="W111" s="313"/>
      <c r="X111" s="313"/>
      <c r="Y111" s="313"/>
      <c r="Z111" s="313"/>
      <c r="AB111" s="313"/>
      <c r="AC111" s="313"/>
      <c r="AD111" s="313"/>
      <c r="AE111" s="313"/>
      <c r="AF111" s="313"/>
      <c r="AG111" s="313"/>
      <c r="AH111" s="313"/>
      <c r="AI111" s="313"/>
      <c r="AJ111" s="313"/>
      <c r="AK111" s="313"/>
      <c r="AL111" s="313"/>
      <c r="AM111" s="313"/>
    </row>
    <row r="112" spans="1:39" s="233" customFormat="1" ht="14.25" customHeight="1" x14ac:dyDescent="0.2">
      <c r="B112" s="109"/>
      <c r="C112" s="312" t="s">
        <v>940</v>
      </c>
      <c r="D112" s="318">
        <v>158.55500000000001</v>
      </c>
      <c r="E112" s="361" t="s">
        <v>360</v>
      </c>
      <c r="F112" s="390">
        <v>1E-3</v>
      </c>
      <c r="G112" s="361">
        <v>1E-3</v>
      </c>
      <c r="H112" s="392">
        <v>0</v>
      </c>
      <c r="I112" s="320">
        <f>D112*F112*G112*(1-H112)</f>
        <v>1.58555E-4</v>
      </c>
      <c r="J112" s="309" t="s">
        <v>291</v>
      </c>
      <c r="K112" s="392">
        <v>0</v>
      </c>
      <c r="L112" s="365">
        <f t="shared" si="19"/>
        <v>1.58555E-4</v>
      </c>
      <c r="M112" s="258"/>
      <c r="O112" s="313"/>
      <c r="P112" s="313"/>
      <c r="Q112" s="313"/>
      <c r="R112" s="313"/>
      <c r="S112" s="313"/>
      <c r="T112" s="313"/>
      <c r="U112" s="313"/>
      <c r="V112" s="313"/>
      <c r="W112" s="313"/>
      <c r="X112" s="313"/>
      <c r="Y112" s="313"/>
      <c r="Z112" s="313"/>
      <c r="AB112" s="313"/>
      <c r="AC112" s="313"/>
      <c r="AD112" s="313"/>
      <c r="AE112" s="313"/>
      <c r="AF112" s="313"/>
      <c r="AG112" s="313"/>
      <c r="AH112" s="313"/>
      <c r="AI112" s="313"/>
      <c r="AJ112" s="313"/>
      <c r="AK112" s="313"/>
      <c r="AL112" s="313"/>
      <c r="AM112" s="313"/>
    </row>
    <row r="113" spans="2:39" ht="14.25" x14ac:dyDescent="0.2">
      <c r="C113" s="595" t="s">
        <v>793</v>
      </c>
      <c r="D113" s="560">
        <v>0</v>
      </c>
      <c r="E113" s="309" t="s">
        <v>310</v>
      </c>
      <c r="F113" s="392">
        <v>0.25</v>
      </c>
      <c r="G113" s="309">
        <v>1E-3</v>
      </c>
      <c r="H113" s="392">
        <v>0</v>
      </c>
      <c r="I113" s="310">
        <f>D113*F113*G113*(1-H113)</f>
        <v>0</v>
      </c>
      <c r="J113" s="309" t="s">
        <v>291</v>
      </c>
      <c r="K113" s="392">
        <v>0</v>
      </c>
      <c r="L113" s="393">
        <f t="shared" si="19"/>
        <v>0</v>
      </c>
      <c r="M113" s="258"/>
      <c r="O113" s="310"/>
      <c r="P113" s="310"/>
      <c r="Q113" s="310"/>
      <c r="R113" s="310"/>
      <c r="S113" s="310"/>
      <c r="T113" s="310"/>
      <c r="U113" s="310"/>
      <c r="V113" s="310"/>
      <c r="W113" s="310"/>
      <c r="X113" s="310"/>
      <c r="Y113" s="310"/>
      <c r="Z113" s="310"/>
      <c r="AB113" s="310"/>
      <c r="AC113" s="310"/>
      <c r="AD113" s="310"/>
      <c r="AE113" s="310"/>
      <c r="AF113" s="310"/>
      <c r="AG113" s="310"/>
      <c r="AH113" s="310"/>
      <c r="AI113" s="310"/>
      <c r="AJ113" s="310"/>
      <c r="AK113" s="310"/>
      <c r="AL113" s="310"/>
      <c r="AM113" s="310"/>
    </row>
    <row r="114" spans="2:39" s="233" customFormat="1" ht="14.25" customHeight="1" x14ac:dyDescent="0.2">
      <c r="B114" s="109"/>
      <c r="C114" s="595"/>
      <c r="D114" s="554"/>
      <c r="E114" s="308" t="s">
        <v>941</v>
      </c>
      <c r="F114" s="372">
        <v>0.01</v>
      </c>
      <c r="G114" s="361">
        <v>1E-3</v>
      </c>
      <c r="H114" s="363">
        <v>0</v>
      </c>
      <c r="I114" s="325">
        <f>D113*F114*G114*(1-H114)</f>
        <v>0</v>
      </c>
      <c r="J114" s="361" t="s">
        <v>291</v>
      </c>
      <c r="K114" s="363">
        <v>0</v>
      </c>
      <c r="L114" s="376">
        <f t="shared" si="19"/>
        <v>0</v>
      </c>
      <c r="M114" s="258"/>
      <c r="O114" s="325"/>
      <c r="P114" s="325"/>
      <c r="Q114" s="325"/>
      <c r="R114" s="325"/>
      <c r="S114" s="325"/>
      <c r="T114" s="325"/>
      <c r="U114" s="325"/>
      <c r="V114" s="325"/>
      <c r="W114" s="325"/>
      <c r="X114" s="325"/>
      <c r="Y114" s="325"/>
      <c r="Z114" s="325"/>
      <c r="AB114" s="325"/>
      <c r="AC114" s="325"/>
      <c r="AD114" s="325"/>
      <c r="AE114" s="325"/>
      <c r="AF114" s="325"/>
      <c r="AG114" s="325"/>
      <c r="AH114" s="325"/>
      <c r="AI114" s="325"/>
      <c r="AJ114" s="325"/>
      <c r="AK114" s="325"/>
      <c r="AL114" s="325"/>
      <c r="AM114" s="325"/>
    </row>
    <row r="115" spans="2:39" s="233" customFormat="1" ht="25.5" x14ac:dyDescent="0.2">
      <c r="B115" s="109"/>
      <c r="C115" s="595" t="s">
        <v>794</v>
      </c>
      <c r="D115" s="560">
        <v>256617.55232181959</v>
      </c>
      <c r="E115" s="399" t="s">
        <v>942</v>
      </c>
      <c r="F115" s="363">
        <v>0.05</v>
      </c>
      <c r="G115" s="361">
        <v>1E-3</v>
      </c>
      <c r="H115" s="363">
        <v>0</v>
      </c>
      <c r="I115" s="324">
        <f>D115*F115*G115*(1-H115)</f>
        <v>12.83087761609098</v>
      </c>
      <c r="J115" s="361" t="s">
        <v>291</v>
      </c>
      <c r="K115" s="363">
        <v>0</v>
      </c>
      <c r="L115" s="364">
        <f t="shared" si="19"/>
        <v>12.83087761609098</v>
      </c>
      <c r="M115" s="258"/>
      <c r="O115" s="312"/>
      <c r="P115" s="312"/>
      <c r="Q115" s="312"/>
      <c r="R115" s="312"/>
      <c r="S115" s="312"/>
      <c r="T115" s="312"/>
      <c r="U115" s="312"/>
      <c r="V115" s="312"/>
      <c r="W115" s="312"/>
      <c r="X115" s="312"/>
      <c r="Y115" s="312"/>
      <c r="Z115" s="312"/>
      <c r="AB115" s="312"/>
      <c r="AC115" s="312"/>
      <c r="AD115" s="312"/>
      <c r="AE115" s="312"/>
      <c r="AF115" s="312"/>
      <c r="AG115" s="312"/>
      <c r="AH115" s="312"/>
      <c r="AI115" s="312"/>
      <c r="AJ115" s="312"/>
      <c r="AK115" s="312"/>
      <c r="AL115" s="312"/>
      <c r="AM115" s="312"/>
    </row>
    <row r="116" spans="2:39" ht="14.25" x14ac:dyDescent="0.2">
      <c r="C116" s="595"/>
      <c r="D116" s="554"/>
      <c r="E116" s="399" t="s">
        <v>941</v>
      </c>
      <c r="F116" s="392">
        <v>0.01</v>
      </c>
      <c r="G116" s="361">
        <v>1E-3</v>
      </c>
      <c r="H116" s="363">
        <v>0</v>
      </c>
      <c r="I116" s="313">
        <f>D115*F116*G116*(1-H116)</f>
        <v>2.5661755232181958</v>
      </c>
      <c r="J116" s="361" t="s">
        <v>291</v>
      </c>
      <c r="K116" s="363">
        <v>0</v>
      </c>
      <c r="L116" s="364">
        <f>I116*(1-K116)</f>
        <v>2.5661755232181958</v>
      </c>
      <c r="M116" s="258"/>
      <c r="O116" s="312"/>
      <c r="P116" s="312"/>
      <c r="Q116" s="312"/>
      <c r="R116" s="312"/>
      <c r="S116" s="312"/>
      <c r="T116" s="312"/>
      <c r="U116" s="312"/>
      <c r="V116" s="312"/>
      <c r="W116" s="312"/>
      <c r="X116" s="312"/>
      <c r="Y116" s="312"/>
      <c r="Z116" s="312"/>
      <c r="AB116" s="312"/>
      <c r="AC116" s="312"/>
      <c r="AD116" s="312"/>
      <c r="AE116" s="312"/>
      <c r="AF116" s="312"/>
      <c r="AG116" s="312"/>
      <c r="AH116" s="312"/>
      <c r="AI116" s="312"/>
      <c r="AJ116" s="312"/>
      <c r="AK116" s="312"/>
      <c r="AL116" s="312"/>
      <c r="AM116" s="312"/>
    </row>
    <row r="117" spans="2:39" ht="14.25" x14ac:dyDescent="0.2">
      <c r="C117" s="560" t="s">
        <v>943</v>
      </c>
      <c r="D117" s="560">
        <v>954</v>
      </c>
      <c r="E117" s="399" t="s">
        <v>877</v>
      </c>
      <c r="F117" s="391">
        <v>8.0000000000000007E-5</v>
      </c>
      <c r="G117" s="361">
        <v>1E-3</v>
      </c>
      <c r="H117" s="363">
        <v>0</v>
      </c>
      <c r="I117" s="313">
        <f>D117*F117*G117*(1-H117)</f>
        <v>7.6320000000000015E-5</v>
      </c>
      <c r="J117" s="361" t="s">
        <v>291</v>
      </c>
      <c r="K117" s="363">
        <v>0</v>
      </c>
      <c r="L117" s="388">
        <f>I117*(1-K117)</f>
        <v>7.6320000000000015E-5</v>
      </c>
      <c r="M117" s="258"/>
      <c r="O117" s="311">
        <f t="shared" ref="O117:Z126" si="21">IF($E117=O$3,$D$117*$F117,"-")</f>
        <v>7.6320000000000013E-2</v>
      </c>
      <c r="P117" s="311" t="str">
        <f t="shared" si="21"/>
        <v>-</v>
      </c>
      <c r="Q117" s="311" t="str">
        <f t="shared" si="21"/>
        <v>-</v>
      </c>
      <c r="R117" s="311" t="str">
        <f t="shared" si="21"/>
        <v>-</v>
      </c>
      <c r="S117" s="311" t="str">
        <f t="shared" si="21"/>
        <v>-</v>
      </c>
      <c r="T117" s="311" t="str">
        <f t="shared" si="21"/>
        <v>-</v>
      </c>
      <c r="U117" s="311" t="str">
        <f t="shared" si="21"/>
        <v>-</v>
      </c>
      <c r="V117" s="311" t="str">
        <f t="shared" si="21"/>
        <v>-</v>
      </c>
      <c r="W117" s="311" t="str">
        <f t="shared" si="21"/>
        <v>-</v>
      </c>
      <c r="X117" s="311" t="str">
        <f t="shared" si="21"/>
        <v>-</v>
      </c>
      <c r="Y117" s="311" t="str">
        <f t="shared" si="21"/>
        <v>-</v>
      </c>
      <c r="Z117" s="311" t="str">
        <f t="shared" si="21"/>
        <v>-</v>
      </c>
      <c r="AB117" s="311" t="e">
        <f>IF($E117=AB$3,#REF!*$F117,"-")</f>
        <v>#REF!</v>
      </c>
      <c r="AC117" s="311" t="str">
        <f>IF($E117=AC$3,#REF!*$F117,"-")</f>
        <v>-</v>
      </c>
      <c r="AD117" s="311" t="str">
        <f>IF($E117=AD$3,#REF!*$F117,"-")</f>
        <v>-</v>
      </c>
      <c r="AE117" s="311" t="str">
        <f>IF($E117=AE$3,#REF!*$F117,"-")</f>
        <v>-</v>
      </c>
      <c r="AF117" s="311" t="str">
        <f>IF($E117=AF$3,#REF!*$F117,"-")</f>
        <v>-</v>
      </c>
      <c r="AG117" s="311" t="str">
        <f>IF($E117=AG$3,#REF!*$F117,"-")</f>
        <v>-</v>
      </c>
      <c r="AH117" s="311" t="str">
        <f>IF($E117=AH$3,#REF!*$F117,"-")</f>
        <v>-</v>
      </c>
      <c r="AI117" s="311" t="str">
        <f>IF($E117=AI$3,#REF!*$F117,"-")</f>
        <v>-</v>
      </c>
      <c r="AJ117" s="311" t="str">
        <f>IF($E117=AJ$3,#REF!*$F117,"-")</f>
        <v>-</v>
      </c>
      <c r="AK117" s="311" t="str">
        <f>IF($E117=AK$3,#REF!*$F117,"-")</f>
        <v>-</v>
      </c>
      <c r="AL117" s="311" t="str">
        <f>IF($E117=AL$3,#REF!*$F117,"-")</f>
        <v>-</v>
      </c>
      <c r="AM117" s="311" t="str">
        <f>IF($E117=AM$3,#REF!*$F117,"-")</f>
        <v>-</v>
      </c>
    </row>
    <row r="118" spans="2:39" ht="14.25" x14ac:dyDescent="0.2">
      <c r="C118" s="561"/>
      <c r="D118" s="561"/>
      <c r="E118" s="399" t="s">
        <v>896</v>
      </c>
      <c r="F118" s="391">
        <v>3.5000000000000004E-5</v>
      </c>
      <c r="G118" s="361">
        <v>1E-3</v>
      </c>
      <c r="H118" s="363">
        <v>0</v>
      </c>
      <c r="I118" s="313">
        <f>D117*F118*G118*(1-H118)</f>
        <v>3.3390000000000004E-5</v>
      </c>
      <c r="J118" s="361" t="s">
        <v>291</v>
      </c>
      <c r="K118" s="363">
        <v>0</v>
      </c>
      <c r="L118" s="388">
        <f>I118*(1-K118)</f>
        <v>3.3390000000000004E-5</v>
      </c>
      <c r="M118" s="258"/>
      <c r="O118" s="311" t="str">
        <f t="shared" si="21"/>
        <v>-</v>
      </c>
      <c r="P118" s="311" t="str">
        <f t="shared" si="21"/>
        <v>-</v>
      </c>
      <c r="Q118" s="311" t="str">
        <f t="shared" si="21"/>
        <v>-</v>
      </c>
      <c r="R118" s="311" t="str">
        <f t="shared" si="21"/>
        <v>-</v>
      </c>
      <c r="S118" s="311" t="str">
        <f t="shared" si="21"/>
        <v>-</v>
      </c>
      <c r="T118" s="311" t="str">
        <f t="shared" si="21"/>
        <v>-</v>
      </c>
      <c r="U118" s="311" t="str">
        <f t="shared" si="21"/>
        <v>-</v>
      </c>
      <c r="V118" s="311" t="str">
        <f t="shared" si="21"/>
        <v>-</v>
      </c>
      <c r="W118" s="311" t="str">
        <f t="shared" si="21"/>
        <v>-</v>
      </c>
      <c r="X118" s="311" t="str">
        <f t="shared" si="21"/>
        <v>-</v>
      </c>
      <c r="Y118" s="311" t="str">
        <f t="shared" si="21"/>
        <v>-</v>
      </c>
      <c r="Z118" s="311" t="str">
        <f t="shared" si="21"/>
        <v>-</v>
      </c>
      <c r="AB118" s="311" t="str">
        <f>IF($E118=AB$3,#REF!*$F118,"-")</f>
        <v>-</v>
      </c>
      <c r="AC118" s="311" t="str">
        <f>IF($E118=AC$3,#REF!*$F118,"-")</f>
        <v>-</v>
      </c>
      <c r="AD118" s="311" t="str">
        <f>IF($E118=AD$3,#REF!*$F118,"-")</f>
        <v>-</v>
      </c>
      <c r="AE118" s="311" t="str">
        <f>IF($E118=AE$3,#REF!*$F118,"-")</f>
        <v>-</v>
      </c>
      <c r="AF118" s="311" t="str">
        <f>IF($E118=AF$3,#REF!*$F118,"-")</f>
        <v>-</v>
      </c>
      <c r="AG118" s="311" t="str">
        <f>IF($E118=AG$3,#REF!*$F118,"-")</f>
        <v>-</v>
      </c>
      <c r="AH118" s="311" t="str">
        <f>IF($E118=AH$3,#REF!*$F118,"-")</f>
        <v>-</v>
      </c>
      <c r="AI118" s="311" t="str">
        <f>IF($E118=AI$3,#REF!*$F118,"-")</f>
        <v>-</v>
      </c>
      <c r="AJ118" s="311" t="str">
        <f>IF($E118=AJ$3,#REF!*$F118,"-")</f>
        <v>-</v>
      </c>
      <c r="AK118" s="311" t="str">
        <f>IF($E118=AK$3,#REF!*$F118,"-")</f>
        <v>-</v>
      </c>
      <c r="AL118" s="311" t="str">
        <f>IF($E118=AL$3,#REF!*$F118,"-")</f>
        <v>-</v>
      </c>
      <c r="AM118" s="311" t="str">
        <f>IF($E118=AM$3,#REF!*$F118,"-")</f>
        <v>-</v>
      </c>
    </row>
    <row r="119" spans="2:39" ht="14.25" x14ac:dyDescent="0.2">
      <c r="C119" s="561"/>
      <c r="D119" s="561"/>
      <c r="E119" s="399" t="s">
        <v>888</v>
      </c>
      <c r="F119" s="391">
        <v>1.5E-5</v>
      </c>
      <c r="G119" s="361">
        <v>1E-3</v>
      </c>
      <c r="H119" s="363">
        <v>0</v>
      </c>
      <c r="I119" s="313">
        <f>D117*F119*G119*(1-H119)</f>
        <v>1.431E-5</v>
      </c>
      <c r="J119" s="361" t="s">
        <v>291</v>
      </c>
      <c r="K119" s="363">
        <v>0</v>
      </c>
      <c r="L119" s="388">
        <f>I119*(1-K119)</f>
        <v>1.431E-5</v>
      </c>
      <c r="M119" s="258"/>
      <c r="O119" s="311" t="str">
        <f t="shared" si="21"/>
        <v>-</v>
      </c>
      <c r="P119" s="311" t="str">
        <f t="shared" si="21"/>
        <v>-</v>
      </c>
      <c r="Q119" s="311" t="str">
        <f t="shared" si="21"/>
        <v>-</v>
      </c>
      <c r="R119" s="311" t="str">
        <f t="shared" si="21"/>
        <v>-</v>
      </c>
      <c r="S119" s="311" t="str">
        <f t="shared" si="21"/>
        <v>-</v>
      </c>
      <c r="T119" s="311" t="str">
        <f t="shared" si="21"/>
        <v>-</v>
      </c>
      <c r="U119" s="311" t="str">
        <f t="shared" si="21"/>
        <v>-</v>
      </c>
      <c r="V119" s="311" t="str">
        <f t="shared" si="21"/>
        <v>-</v>
      </c>
      <c r="W119" s="311" t="str">
        <f t="shared" si="21"/>
        <v>-</v>
      </c>
      <c r="X119" s="311" t="str">
        <f t="shared" si="21"/>
        <v>-</v>
      </c>
      <c r="Y119" s="311" t="str">
        <f t="shared" si="21"/>
        <v>-</v>
      </c>
      <c r="Z119" s="311">
        <f t="shared" si="21"/>
        <v>1.431E-2</v>
      </c>
      <c r="AB119" s="311" t="str">
        <f>IF($E119=AB$3,#REF!*$F119,"-")</f>
        <v>-</v>
      </c>
      <c r="AC119" s="311" t="str">
        <f>IF($E119=AC$3,#REF!*$F119,"-")</f>
        <v>-</v>
      </c>
      <c r="AD119" s="311" t="str">
        <f>IF($E119=AD$3,#REF!*$F119,"-")</f>
        <v>-</v>
      </c>
      <c r="AE119" s="311" t="str">
        <f>IF($E119=AE$3,#REF!*$F119,"-")</f>
        <v>-</v>
      </c>
      <c r="AF119" s="311" t="str">
        <f>IF($E119=AF$3,#REF!*$F119,"-")</f>
        <v>-</v>
      </c>
      <c r="AG119" s="311" t="str">
        <f>IF($E119=AG$3,#REF!*$F119,"-")</f>
        <v>-</v>
      </c>
      <c r="AH119" s="311" t="str">
        <f>IF($E119=AH$3,#REF!*$F119,"-")</f>
        <v>-</v>
      </c>
      <c r="AI119" s="311" t="str">
        <f>IF($E119=AI$3,#REF!*$F119,"-")</f>
        <v>-</v>
      </c>
      <c r="AJ119" s="311" t="str">
        <f>IF($E119=AJ$3,#REF!*$F119,"-")</f>
        <v>-</v>
      </c>
      <c r="AK119" s="311" t="str">
        <f>IF($E119=AK$3,#REF!*$F119,"-")</f>
        <v>-</v>
      </c>
      <c r="AL119" s="311" t="str">
        <f>IF($E119=AL$3,#REF!*$F119,"-")</f>
        <v>-</v>
      </c>
      <c r="AM119" s="311" t="e">
        <f>IF($E119=AM$3,#REF!*$F119,"-")</f>
        <v>#REF!</v>
      </c>
    </row>
    <row r="120" spans="2:39" ht="14.25" x14ac:dyDescent="0.2">
      <c r="C120" s="561"/>
      <c r="D120" s="561"/>
      <c r="E120" s="399" t="s">
        <v>897</v>
      </c>
      <c r="F120" s="404">
        <v>0.51</v>
      </c>
      <c r="G120" s="361">
        <v>1E-3</v>
      </c>
      <c r="H120" s="363">
        <v>0</v>
      </c>
      <c r="I120" s="313">
        <f>D117*F120*G120*(1-H120)</f>
        <v>0.48654000000000003</v>
      </c>
      <c r="J120" s="361" t="s">
        <v>291</v>
      </c>
      <c r="K120" s="363">
        <v>0</v>
      </c>
      <c r="L120" s="388">
        <f t="shared" ref="L120" si="22">I120*(1-K120)</f>
        <v>0.48654000000000003</v>
      </c>
      <c r="M120" s="258"/>
      <c r="O120" s="311" t="str">
        <f t="shared" si="21"/>
        <v>-</v>
      </c>
      <c r="P120" s="311" t="str">
        <f t="shared" si="21"/>
        <v>-</v>
      </c>
      <c r="Q120" s="311" t="str">
        <f t="shared" si="21"/>
        <v>-</v>
      </c>
      <c r="R120" s="311" t="str">
        <f t="shared" si="21"/>
        <v>-</v>
      </c>
      <c r="S120" s="311" t="str">
        <f t="shared" si="21"/>
        <v>-</v>
      </c>
      <c r="T120" s="311" t="str">
        <f t="shared" si="21"/>
        <v>-</v>
      </c>
      <c r="U120" s="311" t="str">
        <f t="shared" si="21"/>
        <v>-</v>
      </c>
      <c r="V120" s="311" t="str">
        <f t="shared" si="21"/>
        <v>-</v>
      </c>
      <c r="W120" s="311" t="str">
        <f t="shared" si="21"/>
        <v>-</v>
      </c>
      <c r="X120" s="311" t="str">
        <f t="shared" si="21"/>
        <v>-</v>
      </c>
      <c r="Y120" s="311" t="str">
        <f t="shared" si="21"/>
        <v>-</v>
      </c>
      <c r="Z120" s="311" t="str">
        <f t="shared" si="21"/>
        <v>-</v>
      </c>
      <c r="AB120" s="311" t="str">
        <f>IF($E120=AB$3,#REF!*$F120,"-")</f>
        <v>-</v>
      </c>
      <c r="AC120" s="311" t="str">
        <f>IF($E120=AC$3,#REF!*$F120,"-")</f>
        <v>-</v>
      </c>
      <c r="AD120" s="311" t="str">
        <f>IF($E120=AD$3,#REF!*$F120,"-")</f>
        <v>-</v>
      </c>
      <c r="AE120" s="311" t="str">
        <f>IF($E120=AE$3,#REF!*$F120,"-")</f>
        <v>-</v>
      </c>
      <c r="AF120" s="311" t="str">
        <f>IF($E120=AF$3,#REF!*$F120,"-")</f>
        <v>-</v>
      </c>
      <c r="AG120" s="311" t="str">
        <f>IF($E120=AG$3,#REF!*$F120,"-")</f>
        <v>-</v>
      </c>
      <c r="AH120" s="311" t="str">
        <f>IF($E120=AH$3,#REF!*$F120,"-")</f>
        <v>-</v>
      </c>
      <c r="AI120" s="311" t="str">
        <f>IF($E120=AI$3,#REF!*$F120,"-")</f>
        <v>-</v>
      </c>
      <c r="AJ120" s="311" t="str">
        <f>IF($E120=AJ$3,#REF!*$F120,"-")</f>
        <v>-</v>
      </c>
      <c r="AK120" s="311" t="str">
        <f>IF($E120=AK$3,#REF!*$F120,"-")</f>
        <v>-</v>
      </c>
      <c r="AL120" s="311" t="str">
        <f>IF($E120=AL$3,#REF!*$F120,"-")</f>
        <v>-</v>
      </c>
      <c r="AM120" s="311" t="str">
        <f>IF($E120=AM$3,#REF!*$F120,"-")</f>
        <v>-</v>
      </c>
    </row>
    <row r="121" spans="2:39" ht="14.25" x14ac:dyDescent="0.2">
      <c r="C121" s="561"/>
      <c r="D121" s="561"/>
      <c r="E121" s="399" t="s">
        <v>880</v>
      </c>
      <c r="F121" s="391">
        <v>3.5000000000000004E-5</v>
      </c>
      <c r="G121" s="361">
        <v>1E-3</v>
      </c>
      <c r="H121" s="363">
        <v>0</v>
      </c>
      <c r="I121" s="313">
        <f>D117*F121*G121*(1-H121)</f>
        <v>3.3390000000000004E-5</v>
      </c>
      <c r="J121" s="361" t="s">
        <v>291</v>
      </c>
      <c r="K121" s="363">
        <v>0</v>
      </c>
      <c r="L121" s="388">
        <f t="shared" ref="L121:L132" si="23">I121*(1-K121)</f>
        <v>3.3390000000000004E-5</v>
      </c>
      <c r="M121" s="258"/>
      <c r="O121" s="311" t="str">
        <f t="shared" si="21"/>
        <v>-</v>
      </c>
      <c r="P121" s="311" t="str">
        <f t="shared" si="21"/>
        <v>-</v>
      </c>
      <c r="Q121" s="311" t="str">
        <f t="shared" si="21"/>
        <v>-</v>
      </c>
      <c r="R121" s="311">
        <f t="shared" si="21"/>
        <v>3.3390000000000003E-2</v>
      </c>
      <c r="S121" s="311" t="str">
        <f t="shared" si="21"/>
        <v>-</v>
      </c>
      <c r="T121" s="311" t="str">
        <f t="shared" si="21"/>
        <v>-</v>
      </c>
      <c r="U121" s="311" t="str">
        <f t="shared" si="21"/>
        <v>-</v>
      </c>
      <c r="V121" s="311" t="str">
        <f t="shared" si="21"/>
        <v>-</v>
      </c>
      <c r="W121" s="311" t="str">
        <f t="shared" si="21"/>
        <v>-</v>
      </c>
      <c r="X121" s="311" t="str">
        <f t="shared" si="21"/>
        <v>-</v>
      </c>
      <c r="Y121" s="311" t="str">
        <f t="shared" si="21"/>
        <v>-</v>
      </c>
      <c r="Z121" s="311" t="str">
        <f t="shared" si="21"/>
        <v>-</v>
      </c>
      <c r="AB121" s="311" t="str">
        <f>IF($E121=AB$3,#REF!*$F121,"-")</f>
        <v>-</v>
      </c>
      <c r="AC121" s="311" t="str">
        <f>IF($E121=AC$3,#REF!*$F121,"-")</f>
        <v>-</v>
      </c>
      <c r="AD121" s="311" t="str">
        <f>IF($E121=AD$3,#REF!*$F121,"-")</f>
        <v>-</v>
      </c>
      <c r="AE121" s="311" t="e">
        <f>IF($E121=AE$3,#REF!*$F121,"-")</f>
        <v>#REF!</v>
      </c>
      <c r="AF121" s="311" t="str">
        <f>IF($E121=AF$3,#REF!*$F121,"-")</f>
        <v>-</v>
      </c>
      <c r="AG121" s="311" t="str">
        <f>IF($E121=AG$3,#REF!*$F121,"-")</f>
        <v>-</v>
      </c>
      <c r="AH121" s="311" t="str">
        <f>IF($E121=AH$3,#REF!*$F121,"-")</f>
        <v>-</v>
      </c>
      <c r="AI121" s="311" t="str">
        <f>IF($E121=AI$3,#REF!*$F121,"-")</f>
        <v>-</v>
      </c>
      <c r="AJ121" s="311" t="str">
        <f>IF($E121=AJ$3,#REF!*$F121,"-")</f>
        <v>-</v>
      </c>
      <c r="AK121" s="311" t="str">
        <f>IF($E121=AK$3,#REF!*$F121,"-")</f>
        <v>-</v>
      </c>
      <c r="AL121" s="311" t="str">
        <f>IF($E121=AL$3,#REF!*$F121,"-")</f>
        <v>-</v>
      </c>
      <c r="AM121" s="311" t="str">
        <f>IF($E121=AM$3,#REF!*$F121,"-")</f>
        <v>-</v>
      </c>
    </row>
    <row r="122" spans="2:39" ht="14.25" x14ac:dyDescent="0.2">
      <c r="C122" s="561"/>
      <c r="D122" s="561"/>
      <c r="E122" s="399" t="s">
        <v>898</v>
      </c>
      <c r="F122" s="391">
        <v>2.7E-4</v>
      </c>
      <c r="G122" s="361">
        <v>1E-3</v>
      </c>
      <c r="H122" s="363">
        <v>0</v>
      </c>
      <c r="I122" s="313">
        <f>D117*F122*G122*(1-H122)</f>
        <v>2.5757999999999998E-4</v>
      </c>
      <c r="J122" s="361" t="s">
        <v>291</v>
      </c>
      <c r="K122" s="363">
        <v>0</v>
      </c>
      <c r="L122" s="388">
        <f t="shared" si="23"/>
        <v>2.5757999999999998E-4</v>
      </c>
      <c r="M122" s="258"/>
      <c r="O122" s="311" t="str">
        <f t="shared" si="21"/>
        <v>-</v>
      </c>
      <c r="P122" s="311" t="str">
        <f t="shared" si="21"/>
        <v>-</v>
      </c>
      <c r="Q122" s="311" t="str">
        <f t="shared" si="21"/>
        <v>-</v>
      </c>
      <c r="R122" s="311" t="str">
        <f t="shared" si="21"/>
        <v>-</v>
      </c>
      <c r="S122" s="311" t="str">
        <f t="shared" si="21"/>
        <v>-</v>
      </c>
      <c r="T122" s="311" t="str">
        <f t="shared" si="21"/>
        <v>-</v>
      </c>
      <c r="U122" s="311" t="str">
        <f t="shared" si="21"/>
        <v>-</v>
      </c>
      <c r="V122" s="311" t="str">
        <f t="shared" si="21"/>
        <v>-</v>
      </c>
      <c r="W122" s="311" t="str">
        <f t="shared" si="21"/>
        <v>-</v>
      </c>
      <c r="X122" s="311" t="str">
        <f t="shared" si="21"/>
        <v>-</v>
      </c>
      <c r="Y122" s="311" t="str">
        <f t="shared" si="21"/>
        <v>-</v>
      </c>
      <c r="Z122" s="311" t="str">
        <f t="shared" si="21"/>
        <v>-</v>
      </c>
      <c r="AB122" s="311" t="str">
        <f>IF($E122=AB$3,#REF!*$F122,"-")</f>
        <v>-</v>
      </c>
      <c r="AC122" s="311" t="str">
        <f>IF($E122=AC$3,#REF!*$F122,"-")</f>
        <v>-</v>
      </c>
      <c r="AD122" s="311" t="str">
        <f>IF($E122=AD$3,#REF!*$F122,"-")</f>
        <v>-</v>
      </c>
      <c r="AE122" s="311" t="str">
        <f>IF($E122=AE$3,#REF!*$F122,"-")</f>
        <v>-</v>
      </c>
      <c r="AF122" s="311" t="str">
        <f>IF($E122=AF$3,#REF!*$F122,"-")</f>
        <v>-</v>
      </c>
      <c r="AG122" s="311" t="str">
        <f>IF($E122=AG$3,#REF!*$F122,"-")</f>
        <v>-</v>
      </c>
      <c r="AH122" s="311" t="str">
        <f>IF($E122=AH$3,#REF!*$F122,"-")</f>
        <v>-</v>
      </c>
      <c r="AI122" s="311" t="str">
        <f>IF($E122=AI$3,#REF!*$F122,"-")</f>
        <v>-</v>
      </c>
      <c r="AJ122" s="311" t="str">
        <f>IF($E122=AJ$3,#REF!*$F122,"-")</f>
        <v>-</v>
      </c>
      <c r="AK122" s="311" t="str">
        <f>IF($E122=AK$3,#REF!*$F122,"-")</f>
        <v>-</v>
      </c>
      <c r="AL122" s="311" t="str">
        <f>IF($E122=AL$3,#REF!*$F122,"-")</f>
        <v>-</v>
      </c>
      <c r="AM122" s="311" t="str">
        <f>IF($E122=AM$3,#REF!*$F122,"-")</f>
        <v>-</v>
      </c>
    </row>
    <row r="123" spans="2:39" ht="14.25" x14ac:dyDescent="0.2">
      <c r="C123" s="561"/>
      <c r="D123" s="561"/>
      <c r="E123" s="399" t="s">
        <v>901</v>
      </c>
      <c r="F123" s="391">
        <v>1.5E-5</v>
      </c>
      <c r="G123" s="361">
        <v>1E-3</v>
      </c>
      <c r="H123" s="363">
        <v>0</v>
      </c>
      <c r="I123" s="313">
        <f>D117*F123*G123*(1-H123)</f>
        <v>1.431E-5</v>
      </c>
      <c r="J123" s="361" t="s">
        <v>291</v>
      </c>
      <c r="K123" s="363">
        <v>0</v>
      </c>
      <c r="L123" s="388">
        <f t="shared" si="23"/>
        <v>1.431E-5</v>
      </c>
      <c r="M123" s="258"/>
      <c r="O123" s="311" t="str">
        <f t="shared" si="21"/>
        <v>-</v>
      </c>
      <c r="P123" s="311" t="str">
        <f t="shared" si="21"/>
        <v>-</v>
      </c>
      <c r="Q123" s="311" t="str">
        <f t="shared" si="21"/>
        <v>-</v>
      </c>
      <c r="R123" s="311" t="str">
        <f t="shared" si="21"/>
        <v>-</v>
      </c>
      <c r="S123" s="311" t="str">
        <f t="shared" si="21"/>
        <v>-</v>
      </c>
      <c r="T123" s="311" t="str">
        <f t="shared" si="21"/>
        <v>-</v>
      </c>
      <c r="U123" s="311" t="str">
        <f t="shared" si="21"/>
        <v>-</v>
      </c>
      <c r="V123" s="311" t="str">
        <f t="shared" si="21"/>
        <v>-</v>
      </c>
      <c r="W123" s="311" t="str">
        <f t="shared" si="21"/>
        <v>-</v>
      </c>
      <c r="X123" s="311" t="str">
        <f t="shared" si="21"/>
        <v>-</v>
      </c>
      <c r="Y123" s="311" t="str">
        <f t="shared" si="21"/>
        <v>-</v>
      </c>
      <c r="Z123" s="311" t="str">
        <f t="shared" si="21"/>
        <v>-</v>
      </c>
      <c r="AB123" s="311" t="str">
        <f>IF($E123=AB$3,#REF!*$F123,"-")</f>
        <v>-</v>
      </c>
      <c r="AC123" s="311" t="str">
        <f>IF($E123=AC$3,#REF!*$F123,"-")</f>
        <v>-</v>
      </c>
      <c r="AD123" s="311" t="str">
        <f>IF($E123=AD$3,#REF!*$F123,"-")</f>
        <v>-</v>
      </c>
      <c r="AE123" s="311" t="str">
        <f>IF($E123=AE$3,#REF!*$F123,"-")</f>
        <v>-</v>
      </c>
      <c r="AF123" s="311" t="str">
        <f>IF($E123=AF$3,#REF!*$F123,"-")</f>
        <v>-</v>
      </c>
      <c r="AG123" s="311" t="str">
        <f>IF($E123=AG$3,#REF!*$F123,"-")</f>
        <v>-</v>
      </c>
      <c r="AH123" s="311" t="str">
        <f>IF($E123=AH$3,#REF!*$F123,"-")</f>
        <v>-</v>
      </c>
      <c r="AI123" s="311" t="str">
        <f>IF($E123=AI$3,#REF!*$F123,"-")</f>
        <v>-</v>
      </c>
      <c r="AJ123" s="311" t="str">
        <f>IF($E123=AJ$3,#REF!*$F123,"-")</f>
        <v>-</v>
      </c>
      <c r="AK123" s="311" t="str">
        <f>IF($E123=AK$3,#REF!*$F123,"-")</f>
        <v>-</v>
      </c>
      <c r="AL123" s="311" t="str">
        <f>IF($E123=AL$3,#REF!*$F123,"-")</f>
        <v>-</v>
      </c>
      <c r="AM123" s="311" t="str">
        <f>IF($E123=AM$3,#REF!*$F123,"-")</f>
        <v>-</v>
      </c>
    </row>
    <row r="124" spans="2:39" ht="14.25" x14ac:dyDescent="0.2">
      <c r="C124" s="561"/>
      <c r="D124" s="561"/>
      <c r="E124" s="399" t="s">
        <v>911</v>
      </c>
      <c r="F124" s="391">
        <v>2.0000000000000002E-5</v>
      </c>
      <c r="G124" s="361">
        <v>1E-3</v>
      </c>
      <c r="H124" s="363">
        <v>0</v>
      </c>
      <c r="I124" s="313">
        <f>D117*F124*G124*(1-H124)</f>
        <v>1.9080000000000004E-5</v>
      </c>
      <c r="J124" s="361" t="s">
        <v>291</v>
      </c>
      <c r="K124" s="363">
        <v>0</v>
      </c>
      <c r="L124" s="388">
        <f t="shared" si="23"/>
        <v>1.9080000000000004E-5</v>
      </c>
      <c r="M124" s="258"/>
      <c r="O124" s="311" t="str">
        <f t="shared" si="21"/>
        <v>-</v>
      </c>
      <c r="P124" s="311" t="str">
        <f t="shared" si="21"/>
        <v>-</v>
      </c>
      <c r="Q124" s="311" t="str">
        <f t="shared" si="21"/>
        <v>-</v>
      </c>
      <c r="R124" s="311" t="str">
        <f t="shared" si="21"/>
        <v>-</v>
      </c>
      <c r="S124" s="311" t="str">
        <f t="shared" si="21"/>
        <v>-</v>
      </c>
      <c r="T124" s="311" t="str">
        <f t="shared" si="21"/>
        <v>-</v>
      </c>
      <c r="U124" s="311" t="str">
        <f t="shared" si="21"/>
        <v>-</v>
      </c>
      <c r="V124" s="311" t="str">
        <f t="shared" si="21"/>
        <v>-</v>
      </c>
      <c r="W124" s="311" t="str">
        <f t="shared" si="21"/>
        <v>-</v>
      </c>
      <c r="X124" s="311" t="str">
        <f t="shared" si="21"/>
        <v>-</v>
      </c>
      <c r="Y124" s="311" t="str">
        <f t="shared" si="21"/>
        <v>-</v>
      </c>
      <c r="Z124" s="311" t="str">
        <f t="shared" si="21"/>
        <v>-</v>
      </c>
      <c r="AB124" s="311" t="str">
        <f>IF($E124=AB$3,#REF!*$F124,"-")</f>
        <v>-</v>
      </c>
      <c r="AC124" s="311" t="str">
        <f>IF($E124=AC$3,#REF!*$F124,"-")</f>
        <v>-</v>
      </c>
      <c r="AD124" s="311" t="str">
        <f>IF($E124=AD$3,#REF!*$F124,"-")</f>
        <v>-</v>
      </c>
      <c r="AE124" s="311" t="str">
        <f>IF($E124=AE$3,#REF!*$F124,"-")</f>
        <v>-</v>
      </c>
      <c r="AF124" s="311" t="str">
        <f>IF($E124=AF$3,#REF!*$F124,"-")</f>
        <v>-</v>
      </c>
      <c r="AG124" s="311" t="str">
        <f>IF($E124=AG$3,#REF!*$F124,"-")</f>
        <v>-</v>
      </c>
      <c r="AH124" s="311" t="str">
        <f>IF($E124=AH$3,#REF!*$F124,"-")</f>
        <v>-</v>
      </c>
      <c r="AI124" s="311" t="str">
        <f>IF($E124=AI$3,#REF!*$F124,"-")</f>
        <v>-</v>
      </c>
      <c r="AJ124" s="311" t="str">
        <f>IF($E124=AJ$3,#REF!*$F124,"-")</f>
        <v>-</v>
      </c>
      <c r="AK124" s="311" t="str">
        <f>IF($E124=AK$3,#REF!*$F124,"-")</f>
        <v>-</v>
      </c>
      <c r="AL124" s="311" t="str">
        <f>IF($E124=AL$3,#REF!*$F124,"-")</f>
        <v>-</v>
      </c>
      <c r="AM124" s="311" t="str">
        <f>IF($E124=AM$3,#REF!*$F124,"-")</f>
        <v>-</v>
      </c>
    </row>
    <row r="125" spans="2:39" ht="14.25" x14ac:dyDescent="0.2">
      <c r="C125" s="561"/>
      <c r="D125" s="561"/>
      <c r="E125" s="399" t="s">
        <v>882</v>
      </c>
      <c r="F125" s="391">
        <v>3.0000000000000001E-5</v>
      </c>
      <c r="G125" s="361">
        <v>1E-3</v>
      </c>
      <c r="H125" s="363">
        <v>0</v>
      </c>
      <c r="I125" s="313">
        <f>D117*F125*G125*(1-H125)</f>
        <v>2.862E-5</v>
      </c>
      <c r="J125" s="361" t="s">
        <v>291</v>
      </c>
      <c r="K125" s="363">
        <v>0</v>
      </c>
      <c r="L125" s="388">
        <f t="shared" si="23"/>
        <v>2.862E-5</v>
      </c>
      <c r="M125" s="258"/>
      <c r="O125" s="311" t="str">
        <f t="shared" si="21"/>
        <v>-</v>
      </c>
      <c r="P125" s="311" t="str">
        <f t="shared" si="21"/>
        <v>-</v>
      </c>
      <c r="Q125" s="311" t="str">
        <f t="shared" si="21"/>
        <v>-</v>
      </c>
      <c r="R125" s="311" t="str">
        <f t="shared" si="21"/>
        <v>-</v>
      </c>
      <c r="S125" s="311" t="str">
        <f t="shared" si="21"/>
        <v>-</v>
      </c>
      <c r="T125" s="311">
        <f t="shared" si="21"/>
        <v>2.862E-2</v>
      </c>
      <c r="U125" s="311" t="str">
        <f t="shared" si="21"/>
        <v>-</v>
      </c>
      <c r="V125" s="311" t="str">
        <f t="shared" si="21"/>
        <v>-</v>
      </c>
      <c r="W125" s="311" t="str">
        <f t="shared" si="21"/>
        <v>-</v>
      </c>
      <c r="X125" s="311" t="str">
        <f t="shared" si="21"/>
        <v>-</v>
      </c>
      <c r="Y125" s="311" t="str">
        <f t="shared" si="21"/>
        <v>-</v>
      </c>
      <c r="Z125" s="311" t="str">
        <f t="shared" si="21"/>
        <v>-</v>
      </c>
      <c r="AB125" s="311" t="str">
        <f>IF($E125=AB$3,#REF!*$F125,"-")</f>
        <v>-</v>
      </c>
      <c r="AC125" s="311" t="str">
        <f>IF($E125=AC$3,#REF!*$F125,"-")</f>
        <v>-</v>
      </c>
      <c r="AD125" s="311" t="str">
        <f>IF($E125=AD$3,#REF!*$F125,"-")</f>
        <v>-</v>
      </c>
      <c r="AE125" s="311" t="str">
        <f>IF($E125=AE$3,#REF!*$F125,"-")</f>
        <v>-</v>
      </c>
      <c r="AF125" s="311" t="str">
        <f>IF($E125=AF$3,#REF!*$F125,"-")</f>
        <v>-</v>
      </c>
      <c r="AG125" s="311" t="e">
        <f>IF($E125=AG$3,#REF!*$F125,"-")</f>
        <v>#REF!</v>
      </c>
      <c r="AH125" s="311" t="str">
        <f>IF($E125=AH$3,#REF!*$F125,"-")</f>
        <v>-</v>
      </c>
      <c r="AI125" s="311" t="str">
        <f>IF($E125=AI$3,#REF!*$F125,"-")</f>
        <v>-</v>
      </c>
      <c r="AJ125" s="311" t="str">
        <f>IF($E125=AJ$3,#REF!*$F125,"-")</f>
        <v>-</v>
      </c>
      <c r="AK125" s="311" t="str">
        <f>IF($E125=AK$3,#REF!*$F125,"-")</f>
        <v>-</v>
      </c>
      <c r="AL125" s="311" t="str">
        <f>IF($E125=AL$3,#REF!*$F125,"-")</f>
        <v>-</v>
      </c>
      <c r="AM125" s="311" t="str">
        <f>IF($E125=AM$3,#REF!*$F125,"-")</f>
        <v>-</v>
      </c>
    </row>
    <row r="126" spans="2:39" ht="14.25" x14ac:dyDescent="0.2">
      <c r="C126" s="561"/>
      <c r="D126" s="561"/>
      <c r="E126" s="399" t="s">
        <v>903</v>
      </c>
      <c r="F126" s="404">
        <v>0.40454000000000012</v>
      </c>
      <c r="G126" s="361">
        <v>1E-3</v>
      </c>
      <c r="H126" s="363">
        <v>0</v>
      </c>
      <c r="I126" s="313">
        <f>D117*F126*G126*(1-H126)</f>
        <v>0.38593116000000011</v>
      </c>
      <c r="J126" s="361" t="s">
        <v>291</v>
      </c>
      <c r="K126" s="363">
        <v>0</v>
      </c>
      <c r="L126" s="388">
        <f t="shared" si="23"/>
        <v>0.38593116000000011</v>
      </c>
      <c r="M126" s="258"/>
      <c r="O126" s="311" t="str">
        <f t="shared" si="21"/>
        <v>-</v>
      </c>
      <c r="P126" s="311" t="str">
        <f t="shared" si="21"/>
        <v>-</v>
      </c>
      <c r="Q126" s="311" t="str">
        <f t="shared" si="21"/>
        <v>-</v>
      </c>
      <c r="R126" s="311" t="str">
        <f t="shared" si="21"/>
        <v>-</v>
      </c>
      <c r="S126" s="311" t="str">
        <f t="shared" si="21"/>
        <v>-</v>
      </c>
      <c r="T126" s="311" t="str">
        <f t="shared" si="21"/>
        <v>-</v>
      </c>
      <c r="U126" s="311" t="str">
        <f t="shared" si="21"/>
        <v>-</v>
      </c>
      <c r="V126" s="311" t="str">
        <f t="shared" si="21"/>
        <v>-</v>
      </c>
      <c r="W126" s="311" t="str">
        <f t="shared" si="21"/>
        <v>-</v>
      </c>
      <c r="X126" s="311" t="str">
        <f t="shared" si="21"/>
        <v>-</v>
      </c>
      <c r="Y126" s="311" t="str">
        <f t="shared" si="21"/>
        <v>-</v>
      </c>
      <c r="Z126" s="311" t="str">
        <f t="shared" si="21"/>
        <v>-</v>
      </c>
      <c r="AB126" s="311" t="str">
        <f>IF($E126=AB$3,#REF!*$F126,"-")</f>
        <v>-</v>
      </c>
      <c r="AC126" s="311" t="str">
        <f>IF($E126=AC$3,#REF!*$F126,"-")</f>
        <v>-</v>
      </c>
      <c r="AD126" s="311" t="str">
        <f>IF($E126=AD$3,#REF!*$F126,"-")</f>
        <v>-</v>
      </c>
      <c r="AE126" s="311" t="str">
        <f>IF($E126=AE$3,#REF!*$F126,"-")</f>
        <v>-</v>
      </c>
      <c r="AF126" s="311" t="str">
        <f>IF($E126=AF$3,#REF!*$F126,"-")</f>
        <v>-</v>
      </c>
      <c r="AG126" s="311" t="str">
        <f>IF($E126=AG$3,#REF!*$F126,"-")</f>
        <v>-</v>
      </c>
      <c r="AH126" s="311" t="str">
        <f>IF($E126=AH$3,#REF!*$F126,"-")</f>
        <v>-</v>
      </c>
      <c r="AI126" s="311" t="str">
        <f>IF($E126=AI$3,#REF!*$F126,"-")</f>
        <v>-</v>
      </c>
      <c r="AJ126" s="311" t="str">
        <f>IF($E126=AJ$3,#REF!*$F126,"-")</f>
        <v>-</v>
      </c>
      <c r="AK126" s="311" t="str">
        <f>IF($E126=AK$3,#REF!*$F126,"-")</f>
        <v>-</v>
      </c>
      <c r="AL126" s="311" t="str">
        <f>IF($E126=AL$3,#REF!*$F126,"-")</f>
        <v>-</v>
      </c>
      <c r="AM126" s="311" t="str">
        <f>IF($E126=AM$3,#REF!*$F126,"-")</f>
        <v>-</v>
      </c>
    </row>
    <row r="127" spans="2:39" ht="14.25" x14ac:dyDescent="0.2">
      <c r="C127" s="561"/>
      <c r="D127" s="561"/>
      <c r="E127" s="399" t="s">
        <v>944</v>
      </c>
      <c r="F127" s="391">
        <v>3.0000000000000001E-5</v>
      </c>
      <c r="G127" s="361">
        <v>1E-3</v>
      </c>
      <c r="H127" s="363">
        <v>0</v>
      </c>
      <c r="I127" s="313">
        <f>D117*F127*G127*(1-H127)</f>
        <v>2.862E-5</v>
      </c>
      <c r="J127" s="361" t="s">
        <v>291</v>
      </c>
      <c r="K127" s="363">
        <v>0</v>
      </c>
      <c r="L127" s="388">
        <f t="shared" si="23"/>
        <v>2.862E-5</v>
      </c>
      <c r="M127" s="258"/>
      <c r="O127" s="311" t="str">
        <f t="shared" ref="O127:Z132" si="24">IF($E127=O$3,$D$117*$F127,"-")</f>
        <v>-</v>
      </c>
      <c r="P127" s="311" t="str">
        <f t="shared" si="24"/>
        <v>-</v>
      </c>
      <c r="Q127" s="311" t="str">
        <f t="shared" si="24"/>
        <v>-</v>
      </c>
      <c r="R127" s="311" t="str">
        <f t="shared" si="24"/>
        <v>-</v>
      </c>
      <c r="S127" s="311" t="str">
        <f t="shared" si="24"/>
        <v>-</v>
      </c>
      <c r="T127" s="311" t="str">
        <f t="shared" si="24"/>
        <v>-</v>
      </c>
      <c r="U127" s="311" t="str">
        <f t="shared" si="24"/>
        <v>-</v>
      </c>
      <c r="V127" s="311" t="str">
        <f t="shared" si="24"/>
        <v>-</v>
      </c>
      <c r="W127" s="311" t="str">
        <f t="shared" si="24"/>
        <v>-</v>
      </c>
      <c r="X127" s="311" t="str">
        <f t="shared" si="24"/>
        <v>-</v>
      </c>
      <c r="Y127" s="311" t="str">
        <f t="shared" si="24"/>
        <v>-</v>
      </c>
      <c r="Z127" s="311" t="str">
        <f t="shared" si="24"/>
        <v>-</v>
      </c>
      <c r="AB127" s="311" t="str">
        <f>IF($E127=AB$3,#REF!*$F127,"-")</f>
        <v>-</v>
      </c>
      <c r="AC127" s="311" t="str">
        <f>IF($E127=AC$3,#REF!*$F127,"-")</f>
        <v>-</v>
      </c>
      <c r="AD127" s="311" t="str">
        <f>IF($E127=AD$3,#REF!*$F127,"-")</f>
        <v>-</v>
      </c>
      <c r="AE127" s="311" t="str">
        <f>IF($E127=AE$3,#REF!*$F127,"-")</f>
        <v>-</v>
      </c>
      <c r="AF127" s="311" t="str">
        <f>IF($E127=AF$3,#REF!*$F127,"-")</f>
        <v>-</v>
      </c>
      <c r="AG127" s="311" t="str">
        <f>IF($E127=AG$3,#REF!*$F127,"-")</f>
        <v>-</v>
      </c>
      <c r="AH127" s="311" t="str">
        <f>IF($E127=AH$3,#REF!*$F127,"-")</f>
        <v>-</v>
      </c>
      <c r="AI127" s="311" t="str">
        <f>IF($E127=AI$3,#REF!*$F127,"-")</f>
        <v>-</v>
      </c>
      <c r="AJ127" s="311" t="str">
        <f>IF($E127=AJ$3,#REF!*$F127,"-")</f>
        <v>-</v>
      </c>
      <c r="AK127" s="311" t="str">
        <f>IF($E127=AK$3,#REF!*$F127,"-")</f>
        <v>-</v>
      </c>
      <c r="AL127" s="311" t="str">
        <f>IF($E127=AL$3,#REF!*$F127,"-")</f>
        <v>-</v>
      </c>
      <c r="AM127" s="311" t="str">
        <f>IF($E127=AM$3,#REF!*$F127,"-")</f>
        <v>-</v>
      </c>
    </row>
    <row r="128" spans="2:39" ht="14.25" x14ac:dyDescent="0.2">
      <c r="C128" s="561"/>
      <c r="D128" s="561"/>
      <c r="E128" s="399" t="s">
        <v>906</v>
      </c>
      <c r="F128" s="391">
        <v>3.0000000000000001E-5</v>
      </c>
      <c r="G128" s="361">
        <v>1E-3</v>
      </c>
      <c r="H128" s="363">
        <v>0</v>
      </c>
      <c r="I128" s="313">
        <f>D117*F128*G128*(1-H128)</f>
        <v>2.862E-5</v>
      </c>
      <c r="J128" s="361" t="s">
        <v>291</v>
      </c>
      <c r="K128" s="363">
        <v>0</v>
      </c>
      <c r="L128" s="388">
        <f t="shared" si="23"/>
        <v>2.862E-5</v>
      </c>
      <c r="M128" s="258"/>
      <c r="O128" s="311" t="str">
        <f t="shared" si="24"/>
        <v>-</v>
      </c>
      <c r="P128" s="311" t="str">
        <f t="shared" si="24"/>
        <v>-</v>
      </c>
      <c r="Q128" s="311" t="str">
        <f t="shared" si="24"/>
        <v>-</v>
      </c>
      <c r="R128" s="311" t="str">
        <f t="shared" si="24"/>
        <v>-</v>
      </c>
      <c r="S128" s="311" t="str">
        <f t="shared" si="24"/>
        <v>-</v>
      </c>
      <c r="T128" s="311" t="str">
        <f t="shared" si="24"/>
        <v>-</v>
      </c>
      <c r="U128" s="311" t="str">
        <f t="shared" si="24"/>
        <v>-</v>
      </c>
      <c r="V128" s="311" t="str">
        <f t="shared" si="24"/>
        <v>-</v>
      </c>
      <c r="W128" s="311" t="str">
        <f t="shared" si="24"/>
        <v>-</v>
      </c>
      <c r="X128" s="311" t="str">
        <f t="shared" si="24"/>
        <v>-</v>
      </c>
      <c r="Y128" s="311" t="str">
        <f t="shared" si="24"/>
        <v>-</v>
      </c>
      <c r="Z128" s="311" t="str">
        <f t="shared" si="24"/>
        <v>-</v>
      </c>
      <c r="AB128" s="311" t="str">
        <f>IF($E128=AB$3,#REF!*$F128,"-")</f>
        <v>-</v>
      </c>
      <c r="AC128" s="311" t="str">
        <f>IF($E128=AC$3,#REF!*$F128,"-")</f>
        <v>-</v>
      </c>
      <c r="AD128" s="311" t="str">
        <f>IF($E128=AD$3,#REF!*$F128,"-")</f>
        <v>-</v>
      </c>
      <c r="AE128" s="311" t="str">
        <f>IF($E128=AE$3,#REF!*$F128,"-")</f>
        <v>-</v>
      </c>
      <c r="AF128" s="311" t="str">
        <f>IF($E128=AF$3,#REF!*$F128,"-")</f>
        <v>-</v>
      </c>
      <c r="AG128" s="311" t="str">
        <f>IF($E128=AG$3,#REF!*$F128,"-")</f>
        <v>-</v>
      </c>
      <c r="AH128" s="311" t="str">
        <f>IF($E128=AH$3,#REF!*$F128,"-")</f>
        <v>-</v>
      </c>
      <c r="AI128" s="311" t="str">
        <f>IF($E128=AI$3,#REF!*$F128,"-")</f>
        <v>-</v>
      </c>
      <c r="AJ128" s="311" t="str">
        <f>IF($E128=AJ$3,#REF!*$F128,"-")</f>
        <v>-</v>
      </c>
      <c r="AK128" s="311" t="str">
        <f>IF($E128=AK$3,#REF!*$F128,"-")</f>
        <v>-</v>
      </c>
      <c r="AL128" s="311" t="str">
        <f>IF($E128=AL$3,#REF!*$F128,"-")</f>
        <v>-</v>
      </c>
      <c r="AM128" s="311" t="str">
        <f>IF($E128=AM$3,#REF!*$F128,"-")</f>
        <v>-</v>
      </c>
    </row>
    <row r="129" spans="3:39" ht="14.25" x14ac:dyDescent="0.2">
      <c r="C129" s="561"/>
      <c r="D129" s="561"/>
      <c r="E129" s="399" t="s">
        <v>912</v>
      </c>
      <c r="F129" s="404">
        <v>8.4900000000000003E-2</v>
      </c>
      <c r="G129" s="361">
        <v>1E-3</v>
      </c>
      <c r="H129" s="363">
        <v>0</v>
      </c>
      <c r="I129" s="313">
        <f>D117*F129*G129*(1-H129)</f>
        <v>8.0994600000000014E-2</v>
      </c>
      <c r="J129" s="361" t="s">
        <v>291</v>
      </c>
      <c r="K129" s="363">
        <v>0</v>
      </c>
      <c r="L129" s="388">
        <f t="shared" si="23"/>
        <v>8.0994600000000014E-2</v>
      </c>
      <c r="M129" s="258"/>
      <c r="O129" s="311" t="str">
        <f t="shared" si="24"/>
        <v>-</v>
      </c>
      <c r="P129" s="311" t="str">
        <f t="shared" si="24"/>
        <v>-</v>
      </c>
      <c r="Q129" s="311" t="str">
        <f t="shared" si="24"/>
        <v>-</v>
      </c>
      <c r="R129" s="311" t="str">
        <f t="shared" si="24"/>
        <v>-</v>
      </c>
      <c r="S129" s="311" t="str">
        <f t="shared" si="24"/>
        <v>-</v>
      </c>
      <c r="T129" s="311" t="str">
        <f t="shared" si="24"/>
        <v>-</v>
      </c>
      <c r="U129" s="311" t="str">
        <f t="shared" si="24"/>
        <v>-</v>
      </c>
      <c r="V129" s="311" t="str">
        <f t="shared" si="24"/>
        <v>-</v>
      </c>
      <c r="W129" s="311" t="str">
        <f t="shared" si="24"/>
        <v>-</v>
      </c>
      <c r="X129" s="311" t="str">
        <f t="shared" si="24"/>
        <v>-</v>
      </c>
      <c r="Y129" s="311" t="str">
        <f t="shared" si="24"/>
        <v>-</v>
      </c>
      <c r="Z129" s="311" t="str">
        <f t="shared" si="24"/>
        <v>-</v>
      </c>
      <c r="AB129" s="311" t="str">
        <f>IF($E129=AB$3,#REF!*$F129,"-")</f>
        <v>-</v>
      </c>
      <c r="AC129" s="311" t="str">
        <f>IF($E129=AC$3,#REF!*$F129,"-")</f>
        <v>-</v>
      </c>
      <c r="AD129" s="311" t="str">
        <f>IF($E129=AD$3,#REF!*$F129,"-")</f>
        <v>-</v>
      </c>
      <c r="AE129" s="311" t="str">
        <f>IF($E129=AE$3,#REF!*$F129,"-")</f>
        <v>-</v>
      </c>
      <c r="AF129" s="311" t="str">
        <f>IF($E129=AF$3,#REF!*$F129,"-")</f>
        <v>-</v>
      </c>
      <c r="AG129" s="311" t="str">
        <f>IF($E129=AG$3,#REF!*$F129,"-")</f>
        <v>-</v>
      </c>
      <c r="AH129" s="311" t="str">
        <f>IF($E129=AH$3,#REF!*$F129,"-")</f>
        <v>-</v>
      </c>
      <c r="AI129" s="311" t="str">
        <f>IF($E129=AI$3,#REF!*$F129,"-")</f>
        <v>-</v>
      </c>
      <c r="AJ129" s="311" t="str">
        <f>IF($E129=AJ$3,#REF!*$F129,"-")</f>
        <v>-</v>
      </c>
      <c r="AK129" s="311" t="str">
        <f>IF($E129=AK$3,#REF!*$F129,"-")</f>
        <v>-</v>
      </c>
      <c r="AL129" s="311" t="str">
        <f>IF($E129=AL$3,#REF!*$F129,"-")</f>
        <v>-</v>
      </c>
      <c r="AM129" s="311" t="str">
        <f>IF($E129=AM$3,#REF!*$F129,"-")</f>
        <v>-</v>
      </c>
    </row>
    <row r="130" spans="3:39" ht="14.25" x14ac:dyDescent="0.2">
      <c r="C130" s="561"/>
      <c r="D130" s="561"/>
      <c r="E130" s="399" t="s">
        <v>915</v>
      </c>
      <c r="F130" s="391">
        <v>0</v>
      </c>
      <c r="G130" s="361">
        <v>1E-3</v>
      </c>
      <c r="H130" s="363">
        <v>0</v>
      </c>
      <c r="I130" s="313">
        <f>D117*F130*G130*(1-H130)</f>
        <v>0</v>
      </c>
      <c r="J130" s="361" t="s">
        <v>291</v>
      </c>
      <c r="K130" s="363">
        <v>0</v>
      </c>
      <c r="L130" s="388">
        <f t="shared" si="23"/>
        <v>0</v>
      </c>
      <c r="M130" s="258"/>
      <c r="O130" s="311" t="str">
        <f t="shared" si="24"/>
        <v>-</v>
      </c>
      <c r="P130" s="311" t="str">
        <f t="shared" si="24"/>
        <v>-</v>
      </c>
      <c r="Q130" s="311" t="str">
        <f t="shared" si="24"/>
        <v>-</v>
      </c>
      <c r="R130" s="311" t="str">
        <f t="shared" si="24"/>
        <v>-</v>
      </c>
      <c r="S130" s="311" t="str">
        <f t="shared" si="24"/>
        <v>-</v>
      </c>
      <c r="T130" s="311" t="str">
        <f t="shared" si="24"/>
        <v>-</v>
      </c>
      <c r="U130" s="311" t="str">
        <f t="shared" si="24"/>
        <v>-</v>
      </c>
      <c r="V130" s="311" t="str">
        <f t="shared" si="24"/>
        <v>-</v>
      </c>
      <c r="W130" s="311" t="str">
        <f t="shared" si="24"/>
        <v>-</v>
      </c>
      <c r="X130" s="311" t="str">
        <f t="shared" si="24"/>
        <v>-</v>
      </c>
      <c r="Y130" s="311" t="str">
        <f t="shared" si="24"/>
        <v>-</v>
      </c>
      <c r="Z130" s="311" t="str">
        <f t="shared" si="24"/>
        <v>-</v>
      </c>
      <c r="AB130" s="311" t="str">
        <f>IF($E130=AB$3,#REF!*$F130,"-")</f>
        <v>-</v>
      </c>
      <c r="AC130" s="311" t="str">
        <f>IF($E130=AC$3,#REF!*$F130,"-")</f>
        <v>-</v>
      </c>
      <c r="AD130" s="311" t="str">
        <f>IF($E130=AD$3,#REF!*$F130,"-")</f>
        <v>-</v>
      </c>
      <c r="AE130" s="311" t="str">
        <f>IF($E130=AE$3,#REF!*$F130,"-")</f>
        <v>-</v>
      </c>
      <c r="AF130" s="311" t="str">
        <f>IF($E130=AF$3,#REF!*$F130,"-")</f>
        <v>-</v>
      </c>
      <c r="AG130" s="311" t="str">
        <f>IF($E130=AG$3,#REF!*$F130,"-")</f>
        <v>-</v>
      </c>
      <c r="AH130" s="311" t="str">
        <f>IF($E130=AH$3,#REF!*$F130,"-")</f>
        <v>-</v>
      </c>
      <c r="AI130" s="311" t="str">
        <f>IF($E130=AI$3,#REF!*$F130,"-")</f>
        <v>-</v>
      </c>
      <c r="AJ130" s="311" t="str">
        <f>IF($E130=AJ$3,#REF!*$F130,"-")</f>
        <v>-</v>
      </c>
      <c r="AK130" s="311" t="str">
        <f>IF($E130=AK$3,#REF!*$F130,"-")</f>
        <v>-</v>
      </c>
      <c r="AL130" s="311" t="str">
        <f>IF($E130=AL$3,#REF!*$F130,"-")</f>
        <v>-</v>
      </c>
      <c r="AM130" s="311" t="str">
        <f>IF($E130=AM$3,#REF!*$F130,"-")</f>
        <v>-</v>
      </c>
    </row>
    <row r="131" spans="3:39" ht="14.25" x14ac:dyDescent="0.2">
      <c r="C131" s="561"/>
      <c r="D131" s="561"/>
      <c r="E131" s="399" t="s">
        <v>914</v>
      </c>
      <c r="F131" s="391">
        <v>0</v>
      </c>
      <c r="G131" s="361">
        <v>1E-3</v>
      </c>
      <c r="H131" s="363">
        <v>0</v>
      </c>
      <c r="I131" s="313">
        <f>D117*F131*G131*(1-H131)</f>
        <v>0</v>
      </c>
      <c r="J131" s="361" t="s">
        <v>291</v>
      </c>
      <c r="K131" s="363">
        <v>0</v>
      </c>
      <c r="L131" s="388">
        <f t="shared" si="23"/>
        <v>0</v>
      </c>
      <c r="M131" s="258"/>
      <c r="O131" s="311" t="str">
        <f t="shared" si="24"/>
        <v>-</v>
      </c>
      <c r="P131" s="311" t="str">
        <f t="shared" si="24"/>
        <v>-</v>
      </c>
      <c r="Q131" s="311" t="str">
        <f t="shared" si="24"/>
        <v>-</v>
      </c>
      <c r="R131" s="311" t="str">
        <f t="shared" si="24"/>
        <v>-</v>
      </c>
      <c r="S131" s="311" t="str">
        <f t="shared" si="24"/>
        <v>-</v>
      </c>
      <c r="T131" s="311" t="str">
        <f t="shared" si="24"/>
        <v>-</v>
      </c>
      <c r="U131" s="311" t="str">
        <f t="shared" si="24"/>
        <v>-</v>
      </c>
      <c r="V131" s="311" t="str">
        <f t="shared" si="24"/>
        <v>-</v>
      </c>
      <c r="W131" s="311" t="str">
        <f t="shared" si="24"/>
        <v>-</v>
      </c>
      <c r="X131" s="311" t="str">
        <f t="shared" si="24"/>
        <v>-</v>
      </c>
      <c r="Y131" s="311" t="str">
        <f t="shared" si="24"/>
        <v>-</v>
      </c>
      <c r="Z131" s="311" t="str">
        <f t="shared" si="24"/>
        <v>-</v>
      </c>
      <c r="AB131" s="311" t="str">
        <f>IF($E131=AB$3,#REF!*$F131,"-")</f>
        <v>-</v>
      </c>
      <c r="AC131" s="311" t="str">
        <f>IF($E131=AC$3,#REF!*$F131,"-")</f>
        <v>-</v>
      </c>
      <c r="AD131" s="311" t="str">
        <f>IF($E131=AD$3,#REF!*$F131,"-")</f>
        <v>-</v>
      </c>
      <c r="AE131" s="311" t="str">
        <f>IF($E131=AE$3,#REF!*$F131,"-")</f>
        <v>-</v>
      </c>
      <c r="AF131" s="311" t="str">
        <f>IF($E131=AF$3,#REF!*$F131,"-")</f>
        <v>-</v>
      </c>
      <c r="AG131" s="311" t="str">
        <f>IF($E131=AG$3,#REF!*$F131,"-")</f>
        <v>-</v>
      </c>
      <c r="AH131" s="311" t="str">
        <f>IF($E131=AH$3,#REF!*$F131,"-")</f>
        <v>-</v>
      </c>
      <c r="AI131" s="311" t="str">
        <f>IF($E131=AI$3,#REF!*$F131,"-")</f>
        <v>-</v>
      </c>
      <c r="AJ131" s="311" t="str">
        <f>IF($E131=AJ$3,#REF!*$F131,"-")</f>
        <v>-</v>
      </c>
      <c r="AK131" s="311" t="str">
        <f>IF($E131=AK$3,#REF!*$F131,"-")</f>
        <v>-</v>
      </c>
      <c r="AL131" s="311" t="str">
        <f>IF($E131=AL$3,#REF!*$F131,"-")</f>
        <v>-</v>
      </c>
      <c r="AM131" s="311" t="str">
        <f>IF($E131=AM$3,#REF!*$F131,"-")</f>
        <v>-</v>
      </c>
    </row>
    <row r="132" spans="3:39" ht="14.25" x14ac:dyDescent="0.2">
      <c r="C132" s="554"/>
      <c r="D132" s="554"/>
      <c r="E132" s="399" t="s">
        <v>916</v>
      </c>
      <c r="F132" s="391">
        <v>0</v>
      </c>
      <c r="G132" s="361">
        <v>1E-3</v>
      </c>
      <c r="H132" s="363">
        <v>0</v>
      </c>
      <c r="I132" s="313">
        <f>D117*F132*G132*(1-H132)</f>
        <v>0</v>
      </c>
      <c r="J132" s="361" t="s">
        <v>291</v>
      </c>
      <c r="K132" s="363">
        <v>0</v>
      </c>
      <c r="L132" s="388">
        <f t="shared" si="23"/>
        <v>0</v>
      </c>
      <c r="M132" s="258"/>
      <c r="O132" s="311" t="str">
        <f t="shared" si="24"/>
        <v>-</v>
      </c>
      <c r="P132" s="311" t="str">
        <f t="shared" si="24"/>
        <v>-</v>
      </c>
      <c r="Q132" s="311" t="str">
        <f t="shared" si="24"/>
        <v>-</v>
      </c>
      <c r="R132" s="311" t="str">
        <f t="shared" si="24"/>
        <v>-</v>
      </c>
      <c r="S132" s="311" t="str">
        <f t="shared" si="24"/>
        <v>-</v>
      </c>
      <c r="T132" s="311" t="str">
        <f t="shared" si="24"/>
        <v>-</v>
      </c>
      <c r="U132" s="311" t="str">
        <f t="shared" si="24"/>
        <v>-</v>
      </c>
      <c r="V132" s="311" t="str">
        <f t="shared" si="24"/>
        <v>-</v>
      </c>
      <c r="W132" s="311" t="str">
        <f t="shared" si="24"/>
        <v>-</v>
      </c>
      <c r="X132" s="311" t="str">
        <f t="shared" si="24"/>
        <v>-</v>
      </c>
      <c r="Y132" s="311" t="str">
        <f t="shared" si="24"/>
        <v>-</v>
      </c>
      <c r="Z132" s="311" t="str">
        <f t="shared" si="24"/>
        <v>-</v>
      </c>
      <c r="AB132" s="311" t="str">
        <f>IF($E132=AB$3,#REF!*$F132,"-")</f>
        <v>-</v>
      </c>
      <c r="AC132" s="311" t="str">
        <f>IF($E132=AC$3,#REF!*$F132,"-")</f>
        <v>-</v>
      </c>
      <c r="AD132" s="311" t="str">
        <f>IF($E132=AD$3,#REF!*$F132,"-")</f>
        <v>-</v>
      </c>
      <c r="AE132" s="311" t="str">
        <f>IF($E132=AE$3,#REF!*$F132,"-")</f>
        <v>-</v>
      </c>
      <c r="AF132" s="311" t="str">
        <f>IF($E132=AF$3,#REF!*$F132,"-")</f>
        <v>-</v>
      </c>
      <c r="AG132" s="311" t="str">
        <f>IF($E132=AG$3,#REF!*$F132,"-")</f>
        <v>-</v>
      </c>
      <c r="AH132" s="311" t="str">
        <f>IF($E132=AH$3,#REF!*$F132,"-")</f>
        <v>-</v>
      </c>
      <c r="AI132" s="311" t="str">
        <f>IF($E132=AI$3,#REF!*$F132,"-")</f>
        <v>-</v>
      </c>
      <c r="AJ132" s="311" t="str">
        <f>IF($E132=AJ$3,#REF!*$F132,"-")</f>
        <v>-</v>
      </c>
      <c r="AK132" s="311" t="str">
        <f>IF($E132=AK$3,#REF!*$F132,"-")</f>
        <v>-</v>
      </c>
      <c r="AL132" s="311" t="str">
        <f>IF($E132=AL$3,#REF!*$F132,"-")</f>
        <v>-</v>
      </c>
      <c r="AM132" s="311" t="str">
        <f>IF($E132=AM$3,#REF!*$F132,"-")</f>
        <v>-</v>
      </c>
    </row>
    <row r="133" spans="3:39" ht="25.5" x14ac:dyDescent="0.2">
      <c r="C133" s="312" t="s">
        <v>795</v>
      </c>
      <c r="D133" s="312">
        <v>30.185164561580173</v>
      </c>
      <c r="E133" s="399" t="s">
        <v>945</v>
      </c>
      <c r="F133" s="392">
        <v>0.02</v>
      </c>
      <c r="G133" s="361">
        <v>1E-3</v>
      </c>
      <c r="H133" s="363">
        <v>0</v>
      </c>
      <c r="I133" s="313">
        <f>D133*F133*G133*(1-H133)</f>
        <v>6.0370329123160353E-4</v>
      </c>
      <c r="J133" s="361" t="s">
        <v>291</v>
      </c>
      <c r="K133" s="363">
        <v>0</v>
      </c>
      <c r="L133" s="405">
        <f t="shared" ref="L133:L301" si="25">I133*(1-K133)</f>
        <v>6.0370329123160353E-4</v>
      </c>
      <c r="M133" s="258"/>
      <c r="O133" s="326"/>
      <c r="P133" s="326"/>
      <c r="Q133" s="326"/>
      <c r="R133" s="326"/>
      <c r="S133" s="326"/>
      <c r="T133" s="326"/>
      <c r="U133" s="326"/>
      <c r="V133" s="326"/>
      <c r="W133" s="326"/>
      <c r="X133" s="326"/>
      <c r="Y133" s="326"/>
      <c r="Z133" s="326"/>
      <c r="AB133" s="326"/>
      <c r="AC133" s="326"/>
      <c r="AD133" s="326"/>
      <c r="AE133" s="326"/>
      <c r="AF133" s="326"/>
      <c r="AG133" s="326"/>
      <c r="AH133" s="326"/>
      <c r="AI133" s="326"/>
      <c r="AJ133" s="326"/>
      <c r="AK133" s="326"/>
      <c r="AL133" s="326"/>
      <c r="AM133" s="326"/>
    </row>
    <row r="134" spans="3:39" ht="14.25" x14ac:dyDescent="0.2">
      <c r="C134" s="312" t="s">
        <v>796</v>
      </c>
      <c r="D134" s="312">
        <v>63.211118723015026</v>
      </c>
      <c r="E134" s="399" t="s">
        <v>360</v>
      </c>
      <c r="F134" s="392">
        <v>0.04</v>
      </c>
      <c r="G134" s="361">
        <v>1E-3</v>
      </c>
      <c r="H134" s="363">
        <v>0</v>
      </c>
      <c r="I134" s="313">
        <f>D134*F134*G134*(1-H134)</f>
        <v>2.5284447489206012E-3</v>
      </c>
      <c r="J134" s="361" t="s">
        <v>291</v>
      </c>
      <c r="K134" s="363">
        <v>0</v>
      </c>
      <c r="L134" s="405">
        <f>I134*(1-K134)</f>
        <v>2.5284447489206012E-3</v>
      </c>
      <c r="M134" s="258"/>
      <c r="O134" s="326"/>
      <c r="P134" s="326"/>
      <c r="Q134" s="326"/>
      <c r="R134" s="326"/>
      <c r="S134" s="326"/>
      <c r="T134" s="326"/>
      <c r="U134" s="326"/>
      <c r="V134" s="326"/>
      <c r="W134" s="326"/>
      <c r="X134" s="326"/>
      <c r="Y134" s="326"/>
      <c r="Z134" s="326"/>
      <c r="AB134" s="326"/>
      <c r="AC134" s="326"/>
      <c r="AD134" s="326"/>
      <c r="AE134" s="326"/>
      <c r="AF134" s="326"/>
      <c r="AG134" s="326"/>
      <c r="AH134" s="326"/>
      <c r="AI134" s="326"/>
      <c r="AJ134" s="326"/>
      <c r="AK134" s="326"/>
      <c r="AL134" s="326"/>
      <c r="AM134" s="326"/>
    </row>
    <row r="135" spans="3:39" ht="14.25" x14ac:dyDescent="0.25">
      <c r="C135" s="312" t="s">
        <v>785</v>
      </c>
      <c r="D135" s="312">
        <v>98065.814248224517</v>
      </c>
      <c r="E135" s="309" t="s">
        <v>946</v>
      </c>
      <c r="F135" s="392">
        <v>0.93</v>
      </c>
      <c r="G135" s="361">
        <v>1E-3</v>
      </c>
      <c r="H135" s="363">
        <v>0</v>
      </c>
      <c r="I135" s="313">
        <f>D135*F135*G135*(1-H135)</f>
        <v>91.20120725084881</v>
      </c>
      <c r="J135" s="361" t="s">
        <v>291</v>
      </c>
      <c r="K135" s="363">
        <v>0</v>
      </c>
      <c r="L135" s="364">
        <f>I135*(1-K135)</f>
        <v>91.20120725084881</v>
      </c>
      <c r="M135" s="258"/>
      <c r="O135" s="327"/>
      <c r="P135" s="327"/>
      <c r="Q135" s="327"/>
      <c r="R135" s="327"/>
      <c r="S135" s="327"/>
      <c r="T135" s="327"/>
      <c r="U135" s="327"/>
      <c r="V135" s="327"/>
      <c r="W135" s="327"/>
      <c r="X135" s="327"/>
      <c r="Y135" s="327"/>
      <c r="Z135" s="327"/>
      <c r="AB135" s="327"/>
      <c r="AC135" s="327"/>
      <c r="AD135" s="327"/>
      <c r="AE135" s="327"/>
      <c r="AF135" s="327"/>
      <c r="AG135" s="327"/>
      <c r="AH135" s="327"/>
      <c r="AI135" s="327"/>
      <c r="AJ135" s="327"/>
      <c r="AK135" s="327"/>
      <c r="AL135" s="327"/>
      <c r="AM135" s="327"/>
    </row>
    <row r="136" spans="3:39" ht="14.25" x14ac:dyDescent="0.25">
      <c r="C136" s="320" t="s">
        <v>947</v>
      </c>
      <c r="D136" s="320">
        <v>2303145.1016478031</v>
      </c>
      <c r="E136" s="309" t="s">
        <v>946</v>
      </c>
      <c r="F136" s="392">
        <v>0.96</v>
      </c>
      <c r="G136" s="309">
        <v>1E-3</v>
      </c>
      <c r="H136" s="392">
        <v>0</v>
      </c>
      <c r="I136" s="320">
        <f>D136*F136*G136*(1-H136)</f>
        <v>2211.0192975818909</v>
      </c>
      <c r="J136" s="309" t="s">
        <v>291</v>
      </c>
      <c r="K136" s="392">
        <v>0.4</v>
      </c>
      <c r="L136" s="393">
        <f t="shared" ref="L136:L152" si="26">I136*(1-K136)</f>
        <v>1326.6115785491345</v>
      </c>
      <c r="M136" s="258"/>
      <c r="O136" s="310"/>
      <c r="P136" s="310"/>
      <c r="Q136" s="310"/>
      <c r="R136" s="310"/>
      <c r="S136" s="310"/>
      <c r="T136" s="310"/>
      <c r="U136" s="310"/>
      <c r="V136" s="310"/>
      <c r="W136" s="310"/>
      <c r="X136" s="310"/>
      <c r="Y136" s="310"/>
      <c r="Z136" s="310"/>
      <c r="AB136" s="310"/>
      <c r="AC136" s="310"/>
      <c r="AD136" s="310"/>
      <c r="AE136" s="310"/>
      <c r="AF136" s="310"/>
      <c r="AG136" s="310"/>
      <c r="AH136" s="310"/>
      <c r="AI136" s="310"/>
      <c r="AJ136" s="310"/>
      <c r="AK136" s="310"/>
      <c r="AL136" s="310"/>
      <c r="AM136" s="310"/>
    </row>
    <row r="137" spans="3:39" ht="15" x14ac:dyDescent="0.25">
      <c r="C137" s="596" t="s">
        <v>948</v>
      </c>
      <c r="D137" s="560">
        <v>7800</v>
      </c>
      <c r="E137" s="263" t="s">
        <v>949</v>
      </c>
      <c r="F137" s="404">
        <v>0.99979499599999999</v>
      </c>
      <c r="G137" s="309">
        <v>1E-3</v>
      </c>
      <c r="H137" s="392">
        <v>0</v>
      </c>
      <c r="I137" s="406">
        <f>D137*F137*G137*(1-H137)</f>
        <v>7.7984009688000002</v>
      </c>
      <c r="J137" s="309" t="s">
        <v>291</v>
      </c>
      <c r="K137" s="363">
        <v>0</v>
      </c>
      <c r="L137" s="396">
        <f>I137*(1-K137)</f>
        <v>7.7984009688000002</v>
      </c>
      <c r="M137" s="258"/>
      <c r="O137" s="311" t="str">
        <f t="shared" ref="O137:Z146" si="27">IF($E137=O$3,$D$137*$F137,"-")</f>
        <v>-</v>
      </c>
      <c r="P137" s="311" t="str">
        <f t="shared" si="27"/>
        <v>-</v>
      </c>
      <c r="Q137" s="311" t="str">
        <f t="shared" si="27"/>
        <v>-</v>
      </c>
      <c r="R137" s="311" t="str">
        <f t="shared" si="27"/>
        <v>-</v>
      </c>
      <c r="S137" s="311" t="str">
        <f t="shared" si="27"/>
        <v>-</v>
      </c>
      <c r="T137" s="311" t="str">
        <f t="shared" si="27"/>
        <v>-</v>
      </c>
      <c r="U137" s="311" t="str">
        <f t="shared" si="27"/>
        <v>-</v>
      </c>
      <c r="V137" s="311" t="str">
        <f t="shared" si="27"/>
        <v>-</v>
      </c>
      <c r="W137" s="311" t="str">
        <f t="shared" si="27"/>
        <v>-</v>
      </c>
      <c r="X137" s="311" t="str">
        <f t="shared" si="27"/>
        <v>-</v>
      </c>
      <c r="Y137" s="311" t="str">
        <f t="shared" si="27"/>
        <v>-</v>
      </c>
      <c r="Z137" s="311" t="str">
        <f t="shared" si="27"/>
        <v>-</v>
      </c>
      <c r="AB137" s="311" t="str">
        <f>IF($E137=AB$3,#REF!*$F137,"-")</f>
        <v>-</v>
      </c>
      <c r="AC137" s="311" t="str">
        <f>IF($E137=AC$3,#REF!*$F137,"-")</f>
        <v>-</v>
      </c>
      <c r="AD137" s="311" t="str">
        <f>IF($E137=AD$3,#REF!*$F137,"-")</f>
        <v>-</v>
      </c>
      <c r="AE137" s="311" t="str">
        <f>IF($E137=AE$3,#REF!*$F137,"-")</f>
        <v>-</v>
      </c>
      <c r="AF137" s="311" t="str">
        <f>IF($E137=AF$3,#REF!*$F137,"-")</f>
        <v>-</v>
      </c>
      <c r="AG137" s="311" t="str">
        <f>IF($E137=AG$3,#REF!*$F137,"-")</f>
        <v>-</v>
      </c>
      <c r="AH137" s="311" t="str">
        <f>IF($E137=AH$3,#REF!*$F137,"-")</f>
        <v>-</v>
      </c>
      <c r="AI137" s="311" t="str">
        <f>IF($E137=AI$3,#REF!*$F137,"-")</f>
        <v>-</v>
      </c>
      <c r="AJ137" s="311" t="str">
        <f>IF($E137=AJ$3,#REF!*$F137,"-")</f>
        <v>-</v>
      </c>
      <c r="AK137" s="311" t="str">
        <f>IF($E137=AK$3,#REF!*$F137,"-")</f>
        <v>-</v>
      </c>
      <c r="AL137" s="311" t="str">
        <f>IF($E137=AL$3,#REF!*$F137,"-")</f>
        <v>-</v>
      </c>
      <c r="AM137" s="311" t="str">
        <f>IF($E137=AM$3,#REF!*$F137,"-")</f>
        <v>-</v>
      </c>
    </row>
    <row r="138" spans="3:39" ht="15" customHeight="1" x14ac:dyDescent="0.2">
      <c r="C138" s="597"/>
      <c r="D138" s="561"/>
      <c r="E138" s="309" t="s">
        <v>877</v>
      </c>
      <c r="F138" s="407">
        <v>4.9999999999999998E-7</v>
      </c>
      <c r="G138" s="309">
        <v>1E-3</v>
      </c>
      <c r="H138" s="392">
        <v>0</v>
      </c>
      <c r="I138" s="320">
        <f>D137*F138*G138*(1-H138)</f>
        <v>3.8999999999999999E-6</v>
      </c>
      <c r="J138" s="309" t="s">
        <v>291</v>
      </c>
      <c r="K138" s="363">
        <v>0</v>
      </c>
      <c r="L138" s="396">
        <f t="shared" si="26"/>
        <v>3.8999999999999999E-6</v>
      </c>
      <c r="M138" s="258"/>
      <c r="O138" s="311">
        <f t="shared" si="27"/>
        <v>3.8999999999999998E-3</v>
      </c>
      <c r="P138" s="311" t="str">
        <f t="shared" si="27"/>
        <v>-</v>
      </c>
      <c r="Q138" s="311" t="str">
        <f t="shared" si="27"/>
        <v>-</v>
      </c>
      <c r="R138" s="311" t="str">
        <f t="shared" si="27"/>
        <v>-</v>
      </c>
      <c r="S138" s="311" t="str">
        <f t="shared" si="27"/>
        <v>-</v>
      </c>
      <c r="T138" s="311" t="str">
        <f t="shared" si="27"/>
        <v>-</v>
      </c>
      <c r="U138" s="311" t="str">
        <f t="shared" si="27"/>
        <v>-</v>
      </c>
      <c r="V138" s="311" t="str">
        <f t="shared" si="27"/>
        <v>-</v>
      </c>
      <c r="W138" s="311" t="str">
        <f t="shared" si="27"/>
        <v>-</v>
      </c>
      <c r="X138" s="311" t="str">
        <f t="shared" si="27"/>
        <v>-</v>
      </c>
      <c r="Y138" s="311" t="str">
        <f t="shared" si="27"/>
        <v>-</v>
      </c>
      <c r="Z138" s="311" t="str">
        <f t="shared" si="27"/>
        <v>-</v>
      </c>
      <c r="AB138" s="311" t="e">
        <f>IF($E138=AB$3,#REF!*$F138,"-")</f>
        <v>#REF!</v>
      </c>
      <c r="AC138" s="311" t="str">
        <f>IF($E138=AC$3,#REF!*$F138,"-")</f>
        <v>-</v>
      </c>
      <c r="AD138" s="311" t="str">
        <f>IF($E138=AD$3,#REF!*$F138,"-")</f>
        <v>-</v>
      </c>
      <c r="AE138" s="311" t="str">
        <f>IF($E138=AE$3,#REF!*$F138,"-")</f>
        <v>-</v>
      </c>
      <c r="AF138" s="311" t="str">
        <f>IF($E138=AF$3,#REF!*$F138,"-")</f>
        <v>-</v>
      </c>
      <c r="AG138" s="311" t="str">
        <f>IF($E138=AG$3,#REF!*$F138,"-")</f>
        <v>-</v>
      </c>
      <c r="AH138" s="311" t="str">
        <f>IF($E138=AH$3,#REF!*$F138,"-")</f>
        <v>-</v>
      </c>
      <c r="AI138" s="311" t="str">
        <f>IF($E138=AI$3,#REF!*$F138,"-")</f>
        <v>-</v>
      </c>
      <c r="AJ138" s="311" t="str">
        <f>IF($E138=AJ$3,#REF!*$F138,"-")</f>
        <v>-</v>
      </c>
      <c r="AK138" s="311" t="str">
        <f>IF($E138=AK$3,#REF!*$F138,"-")</f>
        <v>-</v>
      </c>
      <c r="AL138" s="311" t="str">
        <f>IF($E138=AL$3,#REF!*$F138,"-")</f>
        <v>-</v>
      </c>
      <c r="AM138" s="311" t="str">
        <f>IF($E138=AM$3,#REF!*$F138,"-")</f>
        <v>-</v>
      </c>
    </row>
    <row r="139" spans="3:39" ht="14.25" x14ac:dyDescent="0.2">
      <c r="C139" s="597"/>
      <c r="D139" s="561"/>
      <c r="E139" s="309" t="s">
        <v>888</v>
      </c>
      <c r="F139" s="407">
        <v>4.9999999999999998E-7</v>
      </c>
      <c r="G139" s="309">
        <v>1E-3</v>
      </c>
      <c r="H139" s="392">
        <v>0</v>
      </c>
      <c r="I139" s="320">
        <f>D137*F139*G139*(1-H139)</f>
        <v>3.8999999999999999E-6</v>
      </c>
      <c r="J139" s="309" t="s">
        <v>291</v>
      </c>
      <c r="K139" s="363">
        <v>0</v>
      </c>
      <c r="L139" s="396">
        <f t="shared" si="26"/>
        <v>3.8999999999999999E-6</v>
      </c>
      <c r="M139" s="258"/>
      <c r="O139" s="311" t="str">
        <f t="shared" si="27"/>
        <v>-</v>
      </c>
      <c r="P139" s="311" t="str">
        <f t="shared" si="27"/>
        <v>-</v>
      </c>
      <c r="Q139" s="311" t="str">
        <f t="shared" si="27"/>
        <v>-</v>
      </c>
      <c r="R139" s="311" t="str">
        <f t="shared" si="27"/>
        <v>-</v>
      </c>
      <c r="S139" s="311" t="str">
        <f t="shared" si="27"/>
        <v>-</v>
      </c>
      <c r="T139" s="311" t="str">
        <f t="shared" si="27"/>
        <v>-</v>
      </c>
      <c r="U139" s="311" t="str">
        <f t="shared" si="27"/>
        <v>-</v>
      </c>
      <c r="V139" s="311" t="str">
        <f t="shared" si="27"/>
        <v>-</v>
      </c>
      <c r="W139" s="311" t="str">
        <f t="shared" si="27"/>
        <v>-</v>
      </c>
      <c r="X139" s="311" t="str">
        <f t="shared" si="27"/>
        <v>-</v>
      </c>
      <c r="Y139" s="311" t="str">
        <f t="shared" si="27"/>
        <v>-</v>
      </c>
      <c r="Z139" s="311">
        <f t="shared" si="27"/>
        <v>3.8999999999999998E-3</v>
      </c>
      <c r="AB139" s="311" t="str">
        <f>IF($E139=AB$3,#REF!*$F139,"-")</f>
        <v>-</v>
      </c>
      <c r="AC139" s="311" t="str">
        <f>IF($E139=AC$3,#REF!*$F139,"-")</f>
        <v>-</v>
      </c>
      <c r="AD139" s="311" t="str">
        <f>IF($E139=AD$3,#REF!*$F139,"-")</f>
        <v>-</v>
      </c>
      <c r="AE139" s="311" t="str">
        <f>IF($E139=AE$3,#REF!*$F139,"-")</f>
        <v>-</v>
      </c>
      <c r="AF139" s="311" t="str">
        <f>IF($E139=AF$3,#REF!*$F139,"-")</f>
        <v>-</v>
      </c>
      <c r="AG139" s="311" t="str">
        <f>IF($E139=AG$3,#REF!*$F139,"-")</f>
        <v>-</v>
      </c>
      <c r="AH139" s="311" t="str">
        <f>IF($E139=AH$3,#REF!*$F139,"-")</f>
        <v>-</v>
      </c>
      <c r="AI139" s="311" t="str">
        <f>IF($E139=AI$3,#REF!*$F139,"-")</f>
        <v>-</v>
      </c>
      <c r="AJ139" s="311" t="str">
        <f>IF($E139=AJ$3,#REF!*$F139,"-")</f>
        <v>-</v>
      </c>
      <c r="AK139" s="311" t="str">
        <f>IF($E139=AK$3,#REF!*$F139,"-")</f>
        <v>-</v>
      </c>
      <c r="AL139" s="311" t="str">
        <f>IF($E139=AL$3,#REF!*$F139,"-")</f>
        <v>-</v>
      </c>
      <c r="AM139" s="311" t="e">
        <f>IF($E139=AM$3,#REF!*$F139,"-")</f>
        <v>#REF!</v>
      </c>
    </row>
    <row r="140" spans="3:39" ht="14.25" x14ac:dyDescent="0.2">
      <c r="C140" s="597"/>
      <c r="D140" s="561"/>
      <c r="E140" s="309" t="s">
        <v>897</v>
      </c>
      <c r="F140" s="407">
        <v>4.9999999999999998E-7</v>
      </c>
      <c r="G140" s="309">
        <v>1E-3</v>
      </c>
      <c r="H140" s="392">
        <v>0</v>
      </c>
      <c r="I140" s="320">
        <f>D137*F140*G140*(1-H140)</f>
        <v>3.8999999999999999E-6</v>
      </c>
      <c r="J140" s="309" t="s">
        <v>291</v>
      </c>
      <c r="K140" s="363">
        <v>0</v>
      </c>
      <c r="L140" s="396">
        <f t="shared" si="26"/>
        <v>3.8999999999999999E-6</v>
      </c>
      <c r="M140" s="258"/>
      <c r="O140" s="311" t="str">
        <f t="shared" si="27"/>
        <v>-</v>
      </c>
      <c r="P140" s="311" t="str">
        <f t="shared" si="27"/>
        <v>-</v>
      </c>
      <c r="Q140" s="311" t="str">
        <f t="shared" si="27"/>
        <v>-</v>
      </c>
      <c r="R140" s="311" t="str">
        <f t="shared" si="27"/>
        <v>-</v>
      </c>
      <c r="S140" s="311" t="str">
        <f t="shared" si="27"/>
        <v>-</v>
      </c>
      <c r="T140" s="311" t="str">
        <f t="shared" si="27"/>
        <v>-</v>
      </c>
      <c r="U140" s="311" t="str">
        <f t="shared" si="27"/>
        <v>-</v>
      </c>
      <c r="V140" s="311" t="str">
        <f t="shared" si="27"/>
        <v>-</v>
      </c>
      <c r="W140" s="311" t="str">
        <f t="shared" si="27"/>
        <v>-</v>
      </c>
      <c r="X140" s="311" t="str">
        <f t="shared" si="27"/>
        <v>-</v>
      </c>
      <c r="Y140" s="311" t="str">
        <f t="shared" si="27"/>
        <v>-</v>
      </c>
      <c r="Z140" s="311" t="str">
        <f t="shared" si="27"/>
        <v>-</v>
      </c>
      <c r="AB140" s="311" t="str">
        <f>IF($E140=AB$3,#REF!*$F140,"-")</f>
        <v>-</v>
      </c>
      <c r="AC140" s="311" t="str">
        <f>IF($E140=AC$3,#REF!*$F140,"-")</f>
        <v>-</v>
      </c>
      <c r="AD140" s="311" t="str">
        <f>IF($E140=AD$3,#REF!*$F140,"-")</f>
        <v>-</v>
      </c>
      <c r="AE140" s="311" t="str">
        <f>IF($E140=AE$3,#REF!*$F140,"-")</f>
        <v>-</v>
      </c>
      <c r="AF140" s="311" t="str">
        <f>IF($E140=AF$3,#REF!*$F140,"-")</f>
        <v>-</v>
      </c>
      <c r="AG140" s="311" t="str">
        <f>IF($E140=AG$3,#REF!*$F140,"-")</f>
        <v>-</v>
      </c>
      <c r="AH140" s="311" t="str">
        <f>IF($E140=AH$3,#REF!*$F140,"-")</f>
        <v>-</v>
      </c>
      <c r="AI140" s="311" t="str">
        <f>IF($E140=AI$3,#REF!*$F140,"-")</f>
        <v>-</v>
      </c>
      <c r="AJ140" s="311" t="str">
        <f>IF($E140=AJ$3,#REF!*$F140,"-")</f>
        <v>-</v>
      </c>
      <c r="AK140" s="311" t="str">
        <f>IF($E140=AK$3,#REF!*$F140,"-")</f>
        <v>-</v>
      </c>
      <c r="AL140" s="311" t="str">
        <f>IF($E140=AL$3,#REF!*$F140,"-")</f>
        <v>-</v>
      </c>
      <c r="AM140" s="311" t="str">
        <f>IF($E140=AM$3,#REF!*$F140,"-")</f>
        <v>-</v>
      </c>
    </row>
    <row r="141" spans="3:39" ht="14.25" x14ac:dyDescent="0.2">
      <c r="C141" s="597"/>
      <c r="D141" s="561"/>
      <c r="E141" s="309" t="s">
        <v>880</v>
      </c>
      <c r="F141" s="407">
        <v>4.9999999999999998E-7</v>
      </c>
      <c r="G141" s="309">
        <v>1E-3</v>
      </c>
      <c r="H141" s="392">
        <v>0</v>
      </c>
      <c r="I141" s="320">
        <f>D137*F141*G141*(1-H141)</f>
        <v>3.8999999999999999E-6</v>
      </c>
      <c r="J141" s="309" t="s">
        <v>291</v>
      </c>
      <c r="K141" s="363">
        <v>0</v>
      </c>
      <c r="L141" s="396">
        <f t="shared" si="26"/>
        <v>3.8999999999999999E-6</v>
      </c>
      <c r="M141" s="258"/>
      <c r="O141" s="311" t="str">
        <f t="shared" si="27"/>
        <v>-</v>
      </c>
      <c r="P141" s="311" t="str">
        <f t="shared" si="27"/>
        <v>-</v>
      </c>
      <c r="Q141" s="311" t="str">
        <f t="shared" si="27"/>
        <v>-</v>
      </c>
      <c r="R141" s="311">
        <f t="shared" si="27"/>
        <v>3.8999999999999998E-3</v>
      </c>
      <c r="S141" s="311" t="str">
        <f t="shared" si="27"/>
        <v>-</v>
      </c>
      <c r="T141" s="311" t="str">
        <f t="shared" si="27"/>
        <v>-</v>
      </c>
      <c r="U141" s="311" t="str">
        <f t="shared" si="27"/>
        <v>-</v>
      </c>
      <c r="V141" s="311" t="str">
        <f t="shared" si="27"/>
        <v>-</v>
      </c>
      <c r="W141" s="311" t="str">
        <f t="shared" si="27"/>
        <v>-</v>
      </c>
      <c r="X141" s="311" t="str">
        <f t="shared" si="27"/>
        <v>-</v>
      </c>
      <c r="Y141" s="311" t="str">
        <f t="shared" si="27"/>
        <v>-</v>
      </c>
      <c r="Z141" s="311" t="str">
        <f t="shared" si="27"/>
        <v>-</v>
      </c>
      <c r="AB141" s="311" t="str">
        <f>IF($E141=AB$3,#REF!*$F141,"-")</f>
        <v>-</v>
      </c>
      <c r="AC141" s="311" t="str">
        <f>IF($E141=AC$3,#REF!*$F141,"-")</f>
        <v>-</v>
      </c>
      <c r="AD141" s="311" t="str">
        <f>IF($E141=AD$3,#REF!*$F141,"-")</f>
        <v>-</v>
      </c>
      <c r="AE141" s="311" t="e">
        <f>IF($E141=AE$3,#REF!*$F141,"-")</f>
        <v>#REF!</v>
      </c>
      <c r="AF141" s="311" t="str">
        <f>IF($E141=AF$3,#REF!*$F141,"-")</f>
        <v>-</v>
      </c>
      <c r="AG141" s="311" t="str">
        <f>IF($E141=AG$3,#REF!*$F141,"-")</f>
        <v>-</v>
      </c>
      <c r="AH141" s="311" t="str">
        <f>IF($E141=AH$3,#REF!*$F141,"-")</f>
        <v>-</v>
      </c>
      <c r="AI141" s="311" t="str">
        <f>IF($E141=AI$3,#REF!*$F141,"-")</f>
        <v>-</v>
      </c>
      <c r="AJ141" s="311" t="str">
        <f>IF($E141=AJ$3,#REF!*$F141,"-")</f>
        <v>-</v>
      </c>
      <c r="AK141" s="311" t="str">
        <f>IF($E141=AK$3,#REF!*$F141,"-")</f>
        <v>-</v>
      </c>
      <c r="AL141" s="311" t="str">
        <f>IF($E141=AL$3,#REF!*$F141,"-")</f>
        <v>-</v>
      </c>
      <c r="AM141" s="311" t="str">
        <f>IF($E141=AM$3,#REF!*$F141,"-")</f>
        <v>-</v>
      </c>
    </row>
    <row r="142" spans="3:39" ht="14.25" x14ac:dyDescent="0.2">
      <c r="C142" s="597"/>
      <c r="D142" s="561"/>
      <c r="E142" s="309" t="s">
        <v>898</v>
      </c>
      <c r="F142" s="407">
        <v>4.9999999999999998E-7</v>
      </c>
      <c r="G142" s="309">
        <v>1E-3</v>
      </c>
      <c r="H142" s="392">
        <v>0</v>
      </c>
      <c r="I142" s="320">
        <f>D137*F142*G142*(1-H142)</f>
        <v>3.8999999999999999E-6</v>
      </c>
      <c r="J142" s="309" t="s">
        <v>291</v>
      </c>
      <c r="K142" s="363">
        <v>0</v>
      </c>
      <c r="L142" s="396">
        <f t="shared" si="26"/>
        <v>3.8999999999999999E-6</v>
      </c>
      <c r="M142" s="258"/>
      <c r="O142" s="311" t="str">
        <f t="shared" si="27"/>
        <v>-</v>
      </c>
      <c r="P142" s="311" t="str">
        <f t="shared" si="27"/>
        <v>-</v>
      </c>
      <c r="Q142" s="311" t="str">
        <f t="shared" si="27"/>
        <v>-</v>
      </c>
      <c r="R142" s="311" t="str">
        <f t="shared" si="27"/>
        <v>-</v>
      </c>
      <c r="S142" s="311" t="str">
        <f t="shared" si="27"/>
        <v>-</v>
      </c>
      <c r="T142" s="311" t="str">
        <f t="shared" si="27"/>
        <v>-</v>
      </c>
      <c r="U142" s="311" t="str">
        <f t="shared" si="27"/>
        <v>-</v>
      </c>
      <c r="V142" s="311" t="str">
        <f t="shared" si="27"/>
        <v>-</v>
      </c>
      <c r="W142" s="311" t="str">
        <f t="shared" si="27"/>
        <v>-</v>
      </c>
      <c r="X142" s="311" t="str">
        <f t="shared" si="27"/>
        <v>-</v>
      </c>
      <c r="Y142" s="311" t="str">
        <f t="shared" si="27"/>
        <v>-</v>
      </c>
      <c r="Z142" s="311" t="str">
        <f t="shared" si="27"/>
        <v>-</v>
      </c>
      <c r="AB142" s="311" t="str">
        <f>IF($E142=AB$3,#REF!*$F142,"-")</f>
        <v>-</v>
      </c>
      <c r="AC142" s="311" t="str">
        <f>IF($E142=AC$3,#REF!*$F142,"-")</f>
        <v>-</v>
      </c>
      <c r="AD142" s="311" t="str">
        <f>IF($E142=AD$3,#REF!*$F142,"-")</f>
        <v>-</v>
      </c>
      <c r="AE142" s="311" t="str">
        <f>IF($E142=AE$3,#REF!*$F142,"-")</f>
        <v>-</v>
      </c>
      <c r="AF142" s="311" t="str">
        <f>IF($E142=AF$3,#REF!*$F142,"-")</f>
        <v>-</v>
      </c>
      <c r="AG142" s="311" t="str">
        <f>IF($E142=AG$3,#REF!*$F142,"-")</f>
        <v>-</v>
      </c>
      <c r="AH142" s="311" t="str">
        <f>IF($E142=AH$3,#REF!*$F142,"-")</f>
        <v>-</v>
      </c>
      <c r="AI142" s="311" t="str">
        <f>IF($E142=AI$3,#REF!*$F142,"-")</f>
        <v>-</v>
      </c>
      <c r="AJ142" s="311" t="str">
        <f>IF($E142=AJ$3,#REF!*$F142,"-")</f>
        <v>-</v>
      </c>
      <c r="AK142" s="311" t="str">
        <f>IF($E142=AK$3,#REF!*$F142,"-")</f>
        <v>-</v>
      </c>
      <c r="AL142" s="311" t="str">
        <f>IF($E142=AL$3,#REF!*$F142,"-")</f>
        <v>-</v>
      </c>
      <c r="AM142" s="311" t="str">
        <f>IF($E142=AM$3,#REF!*$F142,"-")</f>
        <v>-</v>
      </c>
    </row>
    <row r="143" spans="3:39" ht="14.25" x14ac:dyDescent="0.2">
      <c r="C143" s="597"/>
      <c r="D143" s="561"/>
      <c r="E143" s="309" t="s">
        <v>901</v>
      </c>
      <c r="F143" s="407">
        <v>4.9999999999999998E-7</v>
      </c>
      <c r="G143" s="309">
        <v>1E-3</v>
      </c>
      <c r="H143" s="392">
        <v>0</v>
      </c>
      <c r="I143" s="320">
        <f>D137*F143*G143*(1-H143)</f>
        <v>3.8999999999999999E-6</v>
      </c>
      <c r="J143" s="309" t="s">
        <v>291</v>
      </c>
      <c r="K143" s="363">
        <v>0</v>
      </c>
      <c r="L143" s="396">
        <f t="shared" si="26"/>
        <v>3.8999999999999999E-6</v>
      </c>
      <c r="M143" s="258"/>
      <c r="O143" s="311" t="str">
        <f t="shared" si="27"/>
        <v>-</v>
      </c>
      <c r="P143" s="311" t="str">
        <f t="shared" si="27"/>
        <v>-</v>
      </c>
      <c r="Q143" s="311" t="str">
        <f t="shared" si="27"/>
        <v>-</v>
      </c>
      <c r="R143" s="311" t="str">
        <f t="shared" si="27"/>
        <v>-</v>
      </c>
      <c r="S143" s="311" t="str">
        <f t="shared" si="27"/>
        <v>-</v>
      </c>
      <c r="T143" s="311" t="str">
        <f t="shared" si="27"/>
        <v>-</v>
      </c>
      <c r="U143" s="311" t="str">
        <f t="shared" si="27"/>
        <v>-</v>
      </c>
      <c r="V143" s="311" t="str">
        <f t="shared" si="27"/>
        <v>-</v>
      </c>
      <c r="W143" s="311" t="str">
        <f t="shared" si="27"/>
        <v>-</v>
      </c>
      <c r="X143" s="311" t="str">
        <f t="shared" si="27"/>
        <v>-</v>
      </c>
      <c r="Y143" s="311" t="str">
        <f t="shared" si="27"/>
        <v>-</v>
      </c>
      <c r="Z143" s="311" t="str">
        <f t="shared" si="27"/>
        <v>-</v>
      </c>
      <c r="AB143" s="311" t="str">
        <f>IF($E143=AB$3,#REF!*$F143,"-")</f>
        <v>-</v>
      </c>
      <c r="AC143" s="311" t="str">
        <f>IF($E143=AC$3,#REF!*$F143,"-")</f>
        <v>-</v>
      </c>
      <c r="AD143" s="311" t="str">
        <f>IF($E143=AD$3,#REF!*$F143,"-")</f>
        <v>-</v>
      </c>
      <c r="AE143" s="311" t="str">
        <f>IF($E143=AE$3,#REF!*$F143,"-")</f>
        <v>-</v>
      </c>
      <c r="AF143" s="311" t="str">
        <f>IF($E143=AF$3,#REF!*$F143,"-")</f>
        <v>-</v>
      </c>
      <c r="AG143" s="311" t="str">
        <f>IF($E143=AG$3,#REF!*$F143,"-")</f>
        <v>-</v>
      </c>
      <c r="AH143" s="311" t="str">
        <f>IF($E143=AH$3,#REF!*$F143,"-")</f>
        <v>-</v>
      </c>
      <c r="AI143" s="311" t="str">
        <f>IF($E143=AI$3,#REF!*$F143,"-")</f>
        <v>-</v>
      </c>
      <c r="AJ143" s="311" t="str">
        <f>IF($E143=AJ$3,#REF!*$F143,"-")</f>
        <v>-</v>
      </c>
      <c r="AK143" s="311" t="str">
        <f>IF($E143=AK$3,#REF!*$F143,"-")</f>
        <v>-</v>
      </c>
      <c r="AL143" s="311" t="str">
        <f>IF($E143=AL$3,#REF!*$F143,"-")</f>
        <v>-</v>
      </c>
      <c r="AM143" s="311" t="str">
        <f>IF($E143=AM$3,#REF!*$F143,"-")</f>
        <v>-</v>
      </c>
    </row>
    <row r="144" spans="3:39" ht="14.25" x14ac:dyDescent="0.2">
      <c r="C144" s="597"/>
      <c r="D144" s="561"/>
      <c r="E144" s="309" t="s">
        <v>950</v>
      </c>
      <c r="F144" s="407">
        <v>3.0000000000000001E-5</v>
      </c>
      <c r="G144" s="309">
        <v>1E-3</v>
      </c>
      <c r="H144" s="392">
        <v>0</v>
      </c>
      <c r="I144" s="320">
        <f>D137*F144*G144*(1-H144)</f>
        <v>2.3400000000000002E-4</v>
      </c>
      <c r="J144" s="309" t="s">
        <v>291</v>
      </c>
      <c r="K144" s="363">
        <v>0</v>
      </c>
      <c r="L144" s="396">
        <f t="shared" si="26"/>
        <v>2.3400000000000002E-4</v>
      </c>
      <c r="M144" s="258"/>
      <c r="O144" s="311" t="str">
        <f t="shared" si="27"/>
        <v>-</v>
      </c>
      <c r="P144" s="311" t="str">
        <f t="shared" si="27"/>
        <v>-</v>
      </c>
      <c r="Q144" s="311" t="str">
        <f t="shared" si="27"/>
        <v>-</v>
      </c>
      <c r="R144" s="311" t="str">
        <f t="shared" si="27"/>
        <v>-</v>
      </c>
      <c r="S144" s="311" t="str">
        <f t="shared" si="27"/>
        <v>-</v>
      </c>
      <c r="T144" s="311" t="str">
        <f t="shared" si="27"/>
        <v>-</v>
      </c>
      <c r="U144" s="311" t="str">
        <f t="shared" si="27"/>
        <v>-</v>
      </c>
      <c r="V144" s="311" t="str">
        <f t="shared" si="27"/>
        <v>-</v>
      </c>
      <c r="W144" s="311" t="str">
        <f t="shared" si="27"/>
        <v>-</v>
      </c>
      <c r="X144" s="311" t="str">
        <f t="shared" si="27"/>
        <v>-</v>
      </c>
      <c r="Y144" s="311" t="str">
        <f t="shared" si="27"/>
        <v>-</v>
      </c>
      <c r="Z144" s="311" t="str">
        <f t="shared" si="27"/>
        <v>-</v>
      </c>
      <c r="AB144" s="311" t="str">
        <f>IF($E144=AB$3,#REF!*$F144,"-")</f>
        <v>-</v>
      </c>
      <c r="AC144" s="311" t="str">
        <f>IF($E144=AC$3,#REF!*$F144,"-")</f>
        <v>-</v>
      </c>
      <c r="AD144" s="311" t="str">
        <f>IF($E144=AD$3,#REF!*$F144,"-")</f>
        <v>-</v>
      </c>
      <c r="AE144" s="311" t="str">
        <f>IF($E144=AE$3,#REF!*$F144,"-")</f>
        <v>-</v>
      </c>
      <c r="AF144" s="311" t="str">
        <f>IF($E144=AF$3,#REF!*$F144,"-")</f>
        <v>-</v>
      </c>
      <c r="AG144" s="311" t="str">
        <f>IF($E144=AG$3,#REF!*$F144,"-")</f>
        <v>-</v>
      </c>
      <c r="AH144" s="311" t="str">
        <f>IF($E144=AH$3,#REF!*$F144,"-")</f>
        <v>-</v>
      </c>
      <c r="AI144" s="311" t="str">
        <f>IF($E144=AI$3,#REF!*$F144,"-")</f>
        <v>-</v>
      </c>
      <c r="AJ144" s="311" t="str">
        <f>IF($E144=AJ$3,#REF!*$F144,"-")</f>
        <v>-</v>
      </c>
      <c r="AK144" s="311" t="str">
        <f>IF($E144=AK$3,#REF!*$F144,"-")</f>
        <v>-</v>
      </c>
      <c r="AL144" s="311" t="str">
        <f>IF($E144=AL$3,#REF!*$F144,"-")</f>
        <v>-</v>
      </c>
      <c r="AM144" s="311" t="str">
        <f>IF($E144=AM$3,#REF!*$F144,"-")</f>
        <v>-</v>
      </c>
    </row>
    <row r="145" spans="3:39" ht="14.25" x14ac:dyDescent="0.2">
      <c r="C145" s="597"/>
      <c r="D145" s="561"/>
      <c r="E145" s="309" t="s">
        <v>951</v>
      </c>
      <c r="F145" s="407">
        <v>3.0000000000000001E-5</v>
      </c>
      <c r="G145" s="309">
        <v>1E-3</v>
      </c>
      <c r="H145" s="392">
        <v>0</v>
      </c>
      <c r="I145" s="320">
        <f>D137*F145*G145*(1-H145)</f>
        <v>2.3400000000000002E-4</v>
      </c>
      <c r="J145" s="309" t="s">
        <v>291</v>
      </c>
      <c r="K145" s="363">
        <v>0</v>
      </c>
      <c r="L145" s="396">
        <f t="shared" si="26"/>
        <v>2.3400000000000002E-4</v>
      </c>
      <c r="M145" s="258"/>
      <c r="O145" s="311" t="str">
        <f t="shared" si="27"/>
        <v>-</v>
      </c>
      <c r="P145" s="311" t="str">
        <f t="shared" si="27"/>
        <v>-</v>
      </c>
      <c r="Q145" s="311" t="str">
        <f t="shared" si="27"/>
        <v>-</v>
      </c>
      <c r="R145" s="311" t="str">
        <f t="shared" si="27"/>
        <v>-</v>
      </c>
      <c r="S145" s="311" t="str">
        <f t="shared" si="27"/>
        <v>-</v>
      </c>
      <c r="T145" s="311" t="str">
        <f t="shared" si="27"/>
        <v>-</v>
      </c>
      <c r="U145" s="311" t="str">
        <f t="shared" si="27"/>
        <v>-</v>
      </c>
      <c r="V145" s="311" t="str">
        <f t="shared" si="27"/>
        <v>-</v>
      </c>
      <c r="W145" s="311" t="str">
        <f t="shared" si="27"/>
        <v>-</v>
      </c>
      <c r="X145" s="311" t="str">
        <f t="shared" si="27"/>
        <v>-</v>
      </c>
      <c r="Y145" s="311" t="str">
        <f t="shared" si="27"/>
        <v>-</v>
      </c>
      <c r="Z145" s="311" t="str">
        <f t="shared" si="27"/>
        <v>-</v>
      </c>
      <c r="AB145" s="311" t="str">
        <f>IF($E145=AB$3,#REF!*$F145,"-")</f>
        <v>-</v>
      </c>
      <c r="AC145" s="311" t="str">
        <f>IF($E145=AC$3,#REF!*$F145,"-")</f>
        <v>-</v>
      </c>
      <c r="AD145" s="311" t="str">
        <f>IF($E145=AD$3,#REF!*$F145,"-")</f>
        <v>-</v>
      </c>
      <c r="AE145" s="311" t="str">
        <f>IF($E145=AE$3,#REF!*$F145,"-")</f>
        <v>-</v>
      </c>
      <c r="AF145" s="311" t="str">
        <f>IF($E145=AF$3,#REF!*$F145,"-")</f>
        <v>-</v>
      </c>
      <c r="AG145" s="311" t="str">
        <f>IF($E145=AG$3,#REF!*$F145,"-")</f>
        <v>-</v>
      </c>
      <c r="AH145" s="311" t="str">
        <f>IF($E145=AH$3,#REF!*$F145,"-")</f>
        <v>-</v>
      </c>
      <c r="AI145" s="311" t="str">
        <f>IF($E145=AI$3,#REF!*$F145,"-")</f>
        <v>-</v>
      </c>
      <c r="AJ145" s="311" t="str">
        <f>IF($E145=AJ$3,#REF!*$F145,"-")</f>
        <v>-</v>
      </c>
      <c r="AK145" s="311" t="str">
        <f>IF($E145=AK$3,#REF!*$F145,"-")</f>
        <v>-</v>
      </c>
      <c r="AL145" s="311" t="str">
        <f>IF($E145=AL$3,#REF!*$F145,"-")</f>
        <v>-</v>
      </c>
      <c r="AM145" s="311" t="str">
        <f>IF($E145=AM$3,#REF!*$F145,"-")</f>
        <v>-</v>
      </c>
    </row>
    <row r="146" spans="3:39" ht="14.25" x14ac:dyDescent="0.2">
      <c r="C146" s="597"/>
      <c r="D146" s="561"/>
      <c r="E146" s="309" t="s">
        <v>882</v>
      </c>
      <c r="F146" s="407">
        <v>4.9999999999999998E-7</v>
      </c>
      <c r="G146" s="309">
        <v>1E-3</v>
      </c>
      <c r="H146" s="392">
        <v>0</v>
      </c>
      <c r="I146" s="320">
        <f>D137*F146*G146*(1-H146)</f>
        <v>3.8999999999999999E-6</v>
      </c>
      <c r="J146" s="309" t="s">
        <v>291</v>
      </c>
      <c r="K146" s="363">
        <v>0</v>
      </c>
      <c r="L146" s="396">
        <f t="shared" si="26"/>
        <v>3.8999999999999999E-6</v>
      </c>
      <c r="M146" s="258"/>
      <c r="O146" s="311" t="str">
        <f t="shared" si="27"/>
        <v>-</v>
      </c>
      <c r="P146" s="311" t="str">
        <f t="shared" si="27"/>
        <v>-</v>
      </c>
      <c r="Q146" s="311" t="str">
        <f t="shared" si="27"/>
        <v>-</v>
      </c>
      <c r="R146" s="311" t="str">
        <f t="shared" si="27"/>
        <v>-</v>
      </c>
      <c r="S146" s="311" t="str">
        <f t="shared" si="27"/>
        <v>-</v>
      </c>
      <c r="T146" s="311">
        <f t="shared" si="27"/>
        <v>3.8999999999999998E-3</v>
      </c>
      <c r="U146" s="311" t="str">
        <f t="shared" si="27"/>
        <v>-</v>
      </c>
      <c r="V146" s="311" t="str">
        <f t="shared" si="27"/>
        <v>-</v>
      </c>
      <c r="W146" s="311" t="str">
        <f t="shared" si="27"/>
        <v>-</v>
      </c>
      <c r="X146" s="311" t="str">
        <f t="shared" si="27"/>
        <v>-</v>
      </c>
      <c r="Y146" s="311" t="str">
        <f t="shared" si="27"/>
        <v>-</v>
      </c>
      <c r="Z146" s="311" t="str">
        <f t="shared" si="27"/>
        <v>-</v>
      </c>
      <c r="AB146" s="311" t="str">
        <f>IF($E146=AB$3,#REF!*$F146,"-")</f>
        <v>-</v>
      </c>
      <c r="AC146" s="311" t="str">
        <f>IF($E146=AC$3,#REF!*$F146,"-")</f>
        <v>-</v>
      </c>
      <c r="AD146" s="311" t="str">
        <f>IF($E146=AD$3,#REF!*$F146,"-")</f>
        <v>-</v>
      </c>
      <c r="AE146" s="311" t="str">
        <f>IF($E146=AE$3,#REF!*$F146,"-")</f>
        <v>-</v>
      </c>
      <c r="AF146" s="311" t="str">
        <f>IF($E146=AF$3,#REF!*$F146,"-")</f>
        <v>-</v>
      </c>
      <c r="AG146" s="311" t="e">
        <f>IF($E146=AG$3,#REF!*$F146,"-")</f>
        <v>#REF!</v>
      </c>
      <c r="AH146" s="311" t="str">
        <f>IF($E146=AH$3,#REF!*$F146,"-")</f>
        <v>-</v>
      </c>
      <c r="AI146" s="311" t="str">
        <f>IF($E146=AI$3,#REF!*$F146,"-")</f>
        <v>-</v>
      </c>
      <c r="AJ146" s="311" t="str">
        <f>IF($E146=AJ$3,#REF!*$F146,"-")</f>
        <v>-</v>
      </c>
      <c r="AK146" s="311" t="str">
        <f>IF($E146=AK$3,#REF!*$F146,"-")</f>
        <v>-</v>
      </c>
      <c r="AL146" s="311" t="str">
        <f>IF($E146=AL$3,#REF!*$F146,"-")</f>
        <v>-</v>
      </c>
      <c r="AM146" s="311" t="str">
        <f>IF($E146=AM$3,#REF!*$F146,"-")</f>
        <v>-</v>
      </c>
    </row>
    <row r="147" spans="3:39" ht="14.25" x14ac:dyDescent="0.2">
      <c r="C147" s="597"/>
      <c r="D147" s="561"/>
      <c r="E147" s="309" t="s">
        <v>903</v>
      </c>
      <c r="F147" s="407">
        <v>4.9999999999999998E-7</v>
      </c>
      <c r="G147" s="309">
        <v>1E-3</v>
      </c>
      <c r="H147" s="392">
        <v>0</v>
      </c>
      <c r="I147" s="320">
        <f>D137*F147*G147*(1-H147)</f>
        <v>3.8999999999999999E-6</v>
      </c>
      <c r="J147" s="309" t="s">
        <v>291</v>
      </c>
      <c r="K147" s="363">
        <v>0</v>
      </c>
      <c r="L147" s="396">
        <f t="shared" si="26"/>
        <v>3.8999999999999999E-6</v>
      </c>
      <c r="M147" s="258"/>
      <c r="O147" s="311" t="str">
        <f t="shared" ref="O147:Z156" si="28">IF($E147=O$3,$D$137*$F147,"-")</f>
        <v>-</v>
      </c>
      <c r="P147" s="311" t="str">
        <f t="shared" si="28"/>
        <v>-</v>
      </c>
      <c r="Q147" s="311" t="str">
        <f t="shared" si="28"/>
        <v>-</v>
      </c>
      <c r="R147" s="311" t="str">
        <f t="shared" si="28"/>
        <v>-</v>
      </c>
      <c r="S147" s="311" t="str">
        <f t="shared" si="28"/>
        <v>-</v>
      </c>
      <c r="T147" s="311" t="str">
        <f t="shared" si="28"/>
        <v>-</v>
      </c>
      <c r="U147" s="311" t="str">
        <f t="shared" si="28"/>
        <v>-</v>
      </c>
      <c r="V147" s="311" t="str">
        <f t="shared" si="28"/>
        <v>-</v>
      </c>
      <c r="W147" s="311" t="str">
        <f t="shared" si="28"/>
        <v>-</v>
      </c>
      <c r="X147" s="311" t="str">
        <f t="shared" si="28"/>
        <v>-</v>
      </c>
      <c r="Y147" s="311" t="str">
        <f t="shared" si="28"/>
        <v>-</v>
      </c>
      <c r="Z147" s="311" t="str">
        <f t="shared" si="28"/>
        <v>-</v>
      </c>
      <c r="AB147" s="311" t="str">
        <f>IF($E147=AB$3,#REF!*$F147,"-")</f>
        <v>-</v>
      </c>
      <c r="AC147" s="311" t="str">
        <f>IF($E147=AC$3,#REF!*$F147,"-")</f>
        <v>-</v>
      </c>
      <c r="AD147" s="311" t="str">
        <f>IF($E147=AD$3,#REF!*$F147,"-")</f>
        <v>-</v>
      </c>
      <c r="AE147" s="311" t="str">
        <f>IF($E147=AE$3,#REF!*$F147,"-")</f>
        <v>-</v>
      </c>
      <c r="AF147" s="311" t="str">
        <f>IF($E147=AF$3,#REF!*$F147,"-")</f>
        <v>-</v>
      </c>
      <c r="AG147" s="311" t="str">
        <f>IF($E147=AG$3,#REF!*$F147,"-")</f>
        <v>-</v>
      </c>
      <c r="AH147" s="311" t="str">
        <f>IF($E147=AH$3,#REF!*$F147,"-")</f>
        <v>-</v>
      </c>
      <c r="AI147" s="311" t="str">
        <f>IF($E147=AI$3,#REF!*$F147,"-")</f>
        <v>-</v>
      </c>
      <c r="AJ147" s="311" t="str">
        <f>IF($E147=AJ$3,#REF!*$F147,"-")</f>
        <v>-</v>
      </c>
      <c r="AK147" s="311" t="str">
        <f>IF($E147=AK$3,#REF!*$F147,"-")</f>
        <v>-</v>
      </c>
      <c r="AL147" s="311" t="str">
        <f>IF($E147=AL$3,#REF!*$F147,"-")</f>
        <v>-</v>
      </c>
      <c r="AM147" s="311" t="str">
        <f>IF($E147=AM$3,#REF!*$F147,"-")</f>
        <v>-</v>
      </c>
    </row>
    <row r="148" spans="3:39" ht="14.25" x14ac:dyDescent="0.2">
      <c r="C148" s="597"/>
      <c r="D148" s="561"/>
      <c r="E148" s="309" t="s">
        <v>906</v>
      </c>
      <c r="F148" s="407">
        <v>2.0000000000000002E-5</v>
      </c>
      <c r="G148" s="309">
        <v>1E-3</v>
      </c>
      <c r="H148" s="392">
        <v>0</v>
      </c>
      <c r="I148" s="320">
        <f>D137*F148*G148*(1-H148)</f>
        <v>1.56E-4</v>
      </c>
      <c r="J148" s="309" t="s">
        <v>291</v>
      </c>
      <c r="K148" s="363">
        <v>0</v>
      </c>
      <c r="L148" s="396">
        <f t="shared" si="26"/>
        <v>1.56E-4</v>
      </c>
      <c r="M148" s="258"/>
      <c r="O148" s="311" t="str">
        <f t="shared" si="28"/>
        <v>-</v>
      </c>
      <c r="P148" s="311" t="str">
        <f t="shared" si="28"/>
        <v>-</v>
      </c>
      <c r="Q148" s="311" t="str">
        <f t="shared" si="28"/>
        <v>-</v>
      </c>
      <c r="R148" s="311" t="str">
        <f t="shared" si="28"/>
        <v>-</v>
      </c>
      <c r="S148" s="311" t="str">
        <f t="shared" si="28"/>
        <v>-</v>
      </c>
      <c r="T148" s="311" t="str">
        <f t="shared" si="28"/>
        <v>-</v>
      </c>
      <c r="U148" s="311" t="str">
        <f t="shared" si="28"/>
        <v>-</v>
      </c>
      <c r="V148" s="311" t="str">
        <f t="shared" si="28"/>
        <v>-</v>
      </c>
      <c r="W148" s="311" t="str">
        <f t="shared" si="28"/>
        <v>-</v>
      </c>
      <c r="X148" s="311" t="str">
        <f t="shared" si="28"/>
        <v>-</v>
      </c>
      <c r="Y148" s="311" t="str">
        <f t="shared" si="28"/>
        <v>-</v>
      </c>
      <c r="Z148" s="311" t="str">
        <f t="shared" si="28"/>
        <v>-</v>
      </c>
      <c r="AB148" s="311" t="str">
        <f>IF($E148=AB$3,#REF!*$F148,"-")</f>
        <v>-</v>
      </c>
      <c r="AC148" s="311" t="str">
        <f>IF($E148=AC$3,#REF!*$F148,"-")</f>
        <v>-</v>
      </c>
      <c r="AD148" s="311" t="str">
        <f>IF($E148=AD$3,#REF!*$F148,"-")</f>
        <v>-</v>
      </c>
      <c r="AE148" s="311" t="str">
        <f>IF($E148=AE$3,#REF!*$F148,"-")</f>
        <v>-</v>
      </c>
      <c r="AF148" s="311" t="str">
        <f>IF($E148=AF$3,#REF!*$F148,"-")</f>
        <v>-</v>
      </c>
      <c r="AG148" s="311" t="str">
        <f>IF($E148=AG$3,#REF!*$F148,"-")</f>
        <v>-</v>
      </c>
      <c r="AH148" s="311" t="str">
        <f>IF($E148=AH$3,#REF!*$F148,"-")</f>
        <v>-</v>
      </c>
      <c r="AI148" s="311" t="str">
        <f>IF($E148=AI$3,#REF!*$F148,"-")</f>
        <v>-</v>
      </c>
      <c r="AJ148" s="311" t="str">
        <f>IF($E148=AJ$3,#REF!*$F148,"-")</f>
        <v>-</v>
      </c>
      <c r="AK148" s="311" t="str">
        <f>IF($E148=AK$3,#REF!*$F148,"-")</f>
        <v>-</v>
      </c>
      <c r="AL148" s="311" t="str">
        <f>IF($E148=AL$3,#REF!*$F148,"-")</f>
        <v>-</v>
      </c>
      <c r="AM148" s="311" t="str">
        <f>IF($E148=AM$3,#REF!*$F148,"-")</f>
        <v>-</v>
      </c>
    </row>
    <row r="149" spans="3:39" ht="14.25" x14ac:dyDescent="0.2">
      <c r="C149" s="597"/>
      <c r="D149" s="561"/>
      <c r="E149" s="309" t="s">
        <v>911</v>
      </c>
      <c r="F149" s="407">
        <v>4.9999999999999998E-7</v>
      </c>
      <c r="G149" s="309">
        <v>1E-3</v>
      </c>
      <c r="H149" s="392">
        <v>0</v>
      </c>
      <c r="I149" s="320">
        <f>D137*F149*G149*(1-H149)</f>
        <v>3.8999999999999999E-6</v>
      </c>
      <c r="J149" s="309" t="s">
        <v>291</v>
      </c>
      <c r="K149" s="363">
        <v>0</v>
      </c>
      <c r="L149" s="396">
        <f t="shared" si="26"/>
        <v>3.8999999999999999E-6</v>
      </c>
      <c r="M149" s="258"/>
      <c r="O149" s="311" t="str">
        <f t="shared" si="28"/>
        <v>-</v>
      </c>
      <c r="P149" s="311" t="str">
        <f t="shared" si="28"/>
        <v>-</v>
      </c>
      <c r="Q149" s="311" t="str">
        <f t="shared" si="28"/>
        <v>-</v>
      </c>
      <c r="R149" s="311" t="str">
        <f t="shared" si="28"/>
        <v>-</v>
      </c>
      <c r="S149" s="311" t="str">
        <f t="shared" si="28"/>
        <v>-</v>
      </c>
      <c r="T149" s="311" t="str">
        <f t="shared" si="28"/>
        <v>-</v>
      </c>
      <c r="U149" s="311" t="str">
        <f t="shared" si="28"/>
        <v>-</v>
      </c>
      <c r="V149" s="311" t="str">
        <f t="shared" si="28"/>
        <v>-</v>
      </c>
      <c r="W149" s="311" t="str">
        <f t="shared" si="28"/>
        <v>-</v>
      </c>
      <c r="X149" s="311" t="str">
        <f t="shared" si="28"/>
        <v>-</v>
      </c>
      <c r="Y149" s="311" t="str">
        <f t="shared" si="28"/>
        <v>-</v>
      </c>
      <c r="Z149" s="311" t="str">
        <f t="shared" si="28"/>
        <v>-</v>
      </c>
      <c r="AB149" s="311" t="str">
        <f>IF($E149=AB$3,#REF!*$F149,"-")</f>
        <v>-</v>
      </c>
      <c r="AC149" s="311" t="str">
        <f>IF($E149=AC$3,#REF!*$F149,"-")</f>
        <v>-</v>
      </c>
      <c r="AD149" s="311" t="str">
        <f>IF($E149=AD$3,#REF!*$F149,"-")</f>
        <v>-</v>
      </c>
      <c r="AE149" s="311" t="str">
        <f>IF($E149=AE$3,#REF!*$F149,"-")</f>
        <v>-</v>
      </c>
      <c r="AF149" s="311" t="str">
        <f>IF($E149=AF$3,#REF!*$F149,"-")</f>
        <v>-</v>
      </c>
      <c r="AG149" s="311" t="str">
        <f>IF($E149=AG$3,#REF!*$F149,"-")</f>
        <v>-</v>
      </c>
      <c r="AH149" s="311" t="str">
        <f>IF($E149=AH$3,#REF!*$F149,"-")</f>
        <v>-</v>
      </c>
      <c r="AI149" s="311" t="str">
        <f>IF($E149=AI$3,#REF!*$F149,"-")</f>
        <v>-</v>
      </c>
      <c r="AJ149" s="311" t="str">
        <f>IF($E149=AJ$3,#REF!*$F149,"-")</f>
        <v>-</v>
      </c>
      <c r="AK149" s="311" t="str">
        <f>IF($E149=AK$3,#REF!*$F149,"-")</f>
        <v>-</v>
      </c>
      <c r="AL149" s="311" t="str">
        <f>IF($E149=AL$3,#REF!*$F149,"-")</f>
        <v>-</v>
      </c>
      <c r="AM149" s="311" t="str">
        <f>IF($E149=AM$3,#REF!*$F149,"-")</f>
        <v>-</v>
      </c>
    </row>
    <row r="150" spans="3:39" ht="14.25" x14ac:dyDescent="0.2">
      <c r="C150" s="597"/>
      <c r="D150" s="561"/>
      <c r="E150" s="309" t="s">
        <v>909</v>
      </c>
      <c r="F150" s="407">
        <v>4.9999999999999998E-7</v>
      </c>
      <c r="G150" s="309">
        <v>1E-3</v>
      </c>
      <c r="H150" s="392">
        <v>0</v>
      </c>
      <c r="I150" s="320">
        <f>D137*F150*G150*(1-H150)</f>
        <v>3.8999999999999999E-6</v>
      </c>
      <c r="J150" s="309" t="s">
        <v>291</v>
      </c>
      <c r="K150" s="363">
        <v>0</v>
      </c>
      <c r="L150" s="396">
        <f t="shared" si="26"/>
        <v>3.8999999999999999E-6</v>
      </c>
      <c r="M150" s="258"/>
      <c r="O150" s="311" t="str">
        <f t="shared" si="28"/>
        <v>-</v>
      </c>
      <c r="P150" s="311" t="str">
        <f t="shared" si="28"/>
        <v>-</v>
      </c>
      <c r="Q150" s="311" t="str">
        <f t="shared" si="28"/>
        <v>-</v>
      </c>
      <c r="R150" s="311" t="str">
        <f t="shared" si="28"/>
        <v>-</v>
      </c>
      <c r="S150" s="311" t="str">
        <f t="shared" si="28"/>
        <v>-</v>
      </c>
      <c r="T150" s="311" t="str">
        <f t="shared" si="28"/>
        <v>-</v>
      </c>
      <c r="U150" s="311" t="str">
        <f t="shared" si="28"/>
        <v>-</v>
      </c>
      <c r="V150" s="311" t="str">
        <f t="shared" si="28"/>
        <v>-</v>
      </c>
      <c r="W150" s="311" t="str">
        <f t="shared" si="28"/>
        <v>-</v>
      </c>
      <c r="X150" s="311" t="str">
        <f t="shared" si="28"/>
        <v>-</v>
      </c>
      <c r="Y150" s="311" t="str">
        <f t="shared" si="28"/>
        <v>-</v>
      </c>
      <c r="Z150" s="311" t="str">
        <f t="shared" si="28"/>
        <v>-</v>
      </c>
      <c r="AB150" s="311" t="str">
        <f>IF($E150=AB$3,#REF!*$F150,"-")</f>
        <v>-</v>
      </c>
      <c r="AC150" s="311" t="str">
        <f>IF($E150=AC$3,#REF!*$F150,"-")</f>
        <v>-</v>
      </c>
      <c r="AD150" s="311" t="str">
        <f>IF($E150=AD$3,#REF!*$F150,"-")</f>
        <v>-</v>
      </c>
      <c r="AE150" s="311" t="str">
        <f>IF($E150=AE$3,#REF!*$F150,"-")</f>
        <v>-</v>
      </c>
      <c r="AF150" s="311" t="str">
        <f>IF($E150=AF$3,#REF!*$F150,"-")</f>
        <v>-</v>
      </c>
      <c r="AG150" s="311" t="str">
        <f>IF($E150=AG$3,#REF!*$F150,"-")</f>
        <v>-</v>
      </c>
      <c r="AH150" s="311" t="str">
        <f>IF($E150=AH$3,#REF!*$F150,"-")</f>
        <v>-</v>
      </c>
      <c r="AI150" s="311" t="str">
        <f>IF($E150=AI$3,#REF!*$F150,"-")</f>
        <v>-</v>
      </c>
      <c r="AJ150" s="311" t="str">
        <f>IF($E150=AJ$3,#REF!*$F150,"-")</f>
        <v>-</v>
      </c>
      <c r="AK150" s="311" t="str">
        <f>IF($E150=AK$3,#REF!*$F150,"-")</f>
        <v>-</v>
      </c>
      <c r="AL150" s="311" t="str">
        <f>IF($E150=AL$3,#REF!*$F150,"-")</f>
        <v>-</v>
      </c>
      <c r="AM150" s="311" t="str">
        <f>IF($E150=AM$3,#REF!*$F150,"-")</f>
        <v>-</v>
      </c>
    </row>
    <row r="151" spans="3:39" ht="14.25" x14ac:dyDescent="0.2">
      <c r="C151" s="597"/>
      <c r="D151" s="561"/>
      <c r="E151" s="309" t="s">
        <v>887</v>
      </c>
      <c r="F151" s="407">
        <v>1.0000000000000001E-9</v>
      </c>
      <c r="G151" s="309">
        <v>1E-3</v>
      </c>
      <c r="H151" s="392">
        <v>0</v>
      </c>
      <c r="I151" s="320">
        <f>D137*F151*G151*(1-H151)</f>
        <v>7.8000000000000004E-9</v>
      </c>
      <c r="J151" s="309" t="s">
        <v>291</v>
      </c>
      <c r="K151" s="363">
        <v>0</v>
      </c>
      <c r="L151" s="396">
        <f t="shared" si="26"/>
        <v>7.8000000000000004E-9</v>
      </c>
      <c r="M151" s="258"/>
      <c r="O151" s="311" t="str">
        <f t="shared" si="28"/>
        <v>-</v>
      </c>
      <c r="P151" s="311" t="str">
        <f t="shared" si="28"/>
        <v>-</v>
      </c>
      <c r="Q151" s="311" t="str">
        <f t="shared" si="28"/>
        <v>-</v>
      </c>
      <c r="R151" s="311" t="str">
        <f t="shared" si="28"/>
        <v>-</v>
      </c>
      <c r="S151" s="311" t="str">
        <f t="shared" si="28"/>
        <v>-</v>
      </c>
      <c r="T151" s="311" t="str">
        <f t="shared" si="28"/>
        <v>-</v>
      </c>
      <c r="U151" s="311" t="str">
        <f t="shared" si="28"/>
        <v>-</v>
      </c>
      <c r="V151" s="311" t="str">
        <f t="shared" si="28"/>
        <v>-</v>
      </c>
      <c r="W151" s="311" t="str">
        <f t="shared" si="28"/>
        <v>-</v>
      </c>
      <c r="X151" s="311" t="str">
        <f t="shared" si="28"/>
        <v>-</v>
      </c>
      <c r="Y151" s="311">
        <f t="shared" si="28"/>
        <v>7.7999999999999999E-6</v>
      </c>
      <c r="Z151" s="311" t="str">
        <f t="shared" si="28"/>
        <v>-</v>
      </c>
      <c r="AB151" s="311" t="str">
        <f>IF($E151=AB$3,#REF!*$F151,"-")</f>
        <v>-</v>
      </c>
      <c r="AC151" s="311" t="str">
        <f>IF($E151=AC$3,#REF!*$F151,"-")</f>
        <v>-</v>
      </c>
      <c r="AD151" s="311" t="str">
        <f>IF($E151=AD$3,#REF!*$F151,"-")</f>
        <v>-</v>
      </c>
      <c r="AE151" s="311" t="str">
        <f>IF($E151=AE$3,#REF!*$F151,"-")</f>
        <v>-</v>
      </c>
      <c r="AF151" s="311" t="str">
        <f>IF($E151=AF$3,#REF!*$F151,"-")</f>
        <v>-</v>
      </c>
      <c r="AG151" s="311" t="str">
        <f>IF($E151=AG$3,#REF!*$F151,"-")</f>
        <v>-</v>
      </c>
      <c r="AH151" s="311" t="str">
        <f>IF($E151=AH$3,#REF!*$F151,"-")</f>
        <v>-</v>
      </c>
      <c r="AI151" s="311" t="str">
        <f>IF($E151=AI$3,#REF!*$F151,"-")</f>
        <v>-</v>
      </c>
      <c r="AJ151" s="311" t="str">
        <f>IF($E151=AJ$3,#REF!*$F151,"-")</f>
        <v>-</v>
      </c>
      <c r="AK151" s="311" t="str">
        <f>IF($E151=AK$3,#REF!*$F151,"-")</f>
        <v>-</v>
      </c>
      <c r="AL151" s="311" t="e">
        <f>IF($E151=AL$3,#REF!*$F151,"-")</f>
        <v>#REF!</v>
      </c>
      <c r="AM151" s="311" t="str">
        <f>IF($E151=AM$3,#REF!*$F151,"-")</f>
        <v>-</v>
      </c>
    </row>
    <row r="152" spans="3:39" ht="14.25" x14ac:dyDescent="0.2">
      <c r="C152" s="597"/>
      <c r="D152" s="561"/>
      <c r="E152" s="309" t="s">
        <v>905</v>
      </c>
      <c r="F152" s="407">
        <v>3.0000000000000004E-9</v>
      </c>
      <c r="G152" s="309">
        <v>1E-3</v>
      </c>
      <c r="H152" s="392">
        <v>0</v>
      </c>
      <c r="I152" s="320">
        <f>D137*F152*G152*(1-H152)</f>
        <v>2.3400000000000004E-8</v>
      </c>
      <c r="J152" s="309" t="s">
        <v>291</v>
      </c>
      <c r="K152" s="363">
        <v>0</v>
      </c>
      <c r="L152" s="396">
        <f t="shared" si="26"/>
        <v>2.3400000000000004E-8</v>
      </c>
      <c r="M152" s="258"/>
      <c r="O152" s="311" t="str">
        <f t="shared" si="28"/>
        <v>-</v>
      </c>
      <c r="P152" s="311" t="str">
        <f t="shared" si="28"/>
        <v>-</v>
      </c>
      <c r="Q152" s="311" t="str">
        <f t="shared" si="28"/>
        <v>-</v>
      </c>
      <c r="R152" s="311" t="str">
        <f t="shared" si="28"/>
        <v>-</v>
      </c>
      <c r="S152" s="311" t="str">
        <f t="shared" si="28"/>
        <v>-</v>
      </c>
      <c r="T152" s="311" t="str">
        <f t="shared" si="28"/>
        <v>-</v>
      </c>
      <c r="U152" s="311" t="str">
        <f t="shared" si="28"/>
        <v>-</v>
      </c>
      <c r="V152" s="311" t="str">
        <f t="shared" si="28"/>
        <v>-</v>
      </c>
      <c r="W152" s="311" t="str">
        <f t="shared" si="28"/>
        <v>-</v>
      </c>
      <c r="X152" s="311" t="str">
        <f t="shared" si="28"/>
        <v>-</v>
      </c>
      <c r="Y152" s="311" t="str">
        <f t="shared" si="28"/>
        <v>-</v>
      </c>
      <c r="Z152" s="311" t="str">
        <f t="shared" si="28"/>
        <v>-</v>
      </c>
      <c r="AB152" s="311" t="str">
        <f>IF($E152=AB$3,#REF!*$F152,"-")</f>
        <v>-</v>
      </c>
      <c r="AC152" s="311" t="str">
        <f>IF($E152=AC$3,#REF!*$F152,"-")</f>
        <v>-</v>
      </c>
      <c r="AD152" s="311" t="str">
        <f>IF($E152=AD$3,#REF!*$F152,"-")</f>
        <v>-</v>
      </c>
      <c r="AE152" s="311" t="str">
        <f>IF($E152=AE$3,#REF!*$F152,"-")</f>
        <v>-</v>
      </c>
      <c r="AF152" s="311" t="str">
        <f>IF($E152=AF$3,#REF!*$F152,"-")</f>
        <v>-</v>
      </c>
      <c r="AG152" s="311" t="str">
        <f>IF($E152=AG$3,#REF!*$F152,"-")</f>
        <v>-</v>
      </c>
      <c r="AH152" s="311" t="str">
        <f>IF($E152=AH$3,#REF!*$F152,"-")</f>
        <v>-</v>
      </c>
      <c r="AI152" s="311" t="str">
        <f>IF($E152=AI$3,#REF!*$F152,"-")</f>
        <v>-</v>
      </c>
      <c r="AJ152" s="311" t="str">
        <f>IF($E152=AJ$3,#REF!*$F152,"-")</f>
        <v>-</v>
      </c>
      <c r="AK152" s="311" t="str">
        <f>IF($E152=AK$3,#REF!*$F152,"-")</f>
        <v>-</v>
      </c>
      <c r="AL152" s="311" t="str">
        <f>IF($E152=AL$3,#REF!*$F152,"-")</f>
        <v>-</v>
      </c>
      <c r="AM152" s="311" t="str">
        <f>IF($E152=AM$3,#REF!*$F152,"-")</f>
        <v>-</v>
      </c>
    </row>
    <row r="153" spans="3:39" ht="14.25" x14ac:dyDescent="0.2">
      <c r="C153" s="597"/>
      <c r="D153" s="561"/>
      <c r="E153" s="309" t="s">
        <v>912</v>
      </c>
      <c r="F153" s="407">
        <v>3.0000000000000001E-5</v>
      </c>
      <c r="G153" s="309">
        <v>1E-3</v>
      </c>
      <c r="H153" s="392">
        <v>0</v>
      </c>
      <c r="I153" s="320">
        <f>D137*F153*G153*(1-H153)</f>
        <v>2.3400000000000002E-4</v>
      </c>
      <c r="J153" s="309" t="s">
        <v>291</v>
      </c>
      <c r="K153" s="363">
        <v>0</v>
      </c>
      <c r="L153" s="396">
        <f t="shared" ref="L153:L156" si="29">I153*(1-K153)</f>
        <v>2.3400000000000002E-4</v>
      </c>
      <c r="M153" s="258"/>
      <c r="O153" s="311" t="str">
        <f t="shared" si="28"/>
        <v>-</v>
      </c>
      <c r="P153" s="311" t="str">
        <f t="shared" si="28"/>
        <v>-</v>
      </c>
      <c r="Q153" s="311" t="str">
        <f t="shared" si="28"/>
        <v>-</v>
      </c>
      <c r="R153" s="311" t="str">
        <f t="shared" si="28"/>
        <v>-</v>
      </c>
      <c r="S153" s="311" t="str">
        <f t="shared" si="28"/>
        <v>-</v>
      </c>
      <c r="T153" s="311" t="str">
        <f t="shared" si="28"/>
        <v>-</v>
      </c>
      <c r="U153" s="311" t="str">
        <f t="shared" si="28"/>
        <v>-</v>
      </c>
      <c r="V153" s="311" t="str">
        <f t="shared" si="28"/>
        <v>-</v>
      </c>
      <c r="W153" s="311" t="str">
        <f t="shared" si="28"/>
        <v>-</v>
      </c>
      <c r="X153" s="311" t="str">
        <f t="shared" si="28"/>
        <v>-</v>
      </c>
      <c r="Y153" s="311" t="str">
        <f t="shared" si="28"/>
        <v>-</v>
      </c>
      <c r="Z153" s="311" t="str">
        <f t="shared" si="28"/>
        <v>-</v>
      </c>
      <c r="AB153" s="311" t="str">
        <f>IF($E153=AB$3,#REF!*$F153,"-")</f>
        <v>-</v>
      </c>
      <c r="AC153" s="311" t="str">
        <f>IF($E153=AC$3,#REF!*$F153,"-")</f>
        <v>-</v>
      </c>
      <c r="AD153" s="311" t="str">
        <f>IF($E153=AD$3,#REF!*$F153,"-")</f>
        <v>-</v>
      </c>
      <c r="AE153" s="311" t="str">
        <f>IF($E153=AE$3,#REF!*$F153,"-")</f>
        <v>-</v>
      </c>
      <c r="AF153" s="311" t="str">
        <f>IF($E153=AF$3,#REF!*$F153,"-")</f>
        <v>-</v>
      </c>
      <c r="AG153" s="311" t="str">
        <f>IF($E153=AG$3,#REF!*$F153,"-")</f>
        <v>-</v>
      </c>
      <c r="AH153" s="311" t="str">
        <f>IF($E153=AH$3,#REF!*$F153,"-")</f>
        <v>-</v>
      </c>
      <c r="AI153" s="311" t="str">
        <f>IF($E153=AI$3,#REF!*$F153,"-")</f>
        <v>-</v>
      </c>
      <c r="AJ153" s="311" t="str">
        <f>IF($E153=AJ$3,#REF!*$F153,"-")</f>
        <v>-</v>
      </c>
      <c r="AK153" s="311" t="str">
        <f>IF($E153=AK$3,#REF!*$F153,"-")</f>
        <v>-</v>
      </c>
      <c r="AL153" s="311" t="str">
        <f>IF($E153=AL$3,#REF!*$F153,"-")</f>
        <v>-</v>
      </c>
      <c r="AM153" s="311" t="str">
        <f>IF($E153=AM$3,#REF!*$F153,"-")</f>
        <v>-</v>
      </c>
    </row>
    <row r="154" spans="3:39" ht="14.25" x14ac:dyDescent="0.2">
      <c r="C154" s="597"/>
      <c r="D154" s="561"/>
      <c r="E154" s="309" t="s">
        <v>914</v>
      </c>
      <c r="F154" s="407">
        <v>3.0000000000000001E-5</v>
      </c>
      <c r="G154" s="309">
        <v>1E-3</v>
      </c>
      <c r="H154" s="392">
        <v>0</v>
      </c>
      <c r="I154" s="320">
        <f>D137*F154*G154*(1-H154)</f>
        <v>2.3400000000000002E-4</v>
      </c>
      <c r="J154" s="309" t="s">
        <v>291</v>
      </c>
      <c r="K154" s="363">
        <v>0</v>
      </c>
      <c r="L154" s="396">
        <f t="shared" si="29"/>
        <v>2.3400000000000002E-4</v>
      </c>
      <c r="M154" s="258"/>
      <c r="O154" s="311" t="str">
        <f t="shared" si="28"/>
        <v>-</v>
      </c>
      <c r="P154" s="311" t="str">
        <f t="shared" si="28"/>
        <v>-</v>
      </c>
      <c r="Q154" s="311" t="str">
        <f t="shared" si="28"/>
        <v>-</v>
      </c>
      <c r="R154" s="311" t="str">
        <f t="shared" si="28"/>
        <v>-</v>
      </c>
      <c r="S154" s="311" t="str">
        <f t="shared" si="28"/>
        <v>-</v>
      </c>
      <c r="T154" s="311" t="str">
        <f t="shared" si="28"/>
        <v>-</v>
      </c>
      <c r="U154" s="311" t="str">
        <f t="shared" si="28"/>
        <v>-</v>
      </c>
      <c r="V154" s="311" t="str">
        <f t="shared" si="28"/>
        <v>-</v>
      </c>
      <c r="W154" s="311" t="str">
        <f t="shared" si="28"/>
        <v>-</v>
      </c>
      <c r="X154" s="311" t="str">
        <f t="shared" si="28"/>
        <v>-</v>
      </c>
      <c r="Y154" s="311" t="str">
        <f t="shared" si="28"/>
        <v>-</v>
      </c>
      <c r="Z154" s="311" t="str">
        <f t="shared" si="28"/>
        <v>-</v>
      </c>
      <c r="AB154" s="311" t="str">
        <f>IF($E154=AB$3,#REF!*$F154,"-")</f>
        <v>-</v>
      </c>
      <c r="AC154" s="311" t="str">
        <f>IF($E154=AC$3,#REF!*$F154,"-")</f>
        <v>-</v>
      </c>
      <c r="AD154" s="311" t="str">
        <f>IF($E154=AD$3,#REF!*$F154,"-")</f>
        <v>-</v>
      </c>
      <c r="AE154" s="311" t="str">
        <f>IF($E154=AE$3,#REF!*$F154,"-")</f>
        <v>-</v>
      </c>
      <c r="AF154" s="311" t="str">
        <f>IF($E154=AF$3,#REF!*$F154,"-")</f>
        <v>-</v>
      </c>
      <c r="AG154" s="311" t="str">
        <f>IF($E154=AG$3,#REF!*$F154,"-")</f>
        <v>-</v>
      </c>
      <c r="AH154" s="311" t="str">
        <f>IF($E154=AH$3,#REF!*$F154,"-")</f>
        <v>-</v>
      </c>
      <c r="AI154" s="311" t="str">
        <f>IF($E154=AI$3,#REF!*$F154,"-")</f>
        <v>-</v>
      </c>
      <c r="AJ154" s="311" t="str">
        <f>IF($E154=AJ$3,#REF!*$F154,"-")</f>
        <v>-</v>
      </c>
      <c r="AK154" s="311" t="str">
        <f>IF($E154=AK$3,#REF!*$F154,"-")</f>
        <v>-</v>
      </c>
      <c r="AL154" s="311" t="str">
        <f>IF($E154=AL$3,#REF!*$F154,"-")</f>
        <v>-</v>
      </c>
      <c r="AM154" s="311" t="str">
        <f>IF($E154=AM$3,#REF!*$F154,"-")</f>
        <v>-</v>
      </c>
    </row>
    <row r="155" spans="3:39" ht="14.25" x14ac:dyDescent="0.2">
      <c r="C155" s="597"/>
      <c r="D155" s="561"/>
      <c r="E155" s="309" t="s">
        <v>915</v>
      </c>
      <c r="F155" s="407">
        <v>5.0000000000000002E-5</v>
      </c>
      <c r="G155" s="309">
        <v>1E-3</v>
      </c>
      <c r="H155" s="392">
        <v>0</v>
      </c>
      <c r="I155" s="320">
        <f>D137*F155*G155*(1-H155)</f>
        <v>3.9000000000000005E-4</v>
      </c>
      <c r="J155" s="309" t="s">
        <v>291</v>
      </c>
      <c r="K155" s="363">
        <v>0</v>
      </c>
      <c r="L155" s="396">
        <f t="shared" si="29"/>
        <v>3.9000000000000005E-4</v>
      </c>
      <c r="M155" s="258"/>
      <c r="O155" s="311" t="str">
        <f t="shared" si="28"/>
        <v>-</v>
      </c>
      <c r="P155" s="311" t="str">
        <f t="shared" si="28"/>
        <v>-</v>
      </c>
      <c r="Q155" s="311" t="str">
        <f t="shared" si="28"/>
        <v>-</v>
      </c>
      <c r="R155" s="311" t="str">
        <f t="shared" si="28"/>
        <v>-</v>
      </c>
      <c r="S155" s="311" t="str">
        <f t="shared" si="28"/>
        <v>-</v>
      </c>
      <c r="T155" s="311" t="str">
        <f t="shared" si="28"/>
        <v>-</v>
      </c>
      <c r="U155" s="311" t="str">
        <f t="shared" si="28"/>
        <v>-</v>
      </c>
      <c r="V155" s="311" t="str">
        <f t="shared" si="28"/>
        <v>-</v>
      </c>
      <c r="W155" s="311" t="str">
        <f t="shared" si="28"/>
        <v>-</v>
      </c>
      <c r="X155" s="311" t="str">
        <f t="shared" si="28"/>
        <v>-</v>
      </c>
      <c r="Y155" s="311" t="str">
        <f t="shared" si="28"/>
        <v>-</v>
      </c>
      <c r="Z155" s="311" t="str">
        <f t="shared" si="28"/>
        <v>-</v>
      </c>
      <c r="AB155" s="311" t="str">
        <f>IF($E155=AB$3,#REF!*$F155,"-")</f>
        <v>-</v>
      </c>
      <c r="AC155" s="311" t="str">
        <f>IF($E155=AC$3,#REF!*$F155,"-")</f>
        <v>-</v>
      </c>
      <c r="AD155" s="311" t="str">
        <f>IF($E155=AD$3,#REF!*$F155,"-")</f>
        <v>-</v>
      </c>
      <c r="AE155" s="311" t="str">
        <f>IF($E155=AE$3,#REF!*$F155,"-")</f>
        <v>-</v>
      </c>
      <c r="AF155" s="311" t="str">
        <f>IF($E155=AF$3,#REF!*$F155,"-")</f>
        <v>-</v>
      </c>
      <c r="AG155" s="311" t="str">
        <f>IF($E155=AG$3,#REF!*$F155,"-")</f>
        <v>-</v>
      </c>
      <c r="AH155" s="311" t="str">
        <f>IF($E155=AH$3,#REF!*$F155,"-")</f>
        <v>-</v>
      </c>
      <c r="AI155" s="311" t="str">
        <f>IF($E155=AI$3,#REF!*$F155,"-")</f>
        <v>-</v>
      </c>
      <c r="AJ155" s="311" t="str">
        <f>IF($E155=AJ$3,#REF!*$F155,"-")</f>
        <v>-</v>
      </c>
      <c r="AK155" s="311" t="str">
        <f>IF($E155=AK$3,#REF!*$F155,"-")</f>
        <v>-</v>
      </c>
      <c r="AL155" s="311" t="str">
        <f>IF($E155=AL$3,#REF!*$F155,"-")</f>
        <v>-</v>
      </c>
      <c r="AM155" s="311" t="str">
        <f>IF($E155=AM$3,#REF!*$F155,"-")</f>
        <v>-</v>
      </c>
    </row>
    <row r="156" spans="3:39" ht="14.25" x14ac:dyDescent="0.2">
      <c r="C156" s="598"/>
      <c r="D156" s="554"/>
      <c r="E156" s="309" t="s">
        <v>916</v>
      </c>
      <c r="F156" s="407">
        <v>1.0000000000000001E-5</v>
      </c>
      <c r="G156" s="309">
        <v>1E-3</v>
      </c>
      <c r="H156" s="392">
        <v>0</v>
      </c>
      <c r="I156" s="320">
        <f>D137*F156*G156*(1-H156)</f>
        <v>7.7999999999999999E-5</v>
      </c>
      <c r="J156" s="309" t="s">
        <v>291</v>
      </c>
      <c r="K156" s="363">
        <v>0</v>
      </c>
      <c r="L156" s="396">
        <f t="shared" si="29"/>
        <v>7.7999999999999999E-5</v>
      </c>
      <c r="M156" s="258"/>
      <c r="O156" s="311" t="str">
        <f t="shared" si="28"/>
        <v>-</v>
      </c>
      <c r="P156" s="311" t="str">
        <f t="shared" si="28"/>
        <v>-</v>
      </c>
      <c r="Q156" s="311" t="str">
        <f t="shared" si="28"/>
        <v>-</v>
      </c>
      <c r="R156" s="311" t="str">
        <f t="shared" si="28"/>
        <v>-</v>
      </c>
      <c r="S156" s="311" t="str">
        <f t="shared" si="28"/>
        <v>-</v>
      </c>
      <c r="T156" s="311" t="str">
        <f t="shared" si="28"/>
        <v>-</v>
      </c>
      <c r="U156" s="311" t="str">
        <f t="shared" si="28"/>
        <v>-</v>
      </c>
      <c r="V156" s="311" t="str">
        <f t="shared" si="28"/>
        <v>-</v>
      </c>
      <c r="W156" s="311" t="str">
        <f t="shared" si="28"/>
        <v>-</v>
      </c>
      <c r="X156" s="311" t="str">
        <f t="shared" si="28"/>
        <v>-</v>
      </c>
      <c r="Y156" s="311" t="str">
        <f t="shared" si="28"/>
        <v>-</v>
      </c>
      <c r="Z156" s="311" t="str">
        <f t="shared" si="28"/>
        <v>-</v>
      </c>
      <c r="AB156" s="311" t="str">
        <f>IF($E156=AB$3,#REF!*$F156,"-")</f>
        <v>-</v>
      </c>
      <c r="AC156" s="311" t="str">
        <f>IF($E156=AC$3,#REF!*$F156,"-")</f>
        <v>-</v>
      </c>
      <c r="AD156" s="311" t="str">
        <f>IF($E156=AD$3,#REF!*$F156,"-")</f>
        <v>-</v>
      </c>
      <c r="AE156" s="311" t="str">
        <f>IF($E156=AE$3,#REF!*$F156,"-")</f>
        <v>-</v>
      </c>
      <c r="AF156" s="311" t="str">
        <f>IF($E156=AF$3,#REF!*$F156,"-")</f>
        <v>-</v>
      </c>
      <c r="AG156" s="311" t="str">
        <f>IF($E156=AG$3,#REF!*$F156,"-")</f>
        <v>-</v>
      </c>
      <c r="AH156" s="311" t="str">
        <f>IF($E156=AH$3,#REF!*$F156,"-")</f>
        <v>-</v>
      </c>
      <c r="AI156" s="311" t="str">
        <f>IF($E156=AI$3,#REF!*$F156,"-")</f>
        <v>-</v>
      </c>
      <c r="AJ156" s="311" t="str">
        <f>IF($E156=AJ$3,#REF!*$F156,"-")</f>
        <v>-</v>
      </c>
      <c r="AK156" s="311" t="str">
        <f>IF($E156=AK$3,#REF!*$F156,"-")</f>
        <v>-</v>
      </c>
      <c r="AL156" s="311" t="str">
        <f>IF($E156=AL$3,#REF!*$F156,"-")</f>
        <v>-</v>
      </c>
      <c r="AM156" s="311" t="str">
        <f>IF($E156=AM$3,#REF!*$F156,"-")</f>
        <v>-</v>
      </c>
    </row>
    <row r="157" spans="3:39" ht="14.25" x14ac:dyDescent="0.2">
      <c r="C157" s="560" t="s">
        <v>952</v>
      </c>
      <c r="D157" s="560">
        <v>19008</v>
      </c>
      <c r="E157" s="309" t="s">
        <v>944</v>
      </c>
      <c r="F157" s="408">
        <v>0.99958151900000003</v>
      </c>
      <c r="G157" s="309">
        <v>1E-3</v>
      </c>
      <c r="H157" s="392">
        <v>0</v>
      </c>
      <c r="I157" s="406">
        <f>D157*F157*G157*(1-H157)</f>
        <v>19.000045513151999</v>
      </c>
      <c r="J157" s="309" t="s">
        <v>291</v>
      </c>
      <c r="K157" s="363">
        <v>0</v>
      </c>
      <c r="L157" s="396">
        <f>I157*(1-K157)</f>
        <v>19.000045513151999</v>
      </c>
      <c r="M157" s="258"/>
      <c r="O157" s="311" t="str">
        <f t="shared" ref="O157:Z166" si="30">IF($E157=O$3,$D$157*$F157,"-")</f>
        <v>-</v>
      </c>
      <c r="P157" s="311" t="str">
        <f t="shared" si="30"/>
        <v>-</v>
      </c>
      <c r="Q157" s="311" t="str">
        <f t="shared" si="30"/>
        <v>-</v>
      </c>
      <c r="R157" s="311" t="str">
        <f t="shared" si="30"/>
        <v>-</v>
      </c>
      <c r="S157" s="311" t="str">
        <f t="shared" si="30"/>
        <v>-</v>
      </c>
      <c r="T157" s="311" t="str">
        <f t="shared" si="30"/>
        <v>-</v>
      </c>
      <c r="U157" s="311" t="str">
        <f t="shared" si="30"/>
        <v>-</v>
      </c>
      <c r="V157" s="311" t="str">
        <f t="shared" si="30"/>
        <v>-</v>
      </c>
      <c r="W157" s="311" t="str">
        <f t="shared" si="30"/>
        <v>-</v>
      </c>
      <c r="X157" s="311" t="str">
        <f t="shared" si="30"/>
        <v>-</v>
      </c>
      <c r="Y157" s="311" t="str">
        <f t="shared" si="30"/>
        <v>-</v>
      </c>
      <c r="Z157" s="311" t="str">
        <f t="shared" si="30"/>
        <v>-</v>
      </c>
      <c r="AB157" s="311" t="str">
        <f>IF($E157=AB$3,#REF!*$F157,"-")</f>
        <v>-</v>
      </c>
      <c r="AC157" s="311" t="str">
        <f>IF($E157=AC$3,#REF!*$F157,"-")</f>
        <v>-</v>
      </c>
      <c r="AD157" s="311" t="str">
        <f>IF($E157=AD$3,#REF!*$F157,"-")</f>
        <v>-</v>
      </c>
      <c r="AE157" s="311" t="str">
        <f>IF($E157=AE$3,#REF!*$F157,"-")</f>
        <v>-</v>
      </c>
      <c r="AF157" s="311" t="str">
        <f>IF($E157=AF$3,#REF!*$F157,"-")</f>
        <v>-</v>
      </c>
      <c r="AG157" s="311" t="str">
        <f>IF($E157=AG$3,#REF!*$F157,"-")</f>
        <v>-</v>
      </c>
      <c r="AH157" s="311" t="str">
        <f>IF($E157=AH$3,#REF!*$F157,"-")</f>
        <v>-</v>
      </c>
      <c r="AI157" s="311" t="str">
        <f>IF($E157=AI$3,#REF!*$F157,"-")</f>
        <v>-</v>
      </c>
      <c r="AJ157" s="311" t="str">
        <f>IF($E157=AJ$3,#REF!*$F157,"-")</f>
        <v>-</v>
      </c>
      <c r="AK157" s="311" t="str">
        <f>IF($E157=AK$3,#REF!*$F157,"-")</f>
        <v>-</v>
      </c>
      <c r="AL157" s="311" t="str">
        <f>IF($E157=AL$3,#REF!*$F157,"-")</f>
        <v>-</v>
      </c>
      <c r="AM157" s="311" t="str">
        <f>IF($E157=AM$3,#REF!*$F157,"-")</f>
        <v>-</v>
      </c>
    </row>
    <row r="158" spans="3:39" ht="14.25" x14ac:dyDescent="0.2">
      <c r="C158" s="561"/>
      <c r="D158" s="561"/>
      <c r="E158" s="309" t="s">
        <v>892</v>
      </c>
      <c r="F158" s="408">
        <v>9.9999999999999995E-7</v>
      </c>
      <c r="G158" s="309">
        <v>1E-3</v>
      </c>
      <c r="H158" s="392">
        <v>0</v>
      </c>
      <c r="I158" s="320">
        <f>D157*F158*G158*(1-H158)</f>
        <v>1.9008000000000002E-5</v>
      </c>
      <c r="J158" s="309" t="s">
        <v>291</v>
      </c>
      <c r="K158" s="363">
        <v>0</v>
      </c>
      <c r="L158" s="396">
        <f>I158*(1-K158)</f>
        <v>1.9008000000000002E-5</v>
      </c>
      <c r="M158" s="258"/>
      <c r="O158" s="311" t="str">
        <f t="shared" si="30"/>
        <v>-</v>
      </c>
      <c r="P158" s="311" t="str">
        <f t="shared" si="30"/>
        <v>-</v>
      </c>
      <c r="Q158" s="311" t="str">
        <f t="shared" si="30"/>
        <v>-</v>
      </c>
      <c r="R158" s="311" t="str">
        <f t="shared" si="30"/>
        <v>-</v>
      </c>
      <c r="S158" s="311" t="str">
        <f t="shared" si="30"/>
        <v>-</v>
      </c>
      <c r="T158" s="311" t="str">
        <f t="shared" si="30"/>
        <v>-</v>
      </c>
      <c r="U158" s="311" t="str">
        <f t="shared" si="30"/>
        <v>-</v>
      </c>
      <c r="V158" s="311" t="str">
        <f t="shared" si="30"/>
        <v>-</v>
      </c>
      <c r="W158" s="311" t="str">
        <f t="shared" si="30"/>
        <v>-</v>
      </c>
      <c r="X158" s="311" t="str">
        <f t="shared" si="30"/>
        <v>-</v>
      </c>
      <c r="Y158" s="311" t="str">
        <f t="shared" si="30"/>
        <v>-</v>
      </c>
      <c r="Z158" s="311" t="str">
        <f t="shared" si="30"/>
        <v>-</v>
      </c>
      <c r="AB158" s="311" t="str">
        <f>IF($E158=AB$3,#REF!*$F158,"-")</f>
        <v>-</v>
      </c>
      <c r="AC158" s="311" t="str">
        <f>IF($E158=AC$3,#REF!*$F158,"-")</f>
        <v>-</v>
      </c>
      <c r="AD158" s="311" t="str">
        <f>IF($E158=AD$3,#REF!*$F158,"-")</f>
        <v>-</v>
      </c>
      <c r="AE158" s="311" t="str">
        <f>IF($E158=AE$3,#REF!*$F158,"-")</f>
        <v>-</v>
      </c>
      <c r="AF158" s="311" t="str">
        <f>IF($E158=AF$3,#REF!*$F158,"-")</f>
        <v>-</v>
      </c>
      <c r="AG158" s="311" t="str">
        <f>IF($E158=AG$3,#REF!*$F158,"-")</f>
        <v>-</v>
      </c>
      <c r="AH158" s="311" t="str">
        <f>IF($E158=AH$3,#REF!*$F158,"-")</f>
        <v>-</v>
      </c>
      <c r="AI158" s="311" t="str">
        <f>IF($E158=AI$3,#REF!*$F158,"-")</f>
        <v>-</v>
      </c>
      <c r="AJ158" s="311" t="str">
        <f>IF($E158=AJ$3,#REF!*$F158,"-")</f>
        <v>-</v>
      </c>
      <c r="AK158" s="311" t="str">
        <f>IF($E158=AK$3,#REF!*$F158,"-")</f>
        <v>-</v>
      </c>
      <c r="AL158" s="311" t="str">
        <f>IF($E158=AL$3,#REF!*$F158,"-")</f>
        <v>-</v>
      </c>
      <c r="AM158" s="311" t="str">
        <f>IF($E158=AM$3,#REF!*$F158,"-")</f>
        <v>-</v>
      </c>
    </row>
    <row r="159" spans="3:39" ht="14.25" x14ac:dyDescent="0.2">
      <c r="C159" s="561"/>
      <c r="D159" s="561"/>
      <c r="E159" s="309" t="s">
        <v>877</v>
      </c>
      <c r="F159" s="408">
        <v>3.0000000000000001E-6</v>
      </c>
      <c r="G159" s="309">
        <v>1E-3</v>
      </c>
      <c r="H159" s="392">
        <v>0</v>
      </c>
      <c r="I159" s="320">
        <f>D157*F159*G159*(1-H159)</f>
        <v>5.7024000000000002E-5</v>
      </c>
      <c r="J159" s="309" t="s">
        <v>291</v>
      </c>
      <c r="K159" s="363">
        <v>0</v>
      </c>
      <c r="L159" s="396">
        <f>I159*(1-K159)</f>
        <v>5.7024000000000002E-5</v>
      </c>
      <c r="M159" s="258"/>
      <c r="O159" s="311">
        <f t="shared" si="30"/>
        <v>5.7023999999999998E-2</v>
      </c>
      <c r="P159" s="311" t="str">
        <f t="shared" si="30"/>
        <v>-</v>
      </c>
      <c r="Q159" s="311" t="str">
        <f t="shared" si="30"/>
        <v>-</v>
      </c>
      <c r="R159" s="311" t="str">
        <f t="shared" si="30"/>
        <v>-</v>
      </c>
      <c r="S159" s="311" t="str">
        <f t="shared" si="30"/>
        <v>-</v>
      </c>
      <c r="T159" s="311" t="str">
        <f t="shared" si="30"/>
        <v>-</v>
      </c>
      <c r="U159" s="311" t="str">
        <f t="shared" si="30"/>
        <v>-</v>
      </c>
      <c r="V159" s="311" t="str">
        <f t="shared" si="30"/>
        <v>-</v>
      </c>
      <c r="W159" s="311" t="str">
        <f t="shared" si="30"/>
        <v>-</v>
      </c>
      <c r="X159" s="311" t="str">
        <f t="shared" si="30"/>
        <v>-</v>
      </c>
      <c r="Y159" s="311" t="str">
        <f t="shared" si="30"/>
        <v>-</v>
      </c>
      <c r="Z159" s="311" t="str">
        <f t="shared" si="30"/>
        <v>-</v>
      </c>
      <c r="AB159" s="311" t="e">
        <f>IF($E159=AB$3,#REF!*$F159,"-")</f>
        <v>#REF!</v>
      </c>
      <c r="AC159" s="311" t="str">
        <f>IF($E159=AC$3,#REF!*$F159,"-")</f>
        <v>-</v>
      </c>
      <c r="AD159" s="311" t="str">
        <f>IF($E159=AD$3,#REF!*$F159,"-")</f>
        <v>-</v>
      </c>
      <c r="AE159" s="311" t="str">
        <f>IF($E159=AE$3,#REF!*$F159,"-")</f>
        <v>-</v>
      </c>
      <c r="AF159" s="311" t="str">
        <f>IF($E159=AF$3,#REF!*$F159,"-")</f>
        <v>-</v>
      </c>
      <c r="AG159" s="311" t="str">
        <f>IF($E159=AG$3,#REF!*$F159,"-")</f>
        <v>-</v>
      </c>
      <c r="AH159" s="311" t="str">
        <f>IF($E159=AH$3,#REF!*$F159,"-")</f>
        <v>-</v>
      </c>
      <c r="AI159" s="311" t="str">
        <f>IF($E159=AI$3,#REF!*$F159,"-")</f>
        <v>-</v>
      </c>
      <c r="AJ159" s="311" t="str">
        <f>IF($E159=AJ$3,#REF!*$F159,"-")</f>
        <v>-</v>
      </c>
      <c r="AK159" s="311" t="str">
        <f>IF($E159=AK$3,#REF!*$F159,"-")</f>
        <v>-</v>
      </c>
      <c r="AL159" s="311" t="str">
        <f>IF($E159=AL$3,#REF!*$F159,"-")</f>
        <v>-</v>
      </c>
      <c r="AM159" s="311" t="str">
        <f>IF($E159=AM$3,#REF!*$F159,"-")</f>
        <v>-</v>
      </c>
    </row>
    <row r="160" spans="3:39" ht="14.25" x14ac:dyDescent="0.2">
      <c r="C160" s="561"/>
      <c r="D160" s="561"/>
      <c r="E160" s="309" t="s">
        <v>893</v>
      </c>
      <c r="F160" s="408">
        <v>9.9999999999999995E-7</v>
      </c>
      <c r="G160" s="309">
        <v>1E-3</v>
      </c>
      <c r="H160" s="392">
        <v>0</v>
      </c>
      <c r="I160" s="320">
        <f>D157*F160*G160*(1-H160)</f>
        <v>1.9008000000000002E-5</v>
      </c>
      <c r="J160" s="309" t="s">
        <v>291</v>
      </c>
      <c r="K160" s="363">
        <v>0</v>
      </c>
      <c r="L160" s="396">
        <f t="shared" ref="L160:L224" si="31">I160*(1-K160)</f>
        <v>1.9008000000000002E-5</v>
      </c>
      <c r="M160" s="258"/>
      <c r="O160" s="311" t="str">
        <f t="shared" si="30"/>
        <v>-</v>
      </c>
      <c r="P160" s="311" t="str">
        <f t="shared" si="30"/>
        <v>-</v>
      </c>
      <c r="Q160" s="311" t="str">
        <f t="shared" si="30"/>
        <v>-</v>
      </c>
      <c r="R160" s="311" t="str">
        <f t="shared" si="30"/>
        <v>-</v>
      </c>
      <c r="S160" s="311" t="str">
        <f t="shared" si="30"/>
        <v>-</v>
      </c>
      <c r="T160" s="311" t="str">
        <f t="shared" si="30"/>
        <v>-</v>
      </c>
      <c r="U160" s="311" t="str">
        <f t="shared" si="30"/>
        <v>-</v>
      </c>
      <c r="V160" s="311" t="str">
        <f t="shared" si="30"/>
        <v>-</v>
      </c>
      <c r="W160" s="311" t="str">
        <f t="shared" si="30"/>
        <v>-</v>
      </c>
      <c r="X160" s="311" t="str">
        <f t="shared" si="30"/>
        <v>-</v>
      </c>
      <c r="Y160" s="311" t="str">
        <f t="shared" si="30"/>
        <v>-</v>
      </c>
      <c r="Z160" s="311" t="str">
        <f t="shared" si="30"/>
        <v>-</v>
      </c>
      <c r="AB160" s="311" t="str">
        <f>IF($E160=AB$3,#REF!*$F160,"-")</f>
        <v>-</v>
      </c>
      <c r="AC160" s="311" t="str">
        <f>IF($E160=AC$3,#REF!*$F160,"-")</f>
        <v>-</v>
      </c>
      <c r="AD160" s="311" t="str">
        <f>IF($E160=AD$3,#REF!*$F160,"-")</f>
        <v>-</v>
      </c>
      <c r="AE160" s="311" t="str">
        <f>IF($E160=AE$3,#REF!*$F160,"-")</f>
        <v>-</v>
      </c>
      <c r="AF160" s="311" t="str">
        <f>IF($E160=AF$3,#REF!*$F160,"-")</f>
        <v>-</v>
      </c>
      <c r="AG160" s="311" t="str">
        <f>IF($E160=AG$3,#REF!*$F160,"-")</f>
        <v>-</v>
      </c>
      <c r="AH160" s="311" t="str">
        <f>IF($E160=AH$3,#REF!*$F160,"-")</f>
        <v>-</v>
      </c>
      <c r="AI160" s="311" t="str">
        <f>IF($E160=AI$3,#REF!*$F160,"-")</f>
        <v>-</v>
      </c>
      <c r="AJ160" s="311" t="str">
        <f>IF($E160=AJ$3,#REF!*$F160,"-")</f>
        <v>-</v>
      </c>
      <c r="AK160" s="311" t="str">
        <f>IF($E160=AK$3,#REF!*$F160,"-")</f>
        <v>-</v>
      </c>
      <c r="AL160" s="311" t="str">
        <f>IF($E160=AL$3,#REF!*$F160,"-")</f>
        <v>-</v>
      </c>
      <c r="AM160" s="311" t="str">
        <f>IF($E160=AM$3,#REF!*$F160,"-")</f>
        <v>-</v>
      </c>
    </row>
    <row r="161" spans="3:39" ht="14.25" x14ac:dyDescent="0.2">
      <c r="C161" s="561"/>
      <c r="D161" s="561"/>
      <c r="E161" s="309" t="s">
        <v>894</v>
      </c>
      <c r="F161" s="408">
        <v>1.0000000000000001E-7</v>
      </c>
      <c r="G161" s="309">
        <v>1E-3</v>
      </c>
      <c r="H161" s="392">
        <v>0</v>
      </c>
      <c r="I161" s="320">
        <f>D157*F161*G161*(1-H161)</f>
        <v>1.9008000000000003E-6</v>
      </c>
      <c r="J161" s="309" t="s">
        <v>291</v>
      </c>
      <c r="K161" s="363">
        <v>0</v>
      </c>
      <c r="L161" s="396">
        <f>I161*(1-K161)</f>
        <v>1.9008000000000003E-6</v>
      </c>
      <c r="M161" s="258"/>
      <c r="O161" s="311" t="str">
        <f t="shared" si="30"/>
        <v>-</v>
      </c>
      <c r="P161" s="311" t="str">
        <f t="shared" si="30"/>
        <v>-</v>
      </c>
      <c r="Q161" s="311" t="str">
        <f t="shared" si="30"/>
        <v>-</v>
      </c>
      <c r="R161" s="311" t="str">
        <f t="shared" si="30"/>
        <v>-</v>
      </c>
      <c r="S161" s="311" t="str">
        <f t="shared" si="30"/>
        <v>-</v>
      </c>
      <c r="T161" s="311" t="str">
        <f t="shared" si="30"/>
        <v>-</v>
      </c>
      <c r="U161" s="311" t="str">
        <f t="shared" si="30"/>
        <v>-</v>
      </c>
      <c r="V161" s="311" t="str">
        <f t="shared" si="30"/>
        <v>-</v>
      </c>
      <c r="W161" s="311" t="str">
        <f t="shared" si="30"/>
        <v>-</v>
      </c>
      <c r="X161" s="311" t="str">
        <f t="shared" si="30"/>
        <v>-</v>
      </c>
      <c r="Y161" s="311" t="str">
        <f t="shared" si="30"/>
        <v>-</v>
      </c>
      <c r="Z161" s="311" t="str">
        <f t="shared" si="30"/>
        <v>-</v>
      </c>
      <c r="AB161" s="311" t="str">
        <f>IF($E161=AB$3,#REF!*$F161,"-")</f>
        <v>-</v>
      </c>
      <c r="AC161" s="311" t="str">
        <f>IF($E161=AC$3,#REF!*$F161,"-")</f>
        <v>-</v>
      </c>
      <c r="AD161" s="311" t="str">
        <f>IF($E161=AD$3,#REF!*$F161,"-")</f>
        <v>-</v>
      </c>
      <c r="AE161" s="311" t="str">
        <f>IF($E161=AE$3,#REF!*$F161,"-")</f>
        <v>-</v>
      </c>
      <c r="AF161" s="311" t="str">
        <f>IF($E161=AF$3,#REF!*$F161,"-")</f>
        <v>-</v>
      </c>
      <c r="AG161" s="311" t="str">
        <f>IF($E161=AG$3,#REF!*$F161,"-")</f>
        <v>-</v>
      </c>
      <c r="AH161" s="311" t="str">
        <f>IF($E161=AH$3,#REF!*$F161,"-")</f>
        <v>-</v>
      </c>
      <c r="AI161" s="311" t="str">
        <f>IF($E161=AI$3,#REF!*$F161,"-")</f>
        <v>-</v>
      </c>
      <c r="AJ161" s="311" t="str">
        <f>IF($E161=AJ$3,#REF!*$F161,"-")</f>
        <v>-</v>
      </c>
      <c r="AK161" s="311" t="str">
        <f>IF($E161=AK$3,#REF!*$F161,"-")</f>
        <v>-</v>
      </c>
      <c r="AL161" s="311" t="str">
        <f>IF($E161=AL$3,#REF!*$F161,"-")</f>
        <v>-</v>
      </c>
      <c r="AM161" s="311" t="str">
        <f>IF($E161=AM$3,#REF!*$F161,"-")</f>
        <v>-</v>
      </c>
    </row>
    <row r="162" spans="3:39" ht="14.25" x14ac:dyDescent="0.2">
      <c r="C162" s="561"/>
      <c r="D162" s="561"/>
      <c r="E162" s="309" t="s">
        <v>895</v>
      </c>
      <c r="F162" s="408">
        <v>1.0000000000000001E-7</v>
      </c>
      <c r="G162" s="309">
        <v>1E-3</v>
      </c>
      <c r="H162" s="392">
        <v>0</v>
      </c>
      <c r="I162" s="320">
        <f>D157*F162*G162*(1-H162)</f>
        <v>1.9008000000000003E-6</v>
      </c>
      <c r="J162" s="309" t="s">
        <v>291</v>
      </c>
      <c r="K162" s="363">
        <v>0</v>
      </c>
      <c r="L162" s="396">
        <f>I162*(1-K162)</f>
        <v>1.9008000000000003E-6</v>
      </c>
      <c r="M162" s="258"/>
      <c r="O162" s="311" t="str">
        <f t="shared" si="30"/>
        <v>-</v>
      </c>
      <c r="P162" s="311" t="str">
        <f t="shared" si="30"/>
        <v>-</v>
      </c>
      <c r="Q162" s="311" t="str">
        <f t="shared" si="30"/>
        <v>-</v>
      </c>
      <c r="R162" s="311" t="str">
        <f t="shared" si="30"/>
        <v>-</v>
      </c>
      <c r="S162" s="311" t="str">
        <f t="shared" si="30"/>
        <v>-</v>
      </c>
      <c r="T162" s="311" t="str">
        <f t="shared" si="30"/>
        <v>-</v>
      </c>
      <c r="U162" s="311" t="str">
        <f t="shared" si="30"/>
        <v>-</v>
      </c>
      <c r="V162" s="311" t="str">
        <f t="shared" si="30"/>
        <v>-</v>
      </c>
      <c r="W162" s="311" t="str">
        <f t="shared" si="30"/>
        <v>-</v>
      </c>
      <c r="X162" s="311" t="str">
        <f t="shared" si="30"/>
        <v>-</v>
      </c>
      <c r="Y162" s="311" t="str">
        <f t="shared" si="30"/>
        <v>-</v>
      </c>
      <c r="Z162" s="311" t="str">
        <f t="shared" si="30"/>
        <v>-</v>
      </c>
      <c r="AB162" s="311" t="str">
        <f>IF($E162=AB$3,#REF!*$F162,"-")</f>
        <v>-</v>
      </c>
      <c r="AC162" s="311" t="str">
        <f>IF($E162=AC$3,#REF!*$F162,"-")</f>
        <v>-</v>
      </c>
      <c r="AD162" s="311" t="str">
        <f>IF($E162=AD$3,#REF!*$F162,"-")</f>
        <v>-</v>
      </c>
      <c r="AE162" s="311" t="str">
        <f>IF($E162=AE$3,#REF!*$F162,"-")</f>
        <v>-</v>
      </c>
      <c r="AF162" s="311" t="str">
        <f>IF($E162=AF$3,#REF!*$F162,"-")</f>
        <v>-</v>
      </c>
      <c r="AG162" s="311" t="str">
        <f>IF($E162=AG$3,#REF!*$F162,"-")</f>
        <v>-</v>
      </c>
      <c r="AH162" s="311" t="str">
        <f>IF($E162=AH$3,#REF!*$F162,"-")</f>
        <v>-</v>
      </c>
      <c r="AI162" s="311" t="str">
        <f>IF($E162=AI$3,#REF!*$F162,"-")</f>
        <v>-</v>
      </c>
      <c r="AJ162" s="311" t="str">
        <f>IF($E162=AJ$3,#REF!*$F162,"-")</f>
        <v>-</v>
      </c>
      <c r="AK162" s="311" t="str">
        <f>IF($E162=AK$3,#REF!*$F162,"-")</f>
        <v>-</v>
      </c>
      <c r="AL162" s="311" t="str">
        <f>IF($E162=AL$3,#REF!*$F162,"-")</f>
        <v>-</v>
      </c>
      <c r="AM162" s="311" t="str">
        <f>IF($E162=AM$3,#REF!*$F162,"-")</f>
        <v>-</v>
      </c>
    </row>
    <row r="163" spans="3:39" ht="14.25" x14ac:dyDescent="0.2">
      <c r="C163" s="561"/>
      <c r="D163" s="561"/>
      <c r="E163" s="309" t="s">
        <v>896</v>
      </c>
      <c r="F163" s="408">
        <v>9.9999999999999995E-7</v>
      </c>
      <c r="G163" s="309">
        <v>1E-3</v>
      </c>
      <c r="H163" s="392">
        <v>0</v>
      </c>
      <c r="I163" s="320">
        <f>D157*F163*G163*(1-H163)</f>
        <v>1.9008000000000002E-5</v>
      </c>
      <c r="J163" s="309" t="s">
        <v>291</v>
      </c>
      <c r="K163" s="363">
        <v>0</v>
      </c>
      <c r="L163" s="396">
        <f>I163*(1-K163)</f>
        <v>1.9008000000000002E-5</v>
      </c>
      <c r="M163" s="258"/>
      <c r="O163" s="311" t="str">
        <f t="shared" si="30"/>
        <v>-</v>
      </c>
      <c r="P163" s="311" t="str">
        <f t="shared" si="30"/>
        <v>-</v>
      </c>
      <c r="Q163" s="311" t="str">
        <f t="shared" si="30"/>
        <v>-</v>
      </c>
      <c r="R163" s="311" t="str">
        <f t="shared" si="30"/>
        <v>-</v>
      </c>
      <c r="S163" s="311" t="str">
        <f t="shared" si="30"/>
        <v>-</v>
      </c>
      <c r="T163" s="311" t="str">
        <f t="shared" si="30"/>
        <v>-</v>
      </c>
      <c r="U163" s="311" t="str">
        <f t="shared" si="30"/>
        <v>-</v>
      </c>
      <c r="V163" s="311" t="str">
        <f t="shared" si="30"/>
        <v>-</v>
      </c>
      <c r="W163" s="311" t="str">
        <f t="shared" si="30"/>
        <v>-</v>
      </c>
      <c r="X163" s="311" t="str">
        <f t="shared" si="30"/>
        <v>-</v>
      </c>
      <c r="Y163" s="311" t="str">
        <f t="shared" si="30"/>
        <v>-</v>
      </c>
      <c r="Z163" s="311" t="str">
        <f t="shared" si="30"/>
        <v>-</v>
      </c>
      <c r="AB163" s="311" t="str">
        <f>IF($E163=AB$3,#REF!*$F163,"-")</f>
        <v>-</v>
      </c>
      <c r="AC163" s="311" t="str">
        <f>IF($E163=AC$3,#REF!*$F163,"-")</f>
        <v>-</v>
      </c>
      <c r="AD163" s="311" t="str">
        <f>IF($E163=AD$3,#REF!*$F163,"-")</f>
        <v>-</v>
      </c>
      <c r="AE163" s="311" t="str">
        <f>IF($E163=AE$3,#REF!*$F163,"-")</f>
        <v>-</v>
      </c>
      <c r="AF163" s="311" t="str">
        <f>IF($E163=AF$3,#REF!*$F163,"-")</f>
        <v>-</v>
      </c>
      <c r="AG163" s="311" t="str">
        <f>IF($E163=AG$3,#REF!*$F163,"-")</f>
        <v>-</v>
      </c>
      <c r="AH163" s="311" t="str">
        <f>IF($E163=AH$3,#REF!*$F163,"-")</f>
        <v>-</v>
      </c>
      <c r="AI163" s="311" t="str">
        <f>IF($E163=AI$3,#REF!*$F163,"-")</f>
        <v>-</v>
      </c>
      <c r="AJ163" s="311" t="str">
        <f>IF($E163=AJ$3,#REF!*$F163,"-")</f>
        <v>-</v>
      </c>
      <c r="AK163" s="311" t="str">
        <f>IF($E163=AK$3,#REF!*$F163,"-")</f>
        <v>-</v>
      </c>
      <c r="AL163" s="311" t="str">
        <f>IF($E163=AL$3,#REF!*$F163,"-")</f>
        <v>-</v>
      </c>
      <c r="AM163" s="311" t="str">
        <f>IF($E163=AM$3,#REF!*$F163,"-")</f>
        <v>-</v>
      </c>
    </row>
    <row r="164" spans="3:39" ht="14.25" x14ac:dyDescent="0.2">
      <c r="C164" s="561"/>
      <c r="D164" s="561"/>
      <c r="E164" s="309" t="s">
        <v>878</v>
      </c>
      <c r="F164" s="408">
        <v>9.9999999999999995E-7</v>
      </c>
      <c r="G164" s="309">
        <v>1E-3</v>
      </c>
      <c r="H164" s="392">
        <v>0</v>
      </c>
      <c r="I164" s="320">
        <f>D157*F164*G164*(1-H164)</f>
        <v>1.9008000000000002E-5</v>
      </c>
      <c r="J164" s="309" t="s">
        <v>291</v>
      </c>
      <c r="K164" s="363">
        <v>0</v>
      </c>
      <c r="L164" s="396">
        <f>I164*(1-K164)</f>
        <v>1.9008000000000002E-5</v>
      </c>
      <c r="M164" s="258"/>
      <c r="O164" s="311" t="str">
        <f t="shared" si="30"/>
        <v>-</v>
      </c>
      <c r="P164" s="311">
        <f t="shared" si="30"/>
        <v>1.9008000000000001E-2</v>
      </c>
      <c r="Q164" s="311" t="str">
        <f t="shared" si="30"/>
        <v>-</v>
      </c>
      <c r="R164" s="311" t="str">
        <f t="shared" si="30"/>
        <v>-</v>
      </c>
      <c r="S164" s="311" t="str">
        <f t="shared" si="30"/>
        <v>-</v>
      </c>
      <c r="T164" s="311" t="str">
        <f t="shared" si="30"/>
        <v>-</v>
      </c>
      <c r="U164" s="311" t="str">
        <f t="shared" si="30"/>
        <v>-</v>
      </c>
      <c r="V164" s="311" t="str">
        <f t="shared" si="30"/>
        <v>-</v>
      </c>
      <c r="W164" s="311" t="str">
        <f t="shared" si="30"/>
        <v>-</v>
      </c>
      <c r="X164" s="311" t="str">
        <f t="shared" si="30"/>
        <v>-</v>
      </c>
      <c r="Y164" s="311" t="str">
        <f t="shared" si="30"/>
        <v>-</v>
      </c>
      <c r="Z164" s="311" t="str">
        <f t="shared" si="30"/>
        <v>-</v>
      </c>
      <c r="AB164" s="311" t="str">
        <f>IF($E164=AB$3,#REF!*$F164,"-")</f>
        <v>-</v>
      </c>
      <c r="AC164" s="311" t="e">
        <f>IF($E164=AC$3,#REF!*$F164,"-")</f>
        <v>#REF!</v>
      </c>
      <c r="AD164" s="311" t="str">
        <f>IF($E164=AD$3,#REF!*$F164,"-")</f>
        <v>-</v>
      </c>
      <c r="AE164" s="311" t="str">
        <f>IF($E164=AE$3,#REF!*$F164,"-")</f>
        <v>-</v>
      </c>
      <c r="AF164" s="311" t="str">
        <f>IF($E164=AF$3,#REF!*$F164,"-")</f>
        <v>-</v>
      </c>
      <c r="AG164" s="311" t="str">
        <f>IF($E164=AG$3,#REF!*$F164,"-")</f>
        <v>-</v>
      </c>
      <c r="AH164" s="311" t="str">
        <f>IF($E164=AH$3,#REF!*$F164,"-")</f>
        <v>-</v>
      </c>
      <c r="AI164" s="311" t="str">
        <f>IF($E164=AI$3,#REF!*$F164,"-")</f>
        <v>-</v>
      </c>
      <c r="AJ164" s="311" t="str">
        <f>IF($E164=AJ$3,#REF!*$F164,"-")</f>
        <v>-</v>
      </c>
      <c r="AK164" s="311" t="str">
        <f>IF($E164=AK$3,#REF!*$F164,"-")</f>
        <v>-</v>
      </c>
      <c r="AL164" s="311" t="str">
        <f>IF($E164=AL$3,#REF!*$F164,"-")</f>
        <v>-</v>
      </c>
      <c r="AM164" s="311" t="str">
        <f>IF($E164=AM$3,#REF!*$F164,"-")</f>
        <v>-</v>
      </c>
    </row>
    <row r="165" spans="3:39" ht="14.25" x14ac:dyDescent="0.2">
      <c r="C165" s="561"/>
      <c r="D165" s="561"/>
      <c r="E165" s="309" t="s">
        <v>879</v>
      </c>
      <c r="F165" s="408">
        <v>9.9999999999999995E-7</v>
      </c>
      <c r="G165" s="309">
        <v>1E-3</v>
      </c>
      <c r="H165" s="392">
        <v>0</v>
      </c>
      <c r="I165" s="320">
        <f>D157*F165*G165*(1-H165)</f>
        <v>1.9008000000000002E-5</v>
      </c>
      <c r="J165" s="309" t="s">
        <v>291</v>
      </c>
      <c r="K165" s="363">
        <v>0</v>
      </c>
      <c r="L165" s="396">
        <f t="shared" si="31"/>
        <v>1.9008000000000002E-5</v>
      </c>
      <c r="M165" s="258"/>
      <c r="O165" s="311" t="str">
        <f t="shared" si="30"/>
        <v>-</v>
      </c>
      <c r="P165" s="311" t="str">
        <f t="shared" si="30"/>
        <v>-</v>
      </c>
      <c r="Q165" s="311">
        <f t="shared" si="30"/>
        <v>1.9008000000000001E-2</v>
      </c>
      <c r="R165" s="311" t="str">
        <f t="shared" si="30"/>
        <v>-</v>
      </c>
      <c r="S165" s="311" t="str">
        <f t="shared" si="30"/>
        <v>-</v>
      </c>
      <c r="T165" s="311" t="str">
        <f t="shared" si="30"/>
        <v>-</v>
      </c>
      <c r="U165" s="311" t="str">
        <f t="shared" si="30"/>
        <v>-</v>
      </c>
      <c r="V165" s="311" t="str">
        <f t="shared" si="30"/>
        <v>-</v>
      </c>
      <c r="W165" s="311" t="str">
        <f t="shared" si="30"/>
        <v>-</v>
      </c>
      <c r="X165" s="311" t="str">
        <f t="shared" si="30"/>
        <v>-</v>
      </c>
      <c r="Y165" s="311" t="str">
        <f t="shared" si="30"/>
        <v>-</v>
      </c>
      <c r="Z165" s="311" t="str">
        <f t="shared" si="30"/>
        <v>-</v>
      </c>
      <c r="AB165" s="311" t="str">
        <f>IF($E165=AB$3,#REF!*$F165,"-")</f>
        <v>-</v>
      </c>
      <c r="AC165" s="311" t="str">
        <f>IF($E165=AC$3,#REF!*$F165,"-")</f>
        <v>-</v>
      </c>
      <c r="AD165" s="311" t="e">
        <f>IF($E165=AD$3,#REF!*$F165,"-")</f>
        <v>#REF!</v>
      </c>
      <c r="AE165" s="311" t="str">
        <f>IF($E165=AE$3,#REF!*$F165,"-")</f>
        <v>-</v>
      </c>
      <c r="AF165" s="311" t="str">
        <f>IF($E165=AF$3,#REF!*$F165,"-")</f>
        <v>-</v>
      </c>
      <c r="AG165" s="311" t="str">
        <f>IF($E165=AG$3,#REF!*$F165,"-")</f>
        <v>-</v>
      </c>
      <c r="AH165" s="311" t="str">
        <f>IF($E165=AH$3,#REF!*$F165,"-")</f>
        <v>-</v>
      </c>
      <c r="AI165" s="311" t="str">
        <f>IF($E165=AI$3,#REF!*$F165,"-")</f>
        <v>-</v>
      </c>
      <c r="AJ165" s="311" t="str">
        <f>IF($E165=AJ$3,#REF!*$F165,"-")</f>
        <v>-</v>
      </c>
      <c r="AK165" s="311" t="str">
        <f>IF($E165=AK$3,#REF!*$F165,"-")</f>
        <v>-</v>
      </c>
      <c r="AL165" s="311" t="str">
        <f>IF($E165=AL$3,#REF!*$F165,"-")</f>
        <v>-</v>
      </c>
      <c r="AM165" s="311" t="str">
        <f>IF($E165=AM$3,#REF!*$F165,"-")</f>
        <v>-</v>
      </c>
    </row>
    <row r="166" spans="3:39" ht="14.25" x14ac:dyDescent="0.2">
      <c r="C166" s="561"/>
      <c r="D166" s="561"/>
      <c r="E166" s="309" t="s">
        <v>888</v>
      </c>
      <c r="F166" s="408">
        <v>9.9999999999999995E-7</v>
      </c>
      <c r="G166" s="309">
        <v>1E-3</v>
      </c>
      <c r="H166" s="392">
        <v>0</v>
      </c>
      <c r="I166" s="320">
        <f>D166*F166*G166*(1-H166)</f>
        <v>0</v>
      </c>
      <c r="J166" s="309" t="s">
        <v>291</v>
      </c>
      <c r="K166" s="363">
        <v>0</v>
      </c>
      <c r="L166" s="396">
        <f t="shared" si="31"/>
        <v>0</v>
      </c>
      <c r="M166" s="258"/>
      <c r="O166" s="311" t="str">
        <f t="shared" si="30"/>
        <v>-</v>
      </c>
      <c r="P166" s="311" t="str">
        <f t="shared" si="30"/>
        <v>-</v>
      </c>
      <c r="Q166" s="311" t="str">
        <f t="shared" si="30"/>
        <v>-</v>
      </c>
      <c r="R166" s="311" t="str">
        <f t="shared" si="30"/>
        <v>-</v>
      </c>
      <c r="S166" s="311" t="str">
        <f t="shared" si="30"/>
        <v>-</v>
      </c>
      <c r="T166" s="311" t="str">
        <f t="shared" si="30"/>
        <v>-</v>
      </c>
      <c r="U166" s="311" t="str">
        <f t="shared" si="30"/>
        <v>-</v>
      </c>
      <c r="V166" s="311" t="str">
        <f t="shared" si="30"/>
        <v>-</v>
      </c>
      <c r="W166" s="311" t="str">
        <f t="shared" si="30"/>
        <v>-</v>
      </c>
      <c r="X166" s="311" t="str">
        <f t="shared" si="30"/>
        <v>-</v>
      </c>
      <c r="Y166" s="311" t="str">
        <f t="shared" si="30"/>
        <v>-</v>
      </c>
      <c r="Z166" s="311">
        <f t="shared" si="30"/>
        <v>1.9008000000000001E-2</v>
      </c>
      <c r="AB166" s="311" t="str">
        <f>IF($E166=AB$3,#REF!*$F166,"-")</f>
        <v>-</v>
      </c>
      <c r="AC166" s="311" t="str">
        <f>IF($E166=AC$3,#REF!*$F166,"-")</f>
        <v>-</v>
      </c>
      <c r="AD166" s="311" t="str">
        <f>IF($E166=AD$3,#REF!*$F166,"-")</f>
        <v>-</v>
      </c>
      <c r="AE166" s="311" t="str">
        <f>IF($E166=AE$3,#REF!*$F166,"-")</f>
        <v>-</v>
      </c>
      <c r="AF166" s="311" t="str">
        <f>IF($E166=AF$3,#REF!*$F166,"-")</f>
        <v>-</v>
      </c>
      <c r="AG166" s="311" t="str">
        <f>IF($E166=AG$3,#REF!*$F166,"-")</f>
        <v>-</v>
      </c>
      <c r="AH166" s="311" t="str">
        <f>IF($E166=AH$3,#REF!*$F166,"-")</f>
        <v>-</v>
      </c>
      <c r="AI166" s="311" t="str">
        <f>IF($E166=AI$3,#REF!*$F166,"-")</f>
        <v>-</v>
      </c>
      <c r="AJ166" s="311" t="str">
        <f>IF($E166=AJ$3,#REF!*$F166,"-")</f>
        <v>-</v>
      </c>
      <c r="AK166" s="311" t="str">
        <f>IF($E166=AK$3,#REF!*$F166,"-")</f>
        <v>-</v>
      </c>
      <c r="AL166" s="311" t="str">
        <f>IF($E166=AL$3,#REF!*$F166,"-")</f>
        <v>-</v>
      </c>
      <c r="AM166" s="311" t="e">
        <f>IF($E166=AM$3,#REF!*$F166,"-")</f>
        <v>#REF!</v>
      </c>
    </row>
    <row r="167" spans="3:39" ht="14.25" x14ac:dyDescent="0.2">
      <c r="C167" s="561"/>
      <c r="D167" s="561"/>
      <c r="E167" s="309" t="s">
        <v>897</v>
      </c>
      <c r="F167" s="408">
        <v>9.9999999999999995E-7</v>
      </c>
      <c r="G167" s="309">
        <v>1E-3</v>
      </c>
      <c r="H167" s="392">
        <v>0</v>
      </c>
      <c r="I167" s="320">
        <f>D157*F167*G167*(1-H167)</f>
        <v>1.9008000000000002E-5</v>
      </c>
      <c r="J167" s="309" t="s">
        <v>291</v>
      </c>
      <c r="K167" s="363">
        <v>0</v>
      </c>
      <c r="L167" s="396">
        <f t="shared" si="31"/>
        <v>1.9008000000000002E-5</v>
      </c>
      <c r="M167" s="258"/>
      <c r="O167" s="311" t="str">
        <f t="shared" ref="O167:Z176" si="32">IF($E167=O$3,$D$157*$F167,"-")</f>
        <v>-</v>
      </c>
      <c r="P167" s="311" t="str">
        <f t="shared" si="32"/>
        <v>-</v>
      </c>
      <c r="Q167" s="311" t="str">
        <f t="shared" si="32"/>
        <v>-</v>
      </c>
      <c r="R167" s="311" t="str">
        <f t="shared" si="32"/>
        <v>-</v>
      </c>
      <c r="S167" s="311" t="str">
        <f t="shared" si="32"/>
        <v>-</v>
      </c>
      <c r="T167" s="311" t="str">
        <f t="shared" si="32"/>
        <v>-</v>
      </c>
      <c r="U167" s="311" t="str">
        <f t="shared" si="32"/>
        <v>-</v>
      </c>
      <c r="V167" s="311" t="str">
        <f t="shared" si="32"/>
        <v>-</v>
      </c>
      <c r="W167" s="311" t="str">
        <f t="shared" si="32"/>
        <v>-</v>
      </c>
      <c r="X167" s="311" t="str">
        <f t="shared" si="32"/>
        <v>-</v>
      </c>
      <c r="Y167" s="311" t="str">
        <f t="shared" si="32"/>
        <v>-</v>
      </c>
      <c r="Z167" s="311" t="str">
        <f t="shared" si="32"/>
        <v>-</v>
      </c>
      <c r="AB167" s="311" t="str">
        <f>IF($E167=AB$3,#REF!*$F167,"-")</f>
        <v>-</v>
      </c>
      <c r="AC167" s="311" t="str">
        <f>IF($E167=AC$3,#REF!*$F167,"-")</f>
        <v>-</v>
      </c>
      <c r="AD167" s="311" t="str">
        <f>IF($E167=AD$3,#REF!*$F167,"-")</f>
        <v>-</v>
      </c>
      <c r="AE167" s="311" t="str">
        <f>IF($E167=AE$3,#REF!*$F167,"-")</f>
        <v>-</v>
      </c>
      <c r="AF167" s="311" t="str">
        <f>IF($E167=AF$3,#REF!*$F167,"-")</f>
        <v>-</v>
      </c>
      <c r="AG167" s="311" t="str">
        <f>IF($E167=AG$3,#REF!*$F167,"-")</f>
        <v>-</v>
      </c>
      <c r="AH167" s="311" t="str">
        <f>IF($E167=AH$3,#REF!*$F167,"-")</f>
        <v>-</v>
      </c>
      <c r="AI167" s="311" t="str">
        <f>IF($E167=AI$3,#REF!*$F167,"-")</f>
        <v>-</v>
      </c>
      <c r="AJ167" s="311" t="str">
        <f>IF($E167=AJ$3,#REF!*$F167,"-")</f>
        <v>-</v>
      </c>
      <c r="AK167" s="311" t="str">
        <f>IF($E167=AK$3,#REF!*$F167,"-")</f>
        <v>-</v>
      </c>
      <c r="AL167" s="311" t="str">
        <f>IF($E167=AL$3,#REF!*$F167,"-")</f>
        <v>-</v>
      </c>
      <c r="AM167" s="311" t="str">
        <f>IF($E167=AM$3,#REF!*$F167,"-")</f>
        <v>-</v>
      </c>
    </row>
    <row r="168" spans="3:39" ht="14.25" x14ac:dyDescent="0.2">
      <c r="C168" s="561"/>
      <c r="D168" s="561"/>
      <c r="E168" s="309" t="s">
        <v>880</v>
      </c>
      <c r="F168" s="408">
        <v>1.9999999999999999E-6</v>
      </c>
      <c r="G168" s="309">
        <v>1E-3</v>
      </c>
      <c r="H168" s="392">
        <v>0</v>
      </c>
      <c r="I168" s="320">
        <f>D157*F168*G168*(1-H168)</f>
        <v>3.8016000000000003E-5</v>
      </c>
      <c r="J168" s="309" t="s">
        <v>291</v>
      </c>
      <c r="K168" s="363">
        <v>0</v>
      </c>
      <c r="L168" s="396">
        <f t="shared" si="31"/>
        <v>3.8016000000000003E-5</v>
      </c>
      <c r="M168" s="258"/>
      <c r="O168" s="311" t="str">
        <f t="shared" si="32"/>
        <v>-</v>
      </c>
      <c r="P168" s="311" t="str">
        <f t="shared" si="32"/>
        <v>-</v>
      </c>
      <c r="Q168" s="311" t="str">
        <f t="shared" si="32"/>
        <v>-</v>
      </c>
      <c r="R168" s="311">
        <f t="shared" si="32"/>
        <v>3.8016000000000001E-2</v>
      </c>
      <c r="S168" s="311" t="str">
        <f t="shared" si="32"/>
        <v>-</v>
      </c>
      <c r="T168" s="311" t="str">
        <f t="shared" si="32"/>
        <v>-</v>
      </c>
      <c r="U168" s="311" t="str">
        <f t="shared" si="32"/>
        <v>-</v>
      </c>
      <c r="V168" s="311" t="str">
        <f t="shared" si="32"/>
        <v>-</v>
      </c>
      <c r="W168" s="311" t="str">
        <f t="shared" si="32"/>
        <v>-</v>
      </c>
      <c r="X168" s="311" t="str">
        <f t="shared" si="32"/>
        <v>-</v>
      </c>
      <c r="Y168" s="311" t="str">
        <f t="shared" si="32"/>
        <v>-</v>
      </c>
      <c r="Z168" s="311" t="str">
        <f t="shared" si="32"/>
        <v>-</v>
      </c>
      <c r="AB168" s="311" t="str">
        <f>IF($E168=AB$3,#REF!*$F168,"-")</f>
        <v>-</v>
      </c>
      <c r="AC168" s="311" t="str">
        <f>IF($E168=AC$3,#REF!*$F168,"-")</f>
        <v>-</v>
      </c>
      <c r="AD168" s="311" t="str">
        <f>IF($E168=AD$3,#REF!*$F168,"-")</f>
        <v>-</v>
      </c>
      <c r="AE168" s="311" t="e">
        <f>IF($E168=AE$3,#REF!*$F168,"-")</f>
        <v>#REF!</v>
      </c>
      <c r="AF168" s="311" t="str">
        <f>IF($E168=AF$3,#REF!*$F168,"-")</f>
        <v>-</v>
      </c>
      <c r="AG168" s="311" t="str">
        <f>IF($E168=AG$3,#REF!*$F168,"-")</f>
        <v>-</v>
      </c>
      <c r="AH168" s="311" t="str">
        <f>IF($E168=AH$3,#REF!*$F168,"-")</f>
        <v>-</v>
      </c>
      <c r="AI168" s="311" t="str">
        <f>IF($E168=AI$3,#REF!*$F168,"-")</f>
        <v>-</v>
      </c>
      <c r="AJ168" s="311" t="str">
        <f>IF($E168=AJ$3,#REF!*$F168,"-")</f>
        <v>-</v>
      </c>
      <c r="AK168" s="311" t="str">
        <f>IF($E168=AK$3,#REF!*$F168,"-")</f>
        <v>-</v>
      </c>
      <c r="AL168" s="311" t="str">
        <f>IF($E168=AL$3,#REF!*$F168,"-")</f>
        <v>-</v>
      </c>
      <c r="AM168" s="311" t="str">
        <f>IF($E168=AM$3,#REF!*$F168,"-")</f>
        <v>-</v>
      </c>
    </row>
    <row r="169" spans="3:39" ht="14.25" x14ac:dyDescent="0.2">
      <c r="C169" s="561"/>
      <c r="D169" s="561"/>
      <c r="E169" s="309" t="s">
        <v>898</v>
      </c>
      <c r="F169" s="408">
        <v>9.0000000000000002E-6</v>
      </c>
      <c r="G169" s="309">
        <v>1E-3</v>
      </c>
      <c r="H169" s="392">
        <v>0</v>
      </c>
      <c r="I169" s="320">
        <f>D157*F169*G169*(1-H169)</f>
        <v>1.71072E-4</v>
      </c>
      <c r="J169" s="309" t="s">
        <v>291</v>
      </c>
      <c r="K169" s="363">
        <v>0</v>
      </c>
      <c r="L169" s="396">
        <f t="shared" si="31"/>
        <v>1.71072E-4</v>
      </c>
      <c r="M169" s="258"/>
      <c r="O169" s="311" t="str">
        <f t="shared" si="32"/>
        <v>-</v>
      </c>
      <c r="P169" s="311" t="str">
        <f t="shared" si="32"/>
        <v>-</v>
      </c>
      <c r="Q169" s="311" t="str">
        <f t="shared" si="32"/>
        <v>-</v>
      </c>
      <c r="R169" s="311" t="str">
        <f t="shared" si="32"/>
        <v>-</v>
      </c>
      <c r="S169" s="311" t="str">
        <f t="shared" si="32"/>
        <v>-</v>
      </c>
      <c r="T169" s="311" t="str">
        <f t="shared" si="32"/>
        <v>-</v>
      </c>
      <c r="U169" s="311" t="str">
        <f t="shared" si="32"/>
        <v>-</v>
      </c>
      <c r="V169" s="311" t="str">
        <f t="shared" si="32"/>
        <v>-</v>
      </c>
      <c r="W169" s="311" t="str">
        <f t="shared" si="32"/>
        <v>-</v>
      </c>
      <c r="X169" s="311" t="str">
        <f t="shared" si="32"/>
        <v>-</v>
      </c>
      <c r="Y169" s="311" t="str">
        <f t="shared" si="32"/>
        <v>-</v>
      </c>
      <c r="Z169" s="311" t="str">
        <f t="shared" si="32"/>
        <v>-</v>
      </c>
      <c r="AB169" s="311" t="str">
        <f>IF($E169=AB$3,#REF!*$F169,"-")</f>
        <v>-</v>
      </c>
      <c r="AC169" s="311" t="str">
        <f>IF($E169=AC$3,#REF!*$F169,"-")</f>
        <v>-</v>
      </c>
      <c r="AD169" s="311" t="str">
        <f>IF($E169=AD$3,#REF!*$F169,"-")</f>
        <v>-</v>
      </c>
      <c r="AE169" s="311" t="str">
        <f>IF($E169=AE$3,#REF!*$F169,"-")</f>
        <v>-</v>
      </c>
      <c r="AF169" s="311" t="str">
        <f>IF($E169=AF$3,#REF!*$F169,"-")</f>
        <v>-</v>
      </c>
      <c r="AG169" s="311" t="str">
        <f>IF($E169=AG$3,#REF!*$F169,"-")</f>
        <v>-</v>
      </c>
      <c r="AH169" s="311" t="str">
        <f>IF($E169=AH$3,#REF!*$F169,"-")</f>
        <v>-</v>
      </c>
      <c r="AI169" s="311" t="str">
        <f>IF($E169=AI$3,#REF!*$F169,"-")</f>
        <v>-</v>
      </c>
      <c r="AJ169" s="311" t="str">
        <f>IF($E169=AJ$3,#REF!*$F169,"-")</f>
        <v>-</v>
      </c>
      <c r="AK169" s="311" t="str">
        <f>IF($E169=AK$3,#REF!*$F169,"-")</f>
        <v>-</v>
      </c>
      <c r="AL169" s="311" t="str">
        <f>IF($E169=AL$3,#REF!*$F169,"-")</f>
        <v>-</v>
      </c>
      <c r="AM169" s="311" t="str">
        <f>IF($E169=AM$3,#REF!*$F169,"-")</f>
        <v>-</v>
      </c>
    </row>
    <row r="170" spans="3:39" ht="14.25" x14ac:dyDescent="0.2">
      <c r="C170" s="561"/>
      <c r="D170" s="561"/>
      <c r="E170" s="309" t="s">
        <v>909</v>
      </c>
      <c r="F170" s="408">
        <v>5.0000000000000004E-8</v>
      </c>
      <c r="G170" s="309">
        <v>1E-3</v>
      </c>
      <c r="H170" s="392">
        <v>0</v>
      </c>
      <c r="I170" s="320">
        <f>D157*F170*G170*(1-H170)</f>
        <v>9.5040000000000015E-7</v>
      </c>
      <c r="J170" s="309" t="s">
        <v>291</v>
      </c>
      <c r="K170" s="363">
        <v>0</v>
      </c>
      <c r="L170" s="396">
        <f t="shared" si="31"/>
        <v>9.5040000000000015E-7</v>
      </c>
      <c r="M170" s="258"/>
      <c r="O170" s="311" t="str">
        <f t="shared" si="32"/>
        <v>-</v>
      </c>
      <c r="P170" s="311" t="str">
        <f t="shared" si="32"/>
        <v>-</v>
      </c>
      <c r="Q170" s="311" t="str">
        <f t="shared" si="32"/>
        <v>-</v>
      </c>
      <c r="R170" s="311" t="str">
        <f t="shared" si="32"/>
        <v>-</v>
      </c>
      <c r="S170" s="311" t="str">
        <f t="shared" si="32"/>
        <v>-</v>
      </c>
      <c r="T170" s="311" t="str">
        <f t="shared" si="32"/>
        <v>-</v>
      </c>
      <c r="U170" s="311" t="str">
        <f t="shared" si="32"/>
        <v>-</v>
      </c>
      <c r="V170" s="311" t="str">
        <f t="shared" si="32"/>
        <v>-</v>
      </c>
      <c r="W170" s="311" t="str">
        <f t="shared" si="32"/>
        <v>-</v>
      </c>
      <c r="X170" s="311" t="str">
        <f t="shared" si="32"/>
        <v>-</v>
      </c>
      <c r="Y170" s="311" t="str">
        <f t="shared" si="32"/>
        <v>-</v>
      </c>
      <c r="Z170" s="311" t="str">
        <f t="shared" si="32"/>
        <v>-</v>
      </c>
      <c r="AB170" s="311" t="str">
        <f>IF($E170=AB$3,#REF!*$F170,"-")</f>
        <v>-</v>
      </c>
      <c r="AC170" s="311" t="str">
        <f>IF($E170=AC$3,#REF!*$F170,"-")</f>
        <v>-</v>
      </c>
      <c r="AD170" s="311" t="str">
        <f>IF($E170=AD$3,#REF!*$F170,"-")</f>
        <v>-</v>
      </c>
      <c r="AE170" s="311" t="str">
        <f>IF($E170=AE$3,#REF!*$F170,"-")</f>
        <v>-</v>
      </c>
      <c r="AF170" s="311" t="str">
        <f>IF($E170=AF$3,#REF!*$F170,"-")</f>
        <v>-</v>
      </c>
      <c r="AG170" s="311" t="str">
        <f>IF($E170=AG$3,#REF!*$F170,"-")</f>
        <v>-</v>
      </c>
      <c r="AH170" s="311" t="str">
        <f>IF($E170=AH$3,#REF!*$F170,"-")</f>
        <v>-</v>
      </c>
      <c r="AI170" s="311" t="str">
        <f>IF($E170=AI$3,#REF!*$F170,"-")</f>
        <v>-</v>
      </c>
      <c r="AJ170" s="311" t="str">
        <f>IF($E170=AJ$3,#REF!*$F170,"-")</f>
        <v>-</v>
      </c>
      <c r="AK170" s="311" t="str">
        <f>IF($E170=AK$3,#REF!*$F170,"-")</f>
        <v>-</v>
      </c>
      <c r="AL170" s="311" t="str">
        <f>IF($E170=AL$3,#REF!*$F170,"-")</f>
        <v>-</v>
      </c>
      <c r="AM170" s="311" t="str">
        <f>IF($E170=AM$3,#REF!*$F170,"-")</f>
        <v>-</v>
      </c>
    </row>
    <row r="171" spans="3:39" ht="14.25" x14ac:dyDescent="0.2">
      <c r="C171" s="561"/>
      <c r="D171" s="561"/>
      <c r="E171" s="309" t="s">
        <v>910</v>
      </c>
      <c r="F171" s="408">
        <v>1.0000000000000001E-7</v>
      </c>
      <c r="G171" s="309">
        <v>1E-3</v>
      </c>
      <c r="H171" s="392">
        <v>0</v>
      </c>
      <c r="I171" s="320">
        <f>D157*F171*G171*(1-H171)</f>
        <v>1.9008000000000003E-6</v>
      </c>
      <c r="J171" s="309" t="s">
        <v>291</v>
      </c>
      <c r="K171" s="363">
        <v>0</v>
      </c>
      <c r="L171" s="396">
        <f t="shared" si="31"/>
        <v>1.9008000000000003E-6</v>
      </c>
      <c r="M171" s="258"/>
      <c r="O171" s="311" t="str">
        <f t="shared" si="32"/>
        <v>-</v>
      </c>
      <c r="P171" s="311" t="str">
        <f t="shared" si="32"/>
        <v>-</v>
      </c>
      <c r="Q171" s="311" t="str">
        <f t="shared" si="32"/>
        <v>-</v>
      </c>
      <c r="R171" s="311" t="str">
        <f t="shared" si="32"/>
        <v>-</v>
      </c>
      <c r="S171" s="311" t="str">
        <f t="shared" si="32"/>
        <v>-</v>
      </c>
      <c r="T171" s="311" t="str">
        <f t="shared" si="32"/>
        <v>-</v>
      </c>
      <c r="U171" s="311" t="str">
        <f t="shared" si="32"/>
        <v>-</v>
      </c>
      <c r="V171" s="311" t="str">
        <f t="shared" si="32"/>
        <v>-</v>
      </c>
      <c r="W171" s="311" t="str">
        <f t="shared" si="32"/>
        <v>-</v>
      </c>
      <c r="X171" s="311" t="str">
        <f t="shared" si="32"/>
        <v>-</v>
      </c>
      <c r="Y171" s="311" t="str">
        <f t="shared" si="32"/>
        <v>-</v>
      </c>
      <c r="Z171" s="311" t="str">
        <f t="shared" si="32"/>
        <v>-</v>
      </c>
      <c r="AB171" s="311" t="str">
        <f>IF($E171=AB$3,#REF!*$F171,"-")</f>
        <v>-</v>
      </c>
      <c r="AC171" s="311" t="str">
        <f>IF($E171=AC$3,#REF!*$F171,"-")</f>
        <v>-</v>
      </c>
      <c r="AD171" s="311" t="str">
        <f>IF($E171=AD$3,#REF!*$F171,"-")</f>
        <v>-</v>
      </c>
      <c r="AE171" s="311" t="str">
        <f>IF($E171=AE$3,#REF!*$F171,"-")</f>
        <v>-</v>
      </c>
      <c r="AF171" s="311" t="str">
        <f>IF($E171=AF$3,#REF!*$F171,"-")</f>
        <v>-</v>
      </c>
      <c r="AG171" s="311" t="str">
        <f>IF($E171=AG$3,#REF!*$F171,"-")</f>
        <v>-</v>
      </c>
      <c r="AH171" s="311" t="str">
        <f>IF($E171=AH$3,#REF!*$F171,"-")</f>
        <v>-</v>
      </c>
      <c r="AI171" s="311" t="str">
        <f>IF($E171=AI$3,#REF!*$F171,"-")</f>
        <v>-</v>
      </c>
      <c r="AJ171" s="311" t="str">
        <f>IF($E171=AJ$3,#REF!*$F171,"-")</f>
        <v>-</v>
      </c>
      <c r="AK171" s="311" t="str">
        <f>IF($E171=AK$3,#REF!*$F171,"-")</f>
        <v>-</v>
      </c>
      <c r="AL171" s="311" t="str">
        <f>IF($E171=AL$3,#REF!*$F171,"-")</f>
        <v>-</v>
      </c>
      <c r="AM171" s="311" t="str">
        <f>IF($E171=AM$3,#REF!*$F171,"-")</f>
        <v>-</v>
      </c>
    </row>
    <row r="172" spans="3:39" ht="14.25" x14ac:dyDescent="0.2">
      <c r="C172" s="561"/>
      <c r="D172" s="561"/>
      <c r="E172" s="309" t="s">
        <v>901</v>
      </c>
      <c r="F172" s="408">
        <v>9.9999999999999995E-7</v>
      </c>
      <c r="G172" s="309">
        <v>1E-3</v>
      </c>
      <c r="H172" s="392">
        <v>0</v>
      </c>
      <c r="I172" s="320">
        <f>D157*F172*G172*(1-H172)</f>
        <v>1.9008000000000002E-5</v>
      </c>
      <c r="J172" s="309" t="s">
        <v>291</v>
      </c>
      <c r="K172" s="363">
        <v>0</v>
      </c>
      <c r="L172" s="396">
        <f t="shared" si="31"/>
        <v>1.9008000000000002E-5</v>
      </c>
      <c r="M172" s="258"/>
      <c r="O172" s="311" t="str">
        <f t="shared" si="32"/>
        <v>-</v>
      </c>
      <c r="P172" s="311" t="str">
        <f t="shared" si="32"/>
        <v>-</v>
      </c>
      <c r="Q172" s="311" t="str">
        <f t="shared" si="32"/>
        <v>-</v>
      </c>
      <c r="R172" s="311" t="str">
        <f t="shared" si="32"/>
        <v>-</v>
      </c>
      <c r="S172" s="311" t="str">
        <f t="shared" si="32"/>
        <v>-</v>
      </c>
      <c r="T172" s="311" t="str">
        <f t="shared" si="32"/>
        <v>-</v>
      </c>
      <c r="U172" s="311" t="str">
        <f t="shared" si="32"/>
        <v>-</v>
      </c>
      <c r="V172" s="311" t="str">
        <f t="shared" si="32"/>
        <v>-</v>
      </c>
      <c r="W172" s="311" t="str">
        <f t="shared" si="32"/>
        <v>-</v>
      </c>
      <c r="X172" s="311" t="str">
        <f t="shared" si="32"/>
        <v>-</v>
      </c>
      <c r="Y172" s="311" t="str">
        <f t="shared" si="32"/>
        <v>-</v>
      </c>
      <c r="Z172" s="311" t="str">
        <f t="shared" si="32"/>
        <v>-</v>
      </c>
      <c r="AB172" s="311" t="str">
        <f>IF($E172=AB$3,#REF!*$F172,"-")</f>
        <v>-</v>
      </c>
      <c r="AC172" s="311" t="str">
        <f>IF($E172=AC$3,#REF!*$F172,"-")</f>
        <v>-</v>
      </c>
      <c r="AD172" s="311" t="str">
        <f>IF($E172=AD$3,#REF!*$F172,"-")</f>
        <v>-</v>
      </c>
      <c r="AE172" s="311" t="str">
        <f>IF($E172=AE$3,#REF!*$F172,"-")</f>
        <v>-</v>
      </c>
      <c r="AF172" s="311" t="str">
        <f>IF($E172=AF$3,#REF!*$F172,"-")</f>
        <v>-</v>
      </c>
      <c r="AG172" s="311" t="str">
        <f>IF($E172=AG$3,#REF!*$F172,"-")</f>
        <v>-</v>
      </c>
      <c r="AH172" s="311" t="str">
        <f>IF($E172=AH$3,#REF!*$F172,"-")</f>
        <v>-</v>
      </c>
      <c r="AI172" s="311" t="str">
        <f>IF($E172=AI$3,#REF!*$F172,"-")</f>
        <v>-</v>
      </c>
      <c r="AJ172" s="311" t="str">
        <f>IF($E172=AJ$3,#REF!*$F172,"-")</f>
        <v>-</v>
      </c>
      <c r="AK172" s="311" t="str">
        <f>IF($E172=AK$3,#REF!*$F172,"-")</f>
        <v>-</v>
      </c>
      <c r="AL172" s="311" t="str">
        <f>IF($E172=AL$3,#REF!*$F172,"-")</f>
        <v>-</v>
      </c>
      <c r="AM172" s="311" t="str">
        <f>IF($E172=AM$3,#REF!*$F172,"-")</f>
        <v>-</v>
      </c>
    </row>
    <row r="173" spans="3:39" ht="14.25" x14ac:dyDescent="0.2">
      <c r="C173" s="561"/>
      <c r="D173" s="561"/>
      <c r="E173" s="309" t="s">
        <v>881</v>
      </c>
      <c r="F173" s="408">
        <v>9.9999999999999995E-7</v>
      </c>
      <c r="G173" s="309">
        <v>1E-3</v>
      </c>
      <c r="H173" s="392">
        <v>0</v>
      </c>
      <c r="I173" s="320">
        <f>D157*F173*G173*(1-H173)</f>
        <v>1.9008000000000002E-5</v>
      </c>
      <c r="J173" s="309" t="s">
        <v>291</v>
      </c>
      <c r="K173" s="363">
        <v>0</v>
      </c>
      <c r="L173" s="396">
        <f t="shared" si="31"/>
        <v>1.9008000000000002E-5</v>
      </c>
      <c r="M173" s="258"/>
      <c r="O173" s="311" t="str">
        <f t="shared" si="32"/>
        <v>-</v>
      </c>
      <c r="P173" s="311" t="str">
        <f t="shared" si="32"/>
        <v>-</v>
      </c>
      <c r="Q173" s="311" t="str">
        <f t="shared" si="32"/>
        <v>-</v>
      </c>
      <c r="R173" s="311" t="str">
        <f t="shared" si="32"/>
        <v>-</v>
      </c>
      <c r="S173" s="311">
        <f t="shared" si="32"/>
        <v>1.9008000000000001E-2</v>
      </c>
      <c r="T173" s="311" t="str">
        <f t="shared" si="32"/>
        <v>-</v>
      </c>
      <c r="U173" s="311" t="str">
        <f t="shared" si="32"/>
        <v>-</v>
      </c>
      <c r="V173" s="311" t="str">
        <f t="shared" si="32"/>
        <v>-</v>
      </c>
      <c r="W173" s="311" t="str">
        <f t="shared" si="32"/>
        <v>-</v>
      </c>
      <c r="X173" s="311" t="str">
        <f t="shared" si="32"/>
        <v>-</v>
      </c>
      <c r="Y173" s="311" t="str">
        <f t="shared" si="32"/>
        <v>-</v>
      </c>
      <c r="Z173" s="311" t="str">
        <f t="shared" si="32"/>
        <v>-</v>
      </c>
      <c r="AB173" s="311" t="str">
        <f>IF($E173=AB$3,#REF!*$F173,"-")</f>
        <v>-</v>
      </c>
      <c r="AC173" s="311" t="str">
        <f>IF($E173=AC$3,#REF!*$F173,"-")</f>
        <v>-</v>
      </c>
      <c r="AD173" s="311" t="str">
        <f>IF($E173=AD$3,#REF!*$F173,"-")</f>
        <v>-</v>
      </c>
      <c r="AE173" s="311" t="str">
        <f>IF($E173=AE$3,#REF!*$F173,"-")</f>
        <v>-</v>
      </c>
      <c r="AF173" s="311" t="e">
        <f>IF($E173=AF$3,#REF!*$F173,"-")</f>
        <v>#REF!</v>
      </c>
      <c r="AG173" s="311" t="str">
        <f>IF($E173=AG$3,#REF!*$F173,"-")</f>
        <v>-</v>
      </c>
      <c r="AH173" s="311" t="str">
        <f>IF($E173=AH$3,#REF!*$F173,"-")</f>
        <v>-</v>
      </c>
      <c r="AI173" s="311" t="str">
        <f>IF($E173=AI$3,#REF!*$F173,"-")</f>
        <v>-</v>
      </c>
      <c r="AJ173" s="311" t="str">
        <f>IF($E173=AJ$3,#REF!*$F173,"-")</f>
        <v>-</v>
      </c>
      <c r="AK173" s="311" t="str">
        <f>IF($E173=AK$3,#REF!*$F173,"-")</f>
        <v>-</v>
      </c>
      <c r="AL173" s="311" t="str">
        <f>IF($E173=AL$3,#REF!*$F173,"-")</f>
        <v>-</v>
      </c>
      <c r="AM173" s="311" t="str">
        <f>IF($E173=AM$3,#REF!*$F173,"-")</f>
        <v>-</v>
      </c>
    </row>
    <row r="174" spans="3:39" ht="14.25" x14ac:dyDescent="0.2">
      <c r="C174" s="561"/>
      <c r="D174" s="561"/>
      <c r="E174" s="309" t="s">
        <v>950</v>
      </c>
      <c r="F174" s="408">
        <v>9.9999999999999995E-7</v>
      </c>
      <c r="G174" s="309">
        <v>1E-3</v>
      </c>
      <c r="H174" s="392">
        <v>0</v>
      </c>
      <c r="I174" s="320">
        <f>D157*F174*G174*(1-H174)</f>
        <v>1.9008000000000002E-5</v>
      </c>
      <c r="J174" s="309" t="s">
        <v>291</v>
      </c>
      <c r="K174" s="363">
        <v>0</v>
      </c>
      <c r="L174" s="396">
        <f t="shared" si="31"/>
        <v>1.9008000000000002E-5</v>
      </c>
      <c r="M174" s="258"/>
      <c r="O174" s="311" t="str">
        <f t="shared" si="32"/>
        <v>-</v>
      </c>
      <c r="P174" s="311" t="str">
        <f t="shared" si="32"/>
        <v>-</v>
      </c>
      <c r="Q174" s="311" t="str">
        <f t="shared" si="32"/>
        <v>-</v>
      </c>
      <c r="R174" s="311" t="str">
        <f t="shared" si="32"/>
        <v>-</v>
      </c>
      <c r="S174" s="311" t="str">
        <f t="shared" si="32"/>
        <v>-</v>
      </c>
      <c r="T174" s="311" t="str">
        <f t="shared" si="32"/>
        <v>-</v>
      </c>
      <c r="U174" s="311" t="str">
        <f t="shared" si="32"/>
        <v>-</v>
      </c>
      <c r="V174" s="311" t="str">
        <f t="shared" si="32"/>
        <v>-</v>
      </c>
      <c r="W174" s="311" t="str">
        <f t="shared" si="32"/>
        <v>-</v>
      </c>
      <c r="X174" s="311" t="str">
        <f t="shared" si="32"/>
        <v>-</v>
      </c>
      <c r="Y174" s="311" t="str">
        <f t="shared" si="32"/>
        <v>-</v>
      </c>
      <c r="Z174" s="311" t="str">
        <f t="shared" si="32"/>
        <v>-</v>
      </c>
      <c r="AB174" s="311" t="str">
        <f>IF($E174=AB$3,#REF!*$F174,"-")</f>
        <v>-</v>
      </c>
      <c r="AC174" s="311" t="str">
        <f>IF($E174=AC$3,#REF!*$F174,"-")</f>
        <v>-</v>
      </c>
      <c r="AD174" s="311" t="str">
        <f>IF($E174=AD$3,#REF!*$F174,"-")</f>
        <v>-</v>
      </c>
      <c r="AE174" s="311" t="str">
        <f>IF($E174=AE$3,#REF!*$F174,"-")</f>
        <v>-</v>
      </c>
      <c r="AF174" s="311" t="str">
        <f>IF($E174=AF$3,#REF!*$F174,"-")</f>
        <v>-</v>
      </c>
      <c r="AG174" s="311" t="str">
        <f>IF($E174=AG$3,#REF!*$F174,"-")</f>
        <v>-</v>
      </c>
      <c r="AH174" s="311" t="str">
        <f>IF($E174=AH$3,#REF!*$F174,"-")</f>
        <v>-</v>
      </c>
      <c r="AI174" s="311" t="str">
        <f>IF($E174=AI$3,#REF!*$F174,"-")</f>
        <v>-</v>
      </c>
      <c r="AJ174" s="311" t="str">
        <f>IF($E174=AJ$3,#REF!*$F174,"-")</f>
        <v>-</v>
      </c>
      <c r="AK174" s="311" t="str">
        <f>IF($E174=AK$3,#REF!*$F174,"-")</f>
        <v>-</v>
      </c>
      <c r="AL174" s="311" t="str">
        <f>IF($E174=AL$3,#REF!*$F174,"-")</f>
        <v>-</v>
      </c>
      <c r="AM174" s="311" t="str">
        <f>IF($E174=AM$3,#REF!*$F174,"-")</f>
        <v>-</v>
      </c>
    </row>
    <row r="175" spans="3:39" ht="14.25" x14ac:dyDescent="0.2">
      <c r="C175" s="561"/>
      <c r="D175" s="561"/>
      <c r="E175" s="309" t="s">
        <v>911</v>
      </c>
      <c r="F175" s="408">
        <v>3.0000000000000004E-8</v>
      </c>
      <c r="G175" s="309">
        <v>1E-3</v>
      </c>
      <c r="H175" s="392">
        <v>0</v>
      </c>
      <c r="I175" s="320">
        <f>D157*F175*G175*(1-H175)</f>
        <v>5.7024000000000011E-7</v>
      </c>
      <c r="J175" s="309" t="s">
        <v>291</v>
      </c>
      <c r="K175" s="363">
        <v>0</v>
      </c>
      <c r="L175" s="396">
        <f t="shared" si="31"/>
        <v>5.7024000000000011E-7</v>
      </c>
      <c r="M175" s="258"/>
      <c r="O175" s="311" t="str">
        <f t="shared" si="32"/>
        <v>-</v>
      </c>
      <c r="P175" s="311" t="str">
        <f t="shared" si="32"/>
        <v>-</v>
      </c>
      <c r="Q175" s="311" t="str">
        <f t="shared" si="32"/>
        <v>-</v>
      </c>
      <c r="R175" s="311" t="str">
        <f t="shared" si="32"/>
        <v>-</v>
      </c>
      <c r="S175" s="311" t="str">
        <f t="shared" si="32"/>
        <v>-</v>
      </c>
      <c r="T175" s="311" t="str">
        <f t="shared" si="32"/>
        <v>-</v>
      </c>
      <c r="U175" s="311" t="str">
        <f t="shared" si="32"/>
        <v>-</v>
      </c>
      <c r="V175" s="311" t="str">
        <f t="shared" si="32"/>
        <v>-</v>
      </c>
      <c r="W175" s="311" t="str">
        <f t="shared" si="32"/>
        <v>-</v>
      </c>
      <c r="X175" s="311" t="str">
        <f t="shared" si="32"/>
        <v>-</v>
      </c>
      <c r="Y175" s="311" t="str">
        <f t="shared" si="32"/>
        <v>-</v>
      </c>
      <c r="Z175" s="311" t="str">
        <f t="shared" si="32"/>
        <v>-</v>
      </c>
      <c r="AB175" s="311" t="str">
        <f>IF($E175=AB$3,#REF!*$F175,"-")</f>
        <v>-</v>
      </c>
      <c r="AC175" s="311" t="str">
        <f>IF($E175=AC$3,#REF!*$F175,"-")</f>
        <v>-</v>
      </c>
      <c r="AD175" s="311" t="str">
        <f>IF($E175=AD$3,#REF!*$F175,"-")</f>
        <v>-</v>
      </c>
      <c r="AE175" s="311" t="str">
        <f>IF($E175=AE$3,#REF!*$F175,"-")</f>
        <v>-</v>
      </c>
      <c r="AF175" s="311" t="str">
        <f>IF($E175=AF$3,#REF!*$F175,"-")</f>
        <v>-</v>
      </c>
      <c r="AG175" s="311" t="str">
        <f>IF($E175=AG$3,#REF!*$F175,"-")</f>
        <v>-</v>
      </c>
      <c r="AH175" s="311" t="str">
        <f>IF($E175=AH$3,#REF!*$F175,"-")</f>
        <v>-</v>
      </c>
      <c r="AI175" s="311" t="str">
        <f>IF($E175=AI$3,#REF!*$F175,"-")</f>
        <v>-</v>
      </c>
      <c r="AJ175" s="311" t="str">
        <f>IF($E175=AJ$3,#REF!*$F175,"-")</f>
        <v>-</v>
      </c>
      <c r="AK175" s="311" t="str">
        <f>IF($E175=AK$3,#REF!*$F175,"-")</f>
        <v>-</v>
      </c>
      <c r="AL175" s="311" t="str">
        <f>IF($E175=AL$3,#REF!*$F175,"-")</f>
        <v>-</v>
      </c>
      <c r="AM175" s="311" t="str">
        <f>IF($E175=AM$3,#REF!*$F175,"-")</f>
        <v>-</v>
      </c>
    </row>
    <row r="176" spans="3:39" ht="14.25" x14ac:dyDescent="0.2">
      <c r="C176" s="561"/>
      <c r="D176" s="561"/>
      <c r="E176" s="309" t="s">
        <v>882</v>
      </c>
      <c r="F176" s="408">
        <v>5.0000000000000004E-6</v>
      </c>
      <c r="G176" s="309">
        <v>1E-3</v>
      </c>
      <c r="H176" s="392">
        <v>0</v>
      </c>
      <c r="I176" s="320">
        <f>D157*F176*G176*(1-H176)</f>
        <v>9.5040000000000012E-5</v>
      </c>
      <c r="J176" s="309" t="s">
        <v>291</v>
      </c>
      <c r="K176" s="363">
        <v>0</v>
      </c>
      <c r="L176" s="396">
        <f t="shared" si="31"/>
        <v>9.5040000000000012E-5</v>
      </c>
      <c r="M176" s="258"/>
      <c r="O176" s="311" t="str">
        <f t="shared" si="32"/>
        <v>-</v>
      </c>
      <c r="P176" s="311" t="str">
        <f t="shared" si="32"/>
        <v>-</v>
      </c>
      <c r="Q176" s="311" t="str">
        <f t="shared" si="32"/>
        <v>-</v>
      </c>
      <c r="R176" s="311" t="str">
        <f t="shared" si="32"/>
        <v>-</v>
      </c>
      <c r="S176" s="311" t="str">
        <f t="shared" si="32"/>
        <v>-</v>
      </c>
      <c r="T176" s="311">
        <f t="shared" si="32"/>
        <v>9.5040000000000013E-2</v>
      </c>
      <c r="U176" s="311" t="str">
        <f t="shared" si="32"/>
        <v>-</v>
      </c>
      <c r="V176" s="311" t="str">
        <f t="shared" si="32"/>
        <v>-</v>
      </c>
      <c r="W176" s="311" t="str">
        <f t="shared" si="32"/>
        <v>-</v>
      </c>
      <c r="X176" s="311" t="str">
        <f t="shared" si="32"/>
        <v>-</v>
      </c>
      <c r="Y176" s="311" t="str">
        <f t="shared" si="32"/>
        <v>-</v>
      </c>
      <c r="Z176" s="311" t="str">
        <f t="shared" si="32"/>
        <v>-</v>
      </c>
      <c r="AB176" s="311" t="str">
        <f>IF($E176=AB$3,#REF!*$F176,"-")</f>
        <v>-</v>
      </c>
      <c r="AC176" s="311" t="str">
        <f>IF($E176=AC$3,#REF!*$F176,"-")</f>
        <v>-</v>
      </c>
      <c r="AD176" s="311" t="str">
        <f>IF($E176=AD$3,#REF!*$F176,"-")</f>
        <v>-</v>
      </c>
      <c r="AE176" s="311" t="str">
        <f>IF($E176=AE$3,#REF!*$F176,"-")</f>
        <v>-</v>
      </c>
      <c r="AF176" s="311" t="str">
        <f>IF($E176=AF$3,#REF!*$F176,"-")</f>
        <v>-</v>
      </c>
      <c r="AG176" s="311" t="e">
        <f>IF($E176=AG$3,#REF!*$F176,"-")</f>
        <v>#REF!</v>
      </c>
      <c r="AH176" s="311" t="str">
        <f>IF($E176=AH$3,#REF!*$F176,"-")</f>
        <v>-</v>
      </c>
      <c r="AI176" s="311" t="str">
        <f>IF($E176=AI$3,#REF!*$F176,"-")</f>
        <v>-</v>
      </c>
      <c r="AJ176" s="311" t="str">
        <f>IF($E176=AJ$3,#REF!*$F176,"-")</f>
        <v>-</v>
      </c>
      <c r="AK176" s="311" t="str">
        <f>IF($E176=AK$3,#REF!*$F176,"-")</f>
        <v>-</v>
      </c>
      <c r="AL176" s="311" t="str">
        <f>IF($E176=AL$3,#REF!*$F176,"-")</f>
        <v>-</v>
      </c>
      <c r="AM176" s="311" t="str">
        <f>IF($E176=AM$3,#REF!*$F176,"-")</f>
        <v>-</v>
      </c>
    </row>
    <row r="177" spans="3:39" ht="14.25" x14ac:dyDescent="0.2">
      <c r="C177" s="561"/>
      <c r="D177" s="561"/>
      <c r="E177" s="309" t="s">
        <v>902</v>
      </c>
      <c r="F177" s="408">
        <v>9.9999999999999995E-7</v>
      </c>
      <c r="G177" s="309">
        <v>1E-3</v>
      </c>
      <c r="H177" s="392">
        <v>0</v>
      </c>
      <c r="I177" s="320">
        <f>D157*F177*G177*(1-H177)</f>
        <v>1.9008000000000002E-5</v>
      </c>
      <c r="J177" s="309" t="s">
        <v>291</v>
      </c>
      <c r="K177" s="363">
        <v>0</v>
      </c>
      <c r="L177" s="396">
        <f t="shared" si="31"/>
        <v>1.9008000000000002E-5</v>
      </c>
      <c r="M177" s="258"/>
      <c r="O177" s="311" t="str">
        <f t="shared" ref="O177:Z191" si="33">IF($E177=O$3,$D$157*$F177,"-")</f>
        <v>-</v>
      </c>
      <c r="P177" s="311" t="str">
        <f t="shared" si="33"/>
        <v>-</v>
      </c>
      <c r="Q177" s="311" t="str">
        <f t="shared" si="33"/>
        <v>-</v>
      </c>
      <c r="R177" s="311" t="str">
        <f t="shared" si="33"/>
        <v>-</v>
      </c>
      <c r="S177" s="311" t="str">
        <f t="shared" si="33"/>
        <v>-</v>
      </c>
      <c r="T177" s="311" t="str">
        <f t="shared" si="33"/>
        <v>-</v>
      </c>
      <c r="U177" s="311" t="str">
        <f t="shared" si="33"/>
        <v>-</v>
      </c>
      <c r="V177" s="311" t="str">
        <f t="shared" si="33"/>
        <v>-</v>
      </c>
      <c r="W177" s="311" t="str">
        <f t="shared" si="33"/>
        <v>-</v>
      </c>
      <c r="X177" s="311" t="str">
        <f t="shared" si="33"/>
        <v>-</v>
      </c>
      <c r="Y177" s="311" t="str">
        <f t="shared" si="33"/>
        <v>-</v>
      </c>
      <c r="Z177" s="311" t="str">
        <f t="shared" si="33"/>
        <v>-</v>
      </c>
      <c r="AB177" s="311" t="str">
        <f>IF($E177=AB$3,#REF!*$F177,"-")</f>
        <v>-</v>
      </c>
      <c r="AC177" s="311" t="str">
        <f>IF($E177=AC$3,#REF!*$F177,"-")</f>
        <v>-</v>
      </c>
      <c r="AD177" s="311" t="str">
        <f>IF($E177=AD$3,#REF!*$F177,"-")</f>
        <v>-</v>
      </c>
      <c r="AE177" s="311" t="str">
        <f>IF($E177=AE$3,#REF!*$F177,"-")</f>
        <v>-</v>
      </c>
      <c r="AF177" s="311" t="str">
        <f>IF($E177=AF$3,#REF!*$F177,"-")</f>
        <v>-</v>
      </c>
      <c r="AG177" s="311" t="str">
        <f>IF($E177=AG$3,#REF!*$F177,"-")</f>
        <v>-</v>
      </c>
      <c r="AH177" s="311" t="str">
        <f>IF($E177=AH$3,#REF!*$F177,"-")</f>
        <v>-</v>
      </c>
      <c r="AI177" s="311" t="str">
        <f>IF($E177=AI$3,#REF!*$F177,"-")</f>
        <v>-</v>
      </c>
      <c r="AJ177" s="311" t="str">
        <f>IF($E177=AJ$3,#REF!*$F177,"-")</f>
        <v>-</v>
      </c>
      <c r="AK177" s="311" t="str">
        <f>IF($E177=AK$3,#REF!*$F177,"-")</f>
        <v>-</v>
      </c>
      <c r="AL177" s="311" t="str">
        <f>IF($E177=AL$3,#REF!*$F177,"-")</f>
        <v>-</v>
      </c>
      <c r="AM177" s="311" t="str">
        <f>IF($E177=AM$3,#REF!*$F177,"-")</f>
        <v>-</v>
      </c>
    </row>
    <row r="178" spans="3:39" ht="14.25" x14ac:dyDescent="0.2">
      <c r="C178" s="561"/>
      <c r="D178" s="561"/>
      <c r="E178" s="309" t="s">
        <v>883</v>
      </c>
      <c r="F178" s="408">
        <v>1.0000000000000001E-7</v>
      </c>
      <c r="G178" s="309">
        <v>1E-3</v>
      </c>
      <c r="H178" s="392">
        <v>0</v>
      </c>
      <c r="I178" s="320">
        <f>D157*F178*G178*(1-H178)</f>
        <v>1.9008000000000003E-6</v>
      </c>
      <c r="J178" s="309" t="s">
        <v>291</v>
      </c>
      <c r="K178" s="363">
        <v>0</v>
      </c>
      <c r="L178" s="396">
        <f t="shared" si="31"/>
        <v>1.9008000000000003E-6</v>
      </c>
      <c r="M178" s="258"/>
      <c r="O178" s="311" t="str">
        <f t="shared" si="33"/>
        <v>-</v>
      </c>
      <c r="P178" s="311" t="str">
        <f t="shared" si="33"/>
        <v>-</v>
      </c>
      <c r="Q178" s="311" t="str">
        <f t="shared" si="33"/>
        <v>-</v>
      </c>
      <c r="R178" s="311" t="str">
        <f t="shared" si="33"/>
        <v>-</v>
      </c>
      <c r="S178" s="311" t="str">
        <f t="shared" si="33"/>
        <v>-</v>
      </c>
      <c r="T178" s="311" t="str">
        <f t="shared" si="33"/>
        <v>-</v>
      </c>
      <c r="U178" s="311">
        <f t="shared" si="33"/>
        <v>1.9008000000000002E-3</v>
      </c>
      <c r="V178" s="311" t="str">
        <f t="shared" si="33"/>
        <v>-</v>
      </c>
      <c r="W178" s="311" t="str">
        <f t="shared" si="33"/>
        <v>-</v>
      </c>
      <c r="X178" s="311" t="str">
        <f t="shared" si="33"/>
        <v>-</v>
      </c>
      <c r="Y178" s="311" t="str">
        <f t="shared" si="33"/>
        <v>-</v>
      </c>
      <c r="Z178" s="311" t="str">
        <f t="shared" si="33"/>
        <v>-</v>
      </c>
      <c r="AB178" s="311" t="str">
        <f>IF($E178=AB$3,#REF!*$F178,"-")</f>
        <v>-</v>
      </c>
      <c r="AC178" s="311" t="str">
        <f>IF($E178=AC$3,#REF!*$F178,"-")</f>
        <v>-</v>
      </c>
      <c r="AD178" s="311" t="str">
        <f>IF($E178=AD$3,#REF!*$F178,"-")</f>
        <v>-</v>
      </c>
      <c r="AE178" s="311" t="str">
        <f>IF($E178=AE$3,#REF!*$F178,"-")</f>
        <v>-</v>
      </c>
      <c r="AF178" s="311" t="str">
        <f>IF($E178=AF$3,#REF!*$F178,"-")</f>
        <v>-</v>
      </c>
      <c r="AG178" s="311" t="str">
        <f>IF($E178=AG$3,#REF!*$F178,"-")</f>
        <v>-</v>
      </c>
      <c r="AH178" s="311" t="e">
        <f>IF($E178=AH$3,#REF!*$F178,"-")</f>
        <v>#REF!</v>
      </c>
      <c r="AI178" s="311" t="str">
        <f>IF($E178=AI$3,#REF!*$F178,"-")</f>
        <v>-</v>
      </c>
      <c r="AJ178" s="311" t="str">
        <f>IF($E178=AJ$3,#REF!*$F178,"-")</f>
        <v>-</v>
      </c>
      <c r="AK178" s="311" t="str">
        <f>IF($E178=AK$3,#REF!*$F178,"-")</f>
        <v>-</v>
      </c>
      <c r="AL178" s="311" t="str">
        <f>IF($E178=AL$3,#REF!*$F178,"-")</f>
        <v>-</v>
      </c>
      <c r="AM178" s="311" t="str">
        <f>IF($E178=AM$3,#REF!*$F178,"-")</f>
        <v>-</v>
      </c>
    </row>
    <row r="179" spans="3:39" ht="14.25" x14ac:dyDescent="0.2">
      <c r="C179" s="561"/>
      <c r="D179" s="561"/>
      <c r="E179" s="309" t="s">
        <v>903</v>
      </c>
      <c r="F179" s="408">
        <v>1.9999999999999999E-6</v>
      </c>
      <c r="G179" s="309">
        <v>1E-3</v>
      </c>
      <c r="H179" s="392">
        <v>0</v>
      </c>
      <c r="I179" s="320">
        <f>D157*F179*G179*(1-H179)</f>
        <v>3.8016000000000003E-5</v>
      </c>
      <c r="J179" s="309" t="s">
        <v>291</v>
      </c>
      <c r="K179" s="363">
        <v>0</v>
      </c>
      <c r="L179" s="396">
        <f t="shared" si="31"/>
        <v>3.8016000000000003E-5</v>
      </c>
      <c r="M179" s="258"/>
      <c r="O179" s="311" t="str">
        <f t="shared" si="33"/>
        <v>-</v>
      </c>
      <c r="P179" s="311" t="str">
        <f t="shared" si="33"/>
        <v>-</v>
      </c>
      <c r="Q179" s="311" t="str">
        <f t="shared" si="33"/>
        <v>-</v>
      </c>
      <c r="R179" s="311" t="str">
        <f t="shared" si="33"/>
        <v>-</v>
      </c>
      <c r="S179" s="311" t="str">
        <f t="shared" si="33"/>
        <v>-</v>
      </c>
      <c r="T179" s="311" t="str">
        <f t="shared" si="33"/>
        <v>-</v>
      </c>
      <c r="U179" s="311" t="str">
        <f t="shared" si="33"/>
        <v>-</v>
      </c>
      <c r="V179" s="311" t="str">
        <f t="shared" si="33"/>
        <v>-</v>
      </c>
      <c r="W179" s="311" t="str">
        <f t="shared" si="33"/>
        <v>-</v>
      </c>
      <c r="X179" s="311" t="str">
        <f t="shared" si="33"/>
        <v>-</v>
      </c>
      <c r="Y179" s="311" t="str">
        <f t="shared" si="33"/>
        <v>-</v>
      </c>
      <c r="Z179" s="311" t="str">
        <f t="shared" si="33"/>
        <v>-</v>
      </c>
      <c r="AB179" s="311" t="str">
        <f>IF($E179=AB$3,#REF!*$F179,"-")</f>
        <v>-</v>
      </c>
      <c r="AC179" s="311" t="str">
        <f>IF($E179=AC$3,#REF!*$F179,"-")</f>
        <v>-</v>
      </c>
      <c r="AD179" s="311" t="str">
        <f>IF($E179=AD$3,#REF!*$F179,"-")</f>
        <v>-</v>
      </c>
      <c r="AE179" s="311" t="str">
        <f>IF($E179=AE$3,#REF!*$F179,"-")</f>
        <v>-</v>
      </c>
      <c r="AF179" s="311" t="str">
        <f>IF($E179=AF$3,#REF!*$F179,"-")</f>
        <v>-</v>
      </c>
      <c r="AG179" s="311" t="str">
        <f>IF($E179=AG$3,#REF!*$F179,"-")</f>
        <v>-</v>
      </c>
      <c r="AH179" s="311" t="str">
        <f>IF($E179=AH$3,#REF!*$F179,"-")</f>
        <v>-</v>
      </c>
      <c r="AI179" s="311" t="str">
        <f>IF($E179=AI$3,#REF!*$F179,"-")</f>
        <v>-</v>
      </c>
      <c r="AJ179" s="311" t="str">
        <f>IF($E179=AJ$3,#REF!*$F179,"-")</f>
        <v>-</v>
      </c>
      <c r="AK179" s="311" t="str">
        <f>IF($E179=AK$3,#REF!*$F179,"-")</f>
        <v>-</v>
      </c>
      <c r="AL179" s="311" t="str">
        <f>IF($E179=AL$3,#REF!*$F179,"-")</f>
        <v>-</v>
      </c>
      <c r="AM179" s="311" t="str">
        <f>IF($E179=AM$3,#REF!*$F179,"-")</f>
        <v>-</v>
      </c>
    </row>
    <row r="180" spans="3:39" ht="14.25" x14ac:dyDescent="0.2">
      <c r="C180" s="561"/>
      <c r="D180" s="561"/>
      <c r="E180" s="309" t="s">
        <v>904</v>
      </c>
      <c r="F180" s="408">
        <v>9.9999999999999995E-7</v>
      </c>
      <c r="G180" s="309">
        <v>1E-3</v>
      </c>
      <c r="H180" s="392">
        <v>0</v>
      </c>
      <c r="I180" s="320">
        <f>D157*F180*G180*(1-H180)</f>
        <v>1.9008000000000002E-5</v>
      </c>
      <c r="J180" s="309" t="s">
        <v>291</v>
      </c>
      <c r="K180" s="363">
        <v>0</v>
      </c>
      <c r="L180" s="396">
        <f t="shared" si="31"/>
        <v>1.9008000000000002E-5</v>
      </c>
      <c r="M180" s="258"/>
      <c r="O180" s="311" t="str">
        <f t="shared" si="33"/>
        <v>-</v>
      </c>
      <c r="P180" s="311" t="str">
        <f t="shared" si="33"/>
        <v>-</v>
      </c>
      <c r="Q180" s="311" t="str">
        <f t="shared" si="33"/>
        <v>-</v>
      </c>
      <c r="R180" s="311" t="str">
        <f t="shared" si="33"/>
        <v>-</v>
      </c>
      <c r="S180" s="311" t="str">
        <f t="shared" si="33"/>
        <v>-</v>
      </c>
      <c r="T180" s="311" t="str">
        <f t="shared" si="33"/>
        <v>-</v>
      </c>
      <c r="U180" s="311" t="str">
        <f t="shared" si="33"/>
        <v>-</v>
      </c>
      <c r="V180" s="311" t="str">
        <f t="shared" si="33"/>
        <v>-</v>
      </c>
      <c r="W180" s="311" t="str">
        <f t="shared" si="33"/>
        <v>-</v>
      </c>
      <c r="X180" s="311" t="str">
        <f t="shared" si="33"/>
        <v>-</v>
      </c>
      <c r="Y180" s="311" t="str">
        <f t="shared" si="33"/>
        <v>-</v>
      </c>
      <c r="Z180" s="311" t="str">
        <f t="shared" si="33"/>
        <v>-</v>
      </c>
      <c r="AB180" s="311" t="str">
        <f>IF($E180=AB$3,#REF!*$F180,"-")</f>
        <v>-</v>
      </c>
      <c r="AC180" s="311" t="str">
        <f>IF($E180=AC$3,#REF!*$F180,"-")</f>
        <v>-</v>
      </c>
      <c r="AD180" s="311" t="str">
        <f>IF($E180=AD$3,#REF!*$F180,"-")</f>
        <v>-</v>
      </c>
      <c r="AE180" s="311" t="str">
        <f>IF($E180=AE$3,#REF!*$F180,"-")</f>
        <v>-</v>
      </c>
      <c r="AF180" s="311" t="str">
        <f>IF($E180=AF$3,#REF!*$F180,"-")</f>
        <v>-</v>
      </c>
      <c r="AG180" s="311" t="str">
        <f>IF($E180=AG$3,#REF!*$F180,"-")</f>
        <v>-</v>
      </c>
      <c r="AH180" s="311" t="str">
        <f>IF($E180=AH$3,#REF!*$F180,"-")</f>
        <v>-</v>
      </c>
      <c r="AI180" s="311" t="str">
        <f>IF($E180=AI$3,#REF!*$F180,"-")</f>
        <v>-</v>
      </c>
      <c r="AJ180" s="311" t="str">
        <f>IF($E180=AJ$3,#REF!*$F180,"-")</f>
        <v>-</v>
      </c>
      <c r="AK180" s="311" t="str">
        <f>IF($E180=AK$3,#REF!*$F180,"-")</f>
        <v>-</v>
      </c>
      <c r="AL180" s="311" t="str">
        <f>IF($E180=AL$3,#REF!*$F180,"-")</f>
        <v>-</v>
      </c>
      <c r="AM180" s="311" t="str">
        <f>IF($E180=AM$3,#REF!*$F180,"-")</f>
        <v>-</v>
      </c>
    </row>
    <row r="181" spans="3:39" ht="14.25" x14ac:dyDescent="0.2">
      <c r="C181" s="561"/>
      <c r="D181" s="561"/>
      <c r="E181" s="309" t="s">
        <v>884</v>
      </c>
      <c r="F181" s="408">
        <v>1.9999999999999999E-6</v>
      </c>
      <c r="G181" s="309">
        <v>1E-3</v>
      </c>
      <c r="H181" s="392">
        <v>0</v>
      </c>
      <c r="I181" s="320">
        <f>D157*F181*G181*(1-H181)</f>
        <v>3.8016000000000003E-5</v>
      </c>
      <c r="J181" s="309" t="s">
        <v>291</v>
      </c>
      <c r="K181" s="363">
        <v>0</v>
      </c>
      <c r="L181" s="396">
        <f t="shared" si="31"/>
        <v>3.8016000000000003E-5</v>
      </c>
      <c r="M181" s="258"/>
      <c r="O181" s="311" t="str">
        <f t="shared" si="33"/>
        <v>-</v>
      </c>
      <c r="P181" s="311" t="str">
        <f t="shared" si="33"/>
        <v>-</v>
      </c>
      <c r="Q181" s="311" t="str">
        <f t="shared" si="33"/>
        <v>-</v>
      </c>
      <c r="R181" s="311" t="str">
        <f t="shared" si="33"/>
        <v>-</v>
      </c>
      <c r="S181" s="311" t="str">
        <f t="shared" si="33"/>
        <v>-</v>
      </c>
      <c r="T181" s="311" t="str">
        <f t="shared" si="33"/>
        <v>-</v>
      </c>
      <c r="U181" s="311" t="str">
        <f t="shared" si="33"/>
        <v>-</v>
      </c>
      <c r="V181" s="311">
        <f t="shared" si="33"/>
        <v>3.8016000000000001E-2</v>
      </c>
      <c r="W181" s="311" t="str">
        <f t="shared" si="33"/>
        <v>-</v>
      </c>
      <c r="X181" s="311" t="str">
        <f t="shared" si="33"/>
        <v>-</v>
      </c>
      <c r="Y181" s="311" t="str">
        <f t="shared" si="33"/>
        <v>-</v>
      </c>
      <c r="Z181" s="311" t="str">
        <f t="shared" si="33"/>
        <v>-</v>
      </c>
      <c r="AB181" s="311" t="str">
        <f>IF($E181=AB$3,#REF!*$F181,"-")</f>
        <v>-</v>
      </c>
      <c r="AC181" s="311" t="str">
        <f>IF($E181=AC$3,#REF!*$F181,"-")</f>
        <v>-</v>
      </c>
      <c r="AD181" s="311" t="str">
        <f>IF($E181=AD$3,#REF!*$F181,"-")</f>
        <v>-</v>
      </c>
      <c r="AE181" s="311" t="str">
        <f>IF($E181=AE$3,#REF!*$F181,"-")</f>
        <v>-</v>
      </c>
      <c r="AF181" s="311" t="str">
        <f>IF($E181=AF$3,#REF!*$F181,"-")</f>
        <v>-</v>
      </c>
      <c r="AG181" s="311" t="str">
        <f>IF($E181=AG$3,#REF!*$F181,"-")</f>
        <v>-</v>
      </c>
      <c r="AH181" s="311" t="str">
        <f>IF($E181=AH$3,#REF!*$F181,"-")</f>
        <v>-</v>
      </c>
      <c r="AI181" s="311" t="e">
        <f>IF($E181=AI$3,#REF!*$F181,"-")</f>
        <v>#REF!</v>
      </c>
      <c r="AJ181" s="311" t="str">
        <f>IF($E181=AJ$3,#REF!*$F181,"-")</f>
        <v>-</v>
      </c>
      <c r="AK181" s="311" t="str">
        <f>IF($E181=AK$3,#REF!*$F181,"-")</f>
        <v>-</v>
      </c>
      <c r="AL181" s="311" t="str">
        <f>IF($E181=AL$3,#REF!*$F181,"-")</f>
        <v>-</v>
      </c>
      <c r="AM181" s="311" t="str">
        <f>IF($E181=AM$3,#REF!*$F181,"-")</f>
        <v>-</v>
      </c>
    </row>
    <row r="182" spans="3:39" ht="14.25" x14ac:dyDescent="0.2">
      <c r="C182" s="561"/>
      <c r="D182" s="561"/>
      <c r="E182" s="309" t="s">
        <v>906</v>
      </c>
      <c r="F182" s="408">
        <v>9.9999999999999995E-7</v>
      </c>
      <c r="G182" s="309">
        <v>1E-3</v>
      </c>
      <c r="H182" s="392">
        <v>0</v>
      </c>
      <c r="I182" s="320">
        <f>D157*F182*G182*(1-H182)</f>
        <v>1.9008000000000002E-5</v>
      </c>
      <c r="J182" s="309" t="s">
        <v>291</v>
      </c>
      <c r="K182" s="363">
        <v>0</v>
      </c>
      <c r="L182" s="396">
        <f t="shared" si="31"/>
        <v>1.9008000000000002E-5</v>
      </c>
      <c r="M182" s="258"/>
      <c r="O182" s="311" t="str">
        <f t="shared" si="33"/>
        <v>-</v>
      </c>
      <c r="P182" s="311" t="str">
        <f t="shared" si="33"/>
        <v>-</v>
      </c>
      <c r="Q182" s="311" t="str">
        <f t="shared" si="33"/>
        <v>-</v>
      </c>
      <c r="R182" s="311" t="str">
        <f t="shared" si="33"/>
        <v>-</v>
      </c>
      <c r="S182" s="311" t="str">
        <f t="shared" si="33"/>
        <v>-</v>
      </c>
      <c r="T182" s="311" t="str">
        <f t="shared" si="33"/>
        <v>-</v>
      </c>
      <c r="U182" s="311" t="str">
        <f t="shared" si="33"/>
        <v>-</v>
      </c>
      <c r="V182" s="311" t="str">
        <f t="shared" si="33"/>
        <v>-</v>
      </c>
      <c r="W182" s="311" t="str">
        <f t="shared" si="33"/>
        <v>-</v>
      </c>
      <c r="X182" s="311" t="str">
        <f t="shared" si="33"/>
        <v>-</v>
      </c>
      <c r="Y182" s="311" t="str">
        <f t="shared" si="33"/>
        <v>-</v>
      </c>
      <c r="Z182" s="311" t="str">
        <f t="shared" si="33"/>
        <v>-</v>
      </c>
      <c r="AB182" s="311" t="str">
        <f>IF($E182=AB$3,#REF!*$F182,"-")</f>
        <v>-</v>
      </c>
      <c r="AC182" s="311" t="str">
        <f>IF($E182=AC$3,#REF!*$F182,"-")</f>
        <v>-</v>
      </c>
      <c r="AD182" s="311" t="str">
        <f>IF($E182=AD$3,#REF!*$F182,"-")</f>
        <v>-</v>
      </c>
      <c r="AE182" s="311" t="str">
        <f>IF($E182=AE$3,#REF!*$F182,"-")</f>
        <v>-</v>
      </c>
      <c r="AF182" s="311" t="str">
        <f>IF($E182=AF$3,#REF!*$F182,"-")</f>
        <v>-</v>
      </c>
      <c r="AG182" s="311" t="str">
        <f>IF($E182=AG$3,#REF!*$F182,"-")</f>
        <v>-</v>
      </c>
      <c r="AH182" s="311" t="str">
        <f>IF($E182=AH$3,#REF!*$F182,"-")</f>
        <v>-</v>
      </c>
      <c r="AI182" s="311" t="str">
        <f>IF($E182=AI$3,#REF!*$F182,"-")</f>
        <v>-</v>
      </c>
      <c r="AJ182" s="311" t="str">
        <f>IF($E182=AJ$3,#REF!*$F182,"-")</f>
        <v>-</v>
      </c>
      <c r="AK182" s="311" t="str">
        <f>IF($E182=AK$3,#REF!*$F182,"-")</f>
        <v>-</v>
      </c>
      <c r="AL182" s="311" t="str">
        <f>IF($E182=AL$3,#REF!*$F182,"-")</f>
        <v>-</v>
      </c>
      <c r="AM182" s="311" t="str">
        <f>IF($E182=AM$3,#REF!*$F182,"-")</f>
        <v>-</v>
      </c>
    </row>
    <row r="183" spans="3:39" ht="14.25" x14ac:dyDescent="0.2">
      <c r="C183" s="561"/>
      <c r="D183" s="561"/>
      <c r="E183" s="309" t="s">
        <v>907</v>
      </c>
      <c r="F183" s="408">
        <v>9.9999999999999995E-7</v>
      </c>
      <c r="G183" s="309">
        <v>1E-3</v>
      </c>
      <c r="H183" s="392">
        <v>0</v>
      </c>
      <c r="I183" s="320">
        <f>D157*F183*G183*(1-H183)</f>
        <v>1.9008000000000002E-5</v>
      </c>
      <c r="J183" s="309" t="s">
        <v>291</v>
      </c>
      <c r="K183" s="363">
        <v>0</v>
      </c>
      <c r="L183" s="396">
        <f t="shared" si="31"/>
        <v>1.9008000000000002E-5</v>
      </c>
      <c r="M183" s="258"/>
      <c r="O183" s="311" t="str">
        <f t="shared" si="33"/>
        <v>-</v>
      </c>
      <c r="P183" s="311" t="str">
        <f t="shared" si="33"/>
        <v>-</v>
      </c>
      <c r="Q183" s="311" t="str">
        <f t="shared" si="33"/>
        <v>-</v>
      </c>
      <c r="R183" s="311" t="str">
        <f t="shared" si="33"/>
        <v>-</v>
      </c>
      <c r="S183" s="311" t="str">
        <f t="shared" si="33"/>
        <v>-</v>
      </c>
      <c r="T183" s="311" t="str">
        <f t="shared" si="33"/>
        <v>-</v>
      </c>
      <c r="U183" s="311" t="str">
        <f t="shared" si="33"/>
        <v>-</v>
      </c>
      <c r="V183" s="311" t="str">
        <f t="shared" si="33"/>
        <v>-</v>
      </c>
      <c r="W183" s="311" t="str">
        <f t="shared" si="33"/>
        <v>-</v>
      </c>
      <c r="X183" s="311" t="str">
        <f t="shared" si="33"/>
        <v>-</v>
      </c>
      <c r="Y183" s="311" t="str">
        <f t="shared" si="33"/>
        <v>-</v>
      </c>
      <c r="Z183" s="311" t="str">
        <f t="shared" si="33"/>
        <v>-</v>
      </c>
      <c r="AB183" s="311" t="str">
        <f>IF($E183=AB$3,#REF!*$F183,"-")</f>
        <v>-</v>
      </c>
      <c r="AC183" s="311" t="str">
        <f>IF($E183=AC$3,#REF!*$F183,"-")</f>
        <v>-</v>
      </c>
      <c r="AD183" s="311" t="str">
        <f>IF($E183=AD$3,#REF!*$F183,"-")</f>
        <v>-</v>
      </c>
      <c r="AE183" s="311" t="str">
        <f>IF($E183=AE$3,#REF!*$F183,"-")</f>
        <v>-</v>
      </c>
      <c r="AF183" s="311" t="str">
        <f>IF($E183=AF$3,#REF!*$F183,"-")</f>
        <v>-</v>
      </c>
      <c r="AG183" s="311" t="str">
        <f>IF($E183=AG$3,#REF!*$F183,"-")</f>
        <v>-</v>
      </c>
      <c r="AH183" s="311" t="str">
        <f>IF($E183=AH$3,#REF!*$F183,"-")</f>
        <v>-</v>
      </c>
      <c r="AI183" s="311" t="str">
        <f>IF($E183=AI$3,#REF!*$F183,"-")</f>
        <v>-</v>
      </c>
      <c r="AJ183" s="311" t="str">
        <f>IF($E183=AJ$3,#REF!*$F183,"-")</f>
        <v>-</v>
      </c>
      <c r="AK183" s="311" t="str">
        <f>IF($E183=AK$3,#REF!*$F183,"-")</f>
        <v>-</v>
      </c>
      <c r="AL183" s="311" t="str">
        <f>IF($E183=AL$3,#REF!*$F183,"-")</f>
        <v>-</v>
      </c>
      <c r="AM183" s="311" t="str">
        <f>IF($E183=AM$3,#REF!*$F183,"-")</f>
        <v>-</v>
      </c>
    </row>
    <row r="184" spans="3:39" ht="14.25" x14ac:dyDescent="0.2">
      <c r="C184" s="561"/>
      <c r="D184" s="561"/>
      <c r="E184" s="309" t="s">
        <v>908</v>
      </c>
      <c r="F184" s="408">
        <v>9.9999999999999995E-7</v>
      </c>
      <c r="G184" s="309">
        <v>1E-3</v>
      </c>
      <c r="H184" s="392">
        <v>0</v>
      </c>
      <c r="I184" s="320">
        <f>D157*F184*G184*(1-H184)</f>
        <v>1.9008000000000002E-5</v>
      </c>
      <c r="J184" s="309" t="s">
        <v>291</v>
      </c>
      <c r="K184" s="363">
        <v>0</v>
      </c>
      <c r="L184" s="396">
        <f t="shared" si="31"/>
        <v>1.9008000000000002E-5</v>
      </c>
      <c r="M184" s="258"/>
      <c r="O184" s="311" t="str">
        <f t="shared" si="33"/>
        <v>-</v>
      </c>
      <c r="P184" s="311" t="str">
        <f t="shared" si="33"/>
        <v>-</v>
      </c>
      <c r="Q184" s="311" t="str">
        <f t="shared" si="33"/>
        <v>-</v>
      </c>
      <c r="R184" s="311" t="str">
        <f t="shared" si="33"/>
        <v>-</v>
      </c>
      <c r="S184" s="311" t="str">
        <f t="shared" si="33"/>
        <v>-</v>
      </c>
      <c r="T184" s="311" t="str">
        <f t="shared" si="33"/>
        <v>-</v>
      </c>
      <c r="U184" s="311" t="str">
        <f t="shared" si="33"/>
        <v>-</v>
      </c>
      <c r="V184" s="311" t="str">
        <f t="shared" si="33"/>
        <v>-</v>
      </c>
      <c r="W184" s="311" t="str">
        <f t="shared" si="33"/>
        <v>-</v>
      </c>
      <c r="X184" s="311" t="str">
        <f t="shared" si="33"/>
        <v>-</v>
      </c>
      <c r="Y184" s="311" t="str">
        <f t="shared" si="33"/>
        <v>-</v>
      </c>
      <c r="Z184" s="311" t="str">
        <f t="shared" si="33"/>
        <v>-</v>
      </c>
      <c r="AB184" s="311" t="str">
        <f>IF($E184=AB$3,#REF!*$F184,"-")</f>
        <v>-</v>
      </c>
      <c r="AC184" s="311" t="str">
        <f>IF($E184=AC$3,#REF!*$F184,"-")</f>
        <v>-</v>
      </c>
      <c r="AD184" s="311" t="str">
        <f>IF($E184=AD$3,#REF!*$F184,"-")</f>
        <v>-</v>
      </c>
      <c r="AE184" s="311" t="str">
        <f>IF($E184=AE$3,#REF!*$F184,"-")</f>
        <v>-</v>
      </c>
      <c r="AF184" s="311" t="str">
        <f>IF($E184=AF$3,#REF!*$F184,"-")</f>
        <v>-</v>
      </c>
      <c r="AG184" s="311" t="str">
        <f>IF($E184=AG$3,#REF!*$F184,"-")</f>
        <v>-</v>
      </c>
      <c r="AH184" s="311" t="str">
        <f>IF($E184=AH$3,#REF!*$F184,"-")</f>
        <v>-</v>
      </c>
      <c r="AI184" s="311" t="str">
        <f>IF($E184=AI$3,#REF!*$F184,"-")</f>
        <v>-</v>
      </c>
      <c r="AJ184" s="311" t="str">
        <f>IF($E184=AJ$3,#REF!*$F184,"-")</f>
        <v>-</v>
      </c>
      <c r="AK184" s="311" t="str">
        <f>IF($E184=AK$3,#REF!*$F184,"-")</f>
        <v>-</v>
      </c>
      <c r="AL184" s="311" t="str">
        <f>IF($E184=AL$3,#REF!*$F184,"-")</f>
        <v>-</v>
      </c>
      <c r="AM184" s="311" t="str">
        <f>IF($E184=AM$3,#REF!*$F184,"-")</f>
        <v>-</v>
      </c>
    </row>
    <row r="185" spans="3:39" ht="14.25" x14ac:dyDescent="0.2">
      <c r="C185" s="561"/>
      <c r="D185" s="561"/>
      <c r="E185" s="309" t="s">
        <v>887</v>
      </c>
      <c r="F185" s="408">
        <v>5.0000000000000003E-10</v>
      </c>
      <c r="G185" s="309">
        <v>1E-3</v>
      </c>
      <c r="H185" s="392">
        <v>0</v>
      </c>
      <c r="I185" s="320">
        <f>D157*F185*G185*(1-H185)</f>
        <v>9.5040000000000003E-9</v>
      </c>
      <c r="J185" s="309" t="s">
        <v>291</v>
      </c>
      <c r="K185" s="363">
        <v>0</v>
      </c>
      <c r="L185" s="396">
        <f t="shared" si="31"/>
        <v>9.5040000000000003E-9</v>
      </c>
      <c r="M185" s="258"/>
      <c r="O185" s="311" t="str">
        <f t="shared" si="33"/>
        <v>-</v>
      </c>
      <c r="P185" s="311" t="str">
        <f t="shared" si="33"/>
        <v>-</v>
      </c>
      <c r="Q185" s="311" t="str">
        <f t="shared" si="33"/>
        <v>-</v>
      </c>
      <c r="R185" s="311" t="str">
        <f t="shared" si="33"/>
        <v>-</v>
      </c>
      <c r="S185" s="311" t="str">
        <f t="shared" si="33"/>
        <v>-</v>
      </c>
      <c r="T185" s="311" t="str">
        <f t="shared" si="33"/>
        <v>-</v>
      </c>
      <c r="U185" s="311" t="str">
        <f t="shared" si="33"/>
        <v>-</v>
      </c>
      <c r="V185" s="311" t="str">
        <f t="shared" si="33"/>
        <v>-</v>
      </c>
      <c r="W185" s="311" t="str">
        <f t="shared" si="33"/>
        <v>-</v>
      </c>
      <c r="X185" s="311" t="str">
        <f t="shared" si="33"/>
        <v>-</v>
      </c>
      <c r="Y185" s="311">
        <f t="shared" si="33"/>
        <v>9.5040000000000008E-6</v>
      </c>
      <c r="Z185" s="311" t="str">
        <f t="shared" si="33"/>
        <v>-</v>
      </c>
      <c r="AB185" s="311" t="str">
        <f>IF($E185=AB$3,#REF!*$F185,"-")</f>
        <v>-</v>
      </c>
      <c r="AC185" s="311" t="str">
        <f>IF($E185=AC$3,#REF!*$F185,"-")</f>
        <v>-</v>
      </c>
      <c r="AD185" s="311" t="str">
        <f>IF($E185=AD$3,#REF!*$F185,"-")</f>
        <v>-</v>
      </c>
      <c r="AE185" s="311" t="str">
        <f>IF($E185=AE$3,#REF!*$F185,"-")</f>
        <v>-</v>
      </c>
      <c r="AF185" s="311" t="str">
        <f>IF($E185=AF$3,#REF!*$F185,"-")</f>
        <v>-</v>
      </c>
      <c r="AG185" s="311" t="str">
        <f>IF($E185=AG$3,#REF!*$F185,"-")</f>
        <v>-</v>
      </c>
      <c r="AH185" s="311" t="str">
        <f>IF($E185=AH$3,#REF!*$F185,"-")</f>
        <v>-</v>
      </c>
      <c r="AI185" s="311" t="str">
        <f>IF($E185=AI$3,#REF!*$F185,"-")</f>
        <v>-</v>
      </c>
      <c r="AJ185" s="311" t="str">
        <f>IF($E185=AJ$3,#REF!*$F185,"-")</f>
        <v>-</v>
      </c>
      <c r="AK185" s="311" t="str">
        <f>IF($E185=AK$3,#REF!*$F185,"-")</f>
        <v>-</v>
      </c>
      <c r="AL185" s="311" t="e">
        <f>IF($E185=AL$3,#REF!*$F185,"-")</f>
        <v>#REF!</v>
      </c>
      <c r="AM185" s="311" t="str">
        <f>IF($E185=AM$3,#REF!*$F185,"-")</f>
        <v>-</v>
      </c>
    </row>
    <row r="186" spans="3:39" ht="14.25" x14ac:dyDescent="0.2">
      <c r="C186" s="561"/>
      <c r="D186" s="561"/>
      <c r="E186" s="309" t="s">
        <v>905</v>
      </c>
      <c r="F186" s="408">
        <v>5.0000000000000003E-10</v>
      </c>
      <c r="G186" s="309">
        <v>1E-3</v>
      </c>
      <c r="H186" s="392">
        <v>0</v>
      </c>
      <c r="I186" s="320">
        <f>D157*F186*G186*(1-H186)</f>
        <v>9.5040000000000003E-9</v>
      </c>
      <c r="J186" s="309" t="s">
        <v>291</v>
      </c>
      <c r="K186" s="363">
        <v>0</v>
      </c>
      <c r="L186" s="396">
        <f t="shared" si="31"/>
        <v>9.5040000000000003E-9</v>
      </c>
      <c r="M186" s="258"/>
      <c r="O186" s="311" t="str">
        <f t="shared" si="33"/>
        <v>-</v>
      </c>
      <c r="P186" s="311" t="str">
        <f t="shared" si="33"/>
        <v>-</v>
      </c>
      <c r="Q186" s="311" t="str">
        <f t="shared" si="33"/>
        <v>-</v>
      </c>
      <c r="R186" s="311" t="str">
        <f t="shared" si="33"/>
        <v>-</v>
      </c>
      <c r="S186" s="311" t="str">
        <f t="shared" si="33"/>
        <v>-</v>
      </c>
      <c r="T186" s="311" t="str">
        <f t="shared" si="33"/>
        <v>-</v>
      </c>
      <c r="U186" s="311" t="str">
        <f t="shared" si="33"/>
        <v>-</v>
      </c>
      <c r="V186" s="311" t="str">
        <f t="shared" si="33"/>
        <v>-</v>
      </c>
      <c r="W186" s="311" t="str">
        <f t="shared" si="33"/>
        <v>-</v>
      </c>
      <c r="X186" s="311" t="str">
        <f t="shared" si="33"/>
        <v>-</v>
      </c>
      <c r="Y186" s="311" t="str">
        <f t="shared" si="33"/>
        <v>-</v>
      </c>
      <c r="Z186" s="311" t="str">
        <f t="shared" si="33"/>
        <v>-</v>
      </c>
      <c r="AB186" s="311" t="str">
        <f>IF($E186=AB$3,#REF!*$F186,"-")</f>
        <v>-</v>
      </c>
      <c r="AC186" s="311" t="str">
        <f>IF($E186=AC$3,#REF!*$F186,"-")</f>
        <v>-</v>
      </c>
      <c r="AD186" s="311" t="str">
        <f>IF($E186=AD$3,#REF!*$F186,"-")</f>
        <v>-</v>
      </c>
      <c r="AE186" s="311" t="str">
        <f>IF($E186=AE$3,#REF!*$F186,"-")</f>
        <v>-</v>
      </c>
      <c r="AF186" s="311" t="str">
        <f>IF($E186=AF$3,#REF!*$F186,"-")</f>
        <v>-</v>
      </c>
      <c r="AG186" s="311" t="str">
        <f>IF($E186=AG$3,#REF!*$F186,"-")</f>
        <v>-</v>
      </c>
      <c r="AH186" s="311" t="str">
        <f>IF($E186=AH$3,#REF!*$F186,"-")</f>
        <v>-</v>
      </c>
      <c r="AI186" s="311" t="str">
        <f>IF($E186=AI$3,#REF!*$F186,"-")</f>
        <v>-</v>
      </c>
      <c r="AJ186" s="311" t="str">
        <f>IF($E186=AJ$3,#REF!*$F186,"-")</f>
        <v>-</v>
      </c>
      <c r="AK186" s="311" t="str">
        <f>IF($E186=AK$3,#REF!*$F186,"-")</f>
        <v>-</v>
      </c>
      <c r="AL186" s="311" t="str">
        <f>IF($E186=AL$3,#REF!*$F186,"-")</f>
        <v>-</v>
      </c>
      <c r="AM186" s="311" t="str">
        <f>IF($E186=AM$3,#REF!*$F186,"-")</f>
        <v>-</v>
      </c>
    </row>
    <row r="187" spans="3:39" ht="14.25" x14ac:dyDescent="0.2">
      <c r="C187" s="561"/>
      <c r="D187" s="561"/>
      <c r="E187" s="309" t="s">
        <v>912</v>
      </c>
      <c r="F187" s="408">
        <v>3.0000000000000001E-5</v>
      </c>
      <c r="G187" s="309">
        <v>1E-3</v>
      </c>
      <c r="H187" s="392">
        <v>0</v>
      </c>
      <c r="I187" s="320">
        <f>D157*F187*G187*(1-H187)</f>
        <v>5.7023999999999996E-4</v>
      </c>
      <c r="J187" s="309" t="s">
        <v>291</v>
      </c>
      <c r="K187" s="363">
        <v>0</v>
      </c>
      <c r="L187" s="396">
        <f t="shared" si="31"/>
        <v>5.7023999999999996E-4</v>
      </c>
      <c r="M187" s="258"/>
      <c r="O187" s="311" t="str">
        <f t="shared" si="33"/>
        <v>-</v>
      </c>
      <c r="P187" s="311" t="str">
        <f t="shared" si="33"/>
        <v>-</v>
      </c>
      <c r="Q187" s="311" t="str">
        <f t="shared" si="33"/>
        <v>-</v>
      </c>
      <c r="R187" s="311" t="str">
        <f t="shared" si="33"/>
        <v>-</v>
      </c>
      <c r="S187" s="311" t="str">
        <f t="shared" si="33"/>
        <v>-</v>
      </c>
      <c r="T187" s="311" t="str">
        <f t="shared" si="33"/>
        <v>-</v>
      </c>
      <c r="U187" s="311" t="str">
        <f t="shared" si="33"/>
        <v>-</v>
      </c>
      <c r="V187" s="311" t="str">
        <f t="shared" si="33"/>
        <v>-</v>
      </c>
      <c r="W187" s="311" t="str">
        <f t="shared" si="33"/>
        <v>-</v>
      </c>
      <c r="X187" s="311" t="str">
        <f t="shared" si="33"/>
        <v>-</v>
      </c>
      <c r="Y187" s="311" t="str">
        <f t="shared" si="33"/>
        <v>-</v>
      </c>
      <c r="Z187" s="311" t="str">
        <f t="shared" si="33"/>
        <v>-</v>
      </c>
      <c r="AB187" s="311" t="str">
        <f>IF($E187=AB$3,#REF!*$F187,"-")</f>
        <v>-</v>
      </c>
      <c r="AC187" s="311" t="str">
        <f>IF($E187=AC$3,#REF!*$F187,"-")</f>
        <v>-</v>
      </c>
      <c r="AD187" s="311" t="str">
        <f>IF($E187=AD$3,#REF!*$F187,"-")</f>
        <v>-</v>
      </c>
      <c r="AE187" s="311" t="str">
        <f>IF($E187=AE$3,#REF!*$F187,"-")</f>
        <v>-</v>
      </c>
      <c r="AF187" s="311" t="str">
        <f>IF($E187=AF$3,#REF!*$F187,"-")</f>
        <v>-</v>
      </c>
      <c r="AG187" s="311" t="str">
        <f>IF($E187=AG$3,#REF!*$F187,"-")</f>
        <v>-</v>
      </c>
      <c r="AH187" s="311" t="str">
        <f>IF($E187=AH$3,#REF!*$F187,"-")</f>
        <v>-</v>
      </c>
      <c r="AI187" s="311" t="str">
        <f>IF($E187=AI$3,#REF!*$F187,"-")</f>
        <v>-</v>
      </c>
      <c r="AJ187" s="311" t="str">
        <f>IF($E187=AJ$3,#REF!*$F187,"-")</f>
        <v>-</v>
      </c>
      <c r="AK187" s="311" t="str">
        <f>IF($E187=AK$3,#REF!*$F187,"-")</f>
        <v>-</v>
      </c>
      <c r="AL187" s="311" t="str">
        <f>IF($E187=AL$3,#REF!*$F187,"-")</f>
        <v>-</v>
      </c>
      <c r="AM187" s="311" t="str">
        <f>IF($E187=AM$3,#REF!*$F187,"-")</f>
        <v>-</v>
      </c>
    </row>
    <row r="188" spans="3:39" ht="14.25" x14ac:dyDescent="0.2">
      <c r="C188" s="561"/>
      <c r="D188" s="561"/>
      <c r="E188" s="309" t="s">
        <v>913</v>
      </c>
      <c r="F188" s="408">
        <v>1.0000000000000001E-5</v>
      </c>
      <c r="G188" s="309">
        <v>1E-3</v>
      </c>
      <c r="H188" s="392">
        <v>0</v>
      </c>
      <c r="I188" s="320">
        <f>D157*F188*G188*(1-H188)</f>
        <v>1.9008000000000002E-4</v>
      </c>
      <c r="J188" s="309" t="s">
        <v>291</v>
      </c>
      <c r="K188" s="363">
        <v>0</v>
      </c>
      <c r="L188" s="396">
        <f t="shared" si="31"/>
        <v>1.9008000000000002E-4</v>
      </c>
      <c r="M188" s="258"/>
      <c r="O188" s="311" t="str">
        <f t="shared" si="33"/>
        <v>-</v>
      </c>
      <c r="P188" s="311" t="str">
        <f t="shared" si="33"/>
        <v>-</v>
      </c>
      <c r="Q188" s="311" t="str">
        <f t="shared" si="33"/>
        <v>-</v>
      </c>
      <c r="R188" s="311" t="str">
        <f t="shared" si="33"/>
        <v>-</v>
      </c>
      <c r="S188" s="311" t="str">
        <f t="shared" si="33"/>
        <v>-</v>
      </c>
      <c r="T188" s="311" t="str">
        <f t="shared" si="33"/>
        <v>-</v>
      </c>
      <c r="U188" s="311" t="str">
        <f t="shared" si="33"/>
        <v>-</v>
      </c>
      <c r="V188" s="311" t="str">
        <f t="shared" si="33"/>
        <v>-</v>
      </c>
      <c r="W188" s="311" t="str">
        <f t="shared" si="33"/>
        <v>-</v>
      </c>
      <c r="X188" s="311" t="str">
        <f t="shared" si="33"/>
        <v>-</v>
      </c>
      <c r="Y188" s="311" t="str">
        <f t="shared" si="33"/>
        <v>-</v>
      </c>
      <c r="Z188" s="311" t="str">
        <f t="shared" si="33"/>
        <v>-</v>
      </c>
      <c r="AB188" s="311" t="str">
        <f>IF($E188=AB$3,#REF!*$F188,"-")</f>
        <v>-</v>
      </c>
      <c r="AC188" s="311" t="str">
        <f>IF($E188=AC$3,#REF!*$F188,"-")</f>
        <v>-</v>
      </c>
      <c r="AD188" s="311" t="str">
        <f>IF($E188=AD$3,#REF!*$F188,"-")</f>
        <v>-</v>
      </c>
      <c r="AE188" s="311" t="str">
        <f>IF($E188=AE$3,#REF!*$F188,"-")</f>
        <v>-</v>
      </c>
      <c r="AF188" s="311" t="str">
        <f>IF($E188=AF$3,#REF!*$F188,"-")</f>
        <v>-</v>
      </c>
      <c r="AG188" s="311" t="str">
        <f>IF($E188=AG$3,#REF!*$F188,"-")</f>
        <v>-</v>
      </c>
      <c r="AH188" s="311" t="str">
        <f>IF($E188=AH$3,#REF!*$F188,"-")</f>
        <v>-</v>
      </c>
      <c r="AI188" s="311" t="str">
        <f>IF($E188=AI$3,#REF!*$F188,"-")</f>
        <v>-</v>
      </c>
      <c r="AJ188" s="311" t="str">
        <f>IF($E188=AJ$3,#REF!*$F188,"-")</f>
        <v>-</v>
      </c>
      <c r="AK188" s="311" t="str">
        <f>IF($E188=AK$3,#REF!*$F188,"-")</f>
        <v>-</v>
      </c>
      <c r="AL188" s="311" t="str">
        <f>IF($E188=AL$3,#REF!*$F188,"-")</f>
        <v>-</v>
      </c>
      <c r="AM188" s="311" t="str">
        <f>IF($E188=AM$3,#REF!*$F188,"-")</f>
        <v>-</v>
      </c>
    </row>
    <row r="189" spans="3:39" ht="14.25" x14ac:dyDescent="0.2">
      <c r="C189" s="561"/>
      <c r="D189" s="561"/>
      <c r="E189" s="309" t="s">
        <v>914</v>
      </c>
      <c r="F189" s="408">
        <v>3.0000000000000001E-5</v>
      </c>
      <c r="G189" s="309">
        <v>1E-3</v>
      </c>
      <c r="H189" s="392">
        <v>0</v>
      </c>
      <c r="I189" s="320">
        <f>D157*F189*G189*(1-H189)</f>
        <v>5.7023999999999996E-4</v>
      </c>
      <c r="J189" s="309" t="s">
        <v>291</v>
      </c>
      <c r="K189" s="363">
        <v>0</v>
      </c>
      <c r="L189" s="396">
        <f t="shared" si="31"/>
        <v>5.7023999999999996E-4</v>
      </c>
      <c r="M189" s="258"/>
      <c r="O189" s="311" t="str">
        <f t="shared" si="33"/>
        <v>-</v>
      </c>
      <c r="P189" s="311" t="str">
        <f t="shared" si="33"/>
        <v>-</v>
      </c>
      <c r="Q189" s="311" t="str">
        <f t="shared" si="33"/>
        <v>-</v>
      </c>
      <c r="R189" s="311" t="str">
        <f t="shared" si="33"/>
        <v>-</v>
      </c>
      <c r="S189" s="311" t="str">
        <f t="shared" si="33"/>
        <v>-</v>
      </c>
      <c r="T189" s="311" t="str">
        <f t="shared" si="33"/>
        <v>-</v>
      </c>
      <c r="U189" s="311" t="str">
        <f t="shared" si="33"/>
        <v>-</v>
      </c>
      <c r="V189" s="311" t="str">
        <f t="shared" si="33"/>
        <v>-</v>
      </c>
      <c r="W189" s="311" t="str">
        <f t="shared" si="33"/>
        <v>-</v>
      </c>
      <c r="X189" s="311" t="str">
        <f t="shared" si="33"/>
        <v>-</v>
      </c>
      <c r="Y189" s="311" t="str">
        <f t="shared" si="33"/>
        <v>-</v>
      </c>
      <c r="Z189" s="311" t="str">
        <f t="shared" si="33"/>
        <v>-</v>
      </c>
      <c r="AB189" s="311" t="str">
        <f>IF($E189=AB$3,#REF!*$F189,"-")</f>
        <v>-</v>
      </c>
      <c r="AC189" s="311" t="str">
        <f>IF($E189=AC$3,#REF!*$F189,"-")</f>
        <v>-</v>
      </c>
      <c r="AD189" s="311" t="str">
        <f>IF($E189=AD$3,#REF!*$F189,"-")</f>
        <v>-</v>
      </c>
      <c r="AE189" s="311" t="str">
        <f>IF($E189=AE$3,#REF!*$F189,"-")</f>
        <v>-</v>
      </c>
      <c r="AF189" s="311" t="str">
        <f>IF($E189=AF$3,#REF!*$F189,"-")</f>
        <v>-</v>
      </c>
      <c r="AG189" s="311" t="str">
        <f>IF($E189=AG$3,#REF!*$F189,"-")</f>
        <v>-</v>
      </c>
      <c r="AH189" s="311" t="str">
        <f>IF($E189=AH$3,#REF!*$F189,"-")</f>
        <v>-</v>
      </c>
      <c r="AI189" s="311" t="str">
        <f>IF($E189=AI$3,#REF!*$F189,"-")</f>
        <v>-</v>
      </c>
      <c r="AJ189" s="311" t="str">
        <f>IF($E189=AJ$3,#REF!*$F189,"-")</f>
        <v>-</v>
      </c>
      <c r="AK189" s="311" t="str">
        <f>IF($E189=AK$3,#REF!*$F189,"-")</f>
        <v>-</v>
      </c>
      <c r="AL189" s="311" t="str">
        <f>IF($E189=AL$3,#REF!*$F189,"-")</f>
        <v>-</v>
      </c>
      <c r="AM189" s="311" t="str">
        <f>IF($E189=AM$3,#REF!*$F189,"-")</f>
        <v>-</v>
      </c>
    </row>
    <row r="190" spans="3:39" ht="14.25" x14ac:dyDescent="0.2">
      <c r="C190" s="561"/>
      <c r="D190" s="561"/>
      <c r="E190" s="309" t="s">
        <v>915</v>
      </c>
      <c r="F190" s="408">
        <v>3.0000000000000003E-4</v>
      </c>
      <c r="G190" s="309">
        <v>1E-3</v>
      </c>
      <c r="H190" s="392">
        <v>0</v>
      </c>
      <c r="I190" s="320">
        <f>D157*F190*G190*(1-H190)</f>
        <v>5.7024000000000007E-3</v>
      </c>
      <c r="J190" s="309" t="s">
        <v>291</v>
      </c>
      <c r="K190" s="363">
        <v>0</v>
      </c>
      <c r="L190" s="396">
        <f t="shared" si="31"/>
        <v>5.7024000000000007E-3</v>
      </c>
      <c r="M190" s="258"/>
      <c r="O190" s="311" t="str">
        <f t="shared" si="33"/>
        <v>-</v>
      </c>
      <c r="P190" s="311" t="str">
        <f t="shared" si="33"/>
        <v>-</v>
      </c>
      <c r="Q190" s="311" t="str">
        <f t="shared" si="33"/>
        <v>-</v>
      </c>
      <c r="R190" s="311" t="str">
        <f t="shared" si="33"/>
        <v>-</v>
      </c>
      <c r="S190" s="311" t="str">
        <f t="shared" si="33"/>
        <v>-</v>
      </c>
      <c r="T190" s="311" t="str">
        <f t="shared" si="33"/>
        <v>-</v>
      </c>
      <c r="U190" s="311" t="str">
        <f t="shared" si="33"/>
        <v>-</v>
      </c>
      <c r="V190" s="311" t="str">
        <f t="shared" si="33"/>
        <v>-</v>
      </c>
      <c r="W190" s="311" t="str">
        <f t="shared" si="33"/>
        <v>-</v>
      </c>
      <c r="X190" s="311" t="str">
        <f t="shared" si="33"/>
        <v>-</v>
      </c>
      <c r="Y190" s="311" t="str">
        <f t="shared" si="33"/>
        <v>-</v>
      </c>
      <c r="Z190" s="311" t="str">
        <f t="shared" si="33"/>
        <v>-</v>
      </c>
      <c r="AB190" s="311" t="str">
        <f>IF($E190=AB$3,#REF!*$F190,"-")</f>
        <v>-</v>
      </c>
      <c r="AC190" s="311" t="str">
        <f>IF($E190=AC$3,#REF!*$F190,"-")</f>
        <v>-</v>
      </c>
      <c r="AD190" s="311" t="str">
        <f>IF($E190=AD$3,#REF!*$F190,"-")</f>
        <v>-</v>
      </c>
      <c r="AE190" s="311" t="str">
        <f>IF($E190=AE$3,#REF!*$F190,"-")</f>
        <v>-</v>
      </c>
      <c r="AF190" s="311" t="str">
        <f>IF($E190=AF$3,#REF!*$F190,"-")</f>
        <v>-</v>
      </c>
      <c r="AG190" s="311" t="str">
        <f>IF($E190=AG$3,#REF!*$F190,"-")</f>
        <v>-</v>
      </c>
      <c r="AH190" s="311" t="str">
        <f>IF($E190=AH$3,#REF!*$F190,"-")</f>
        <v>-</v>
      </c>
      <c r="AI190" s="311" t="str">
        <f>IF($E190=AI$3,#REF!*$F190,"-")</f>
        <v>-</v>
      </c>
      <c r="AJ190" s="311" t="str">
        <f>IF($E190=AJ$3,#REF!*$F190,"-")</f>
        <v>-</v>
      </c>
      <c r="AK190" s="311" t="str">
        <f>IF($E190=AK$3,#REF!*$F190,"-")</f>
        <v>-</v>
      </c>
      <c r="AL190" s="311" t="str">
        <f>IF($E190=AL$3,#REF!*$F190,"-")</f>
        <v>-</v>
      </c>
      <c r="AM190" s="311" t="str">
        <f>IF($E190=AM$3,#REF!*$F190,"-")</f>
        <v>-</v>
      </c>
    </row>
    <row r="191" spans="3:39" ht="14.25" x14ac:dyDescent="0.2">
      <c r="C191" s="554"/>
      <c r="D191" s="554"/>
      <c r="E191" s="309" t="s">
        <v>916</v>
      </c>
      <c r="F191" s="408">
        <v>1.0000000000000001E-5</v>
      </c>
      <c r="G191" s="309">
        <v>1E-3</v>
      </c>
      <c r="H191" s="392">
        <v>0</v>
      </c>
      <c r="I191" s="320">
        <f>D157*F191*G191*(1-H191)</f>
        <v>1.9008000000000002E-4</v>
      </c>
      <c r="J191" s="309" t="s">
        <v>291</v>
      </c>
      <c r="K191" s="363">
        <v>0</v>
      </c>
      <c r="L191" s="396">
        <f t="shared" si="31"/>
        <v>1.9008000000000002E-4</v>
      </c>
      <c r="M191" s="258"/>
      <c r="O191" s="311" t="str">
        <f t="shared" si="33"/>
        <v>-</v>
      </c>
      <c r="P191" s="311" t="str">
        <f t="shared" si="33"/>
        <v>-</v>
      </c>
      <c r="Q191" s="311" t="str">
        <f t="shared" si="33"/>
        <v>-</v>
      </c>
      <c r="R191" s="311" t="str">
        <f t="shared" si="33"/>
        <v>-</v>
      </c>
      <c r="S191" s="311" t="str">
        <f t="shared" si="33"/>
        <v>-</v>
      </c>
      <c r="T191" s="311" t="str">
        <f t="shared" si="33"/>
        <v>-</v>
      </c>
      <c r="U191" s="311" t="str">
        <f t="shared" si="33"/>
        <v>-</v>
      </c>
      <c r="V191" s="311" t="str">
        <f t="shared" si="33"/>
        <v>-</v>
      </c>
      <c r="W191" s="311" t="str">
        <f t="shared" si="33"/>
        <v>-</v>
      </c>
      <c r="X191" s="311" t="str">
        <f t="shared" si="33"/>
        <v>-</v>
      </c>
      <c r="Y191" s="311" t="str">
        <f t="shared" si="33"/>
        <v>-</v>
      </c>
      <c r="Z191" s="311" t="str">
        <f t="shared" si="33"/>
        <v>-</v>
      </c>
      <c r="AB191" s="311" t="str">
        <f>IF($E191=AB$3,#REF!*$F191,"-")</f>
        <v>-</v>
      </c>
      <c r="AC191" s="311" t="str">
        <f>IF($E191=AC$3,#REF!*$F191,"-")</f>
        <v>-</v>
      </c>
      <c r="AD191" s="311" t="str">
        <f>IF($E191=AD$3,#REF!*$F191,"-")</f>
        <v>-</v>
      </c>
      <c r="AE191" s="311" t="str">
        <f>IF($E191=AE$3,#REF!*$F191,"-")</f>
        <v>-</v>
      </c>
      <c r="AF191" s="311" t="str">
        <f>IF($E191=AF$3,#REF!*$F191,"-")</f>
        <v>-</v>
      </c>
      <c r="AG191" s="311" t="str">
        <f>IF($E191=AG$3,#REF!*$F191,"-")</f>
        <v>-</v>
      </c>
      <c r="AH191" s="311" t="str">
        <f>IF($E191=AH$3,#REF!*$F191,"-")</f>
        <v>-</v>
      </c>
      <c r="AI191" s="311" t="str">
        <f>IF($E191=AI$3,#REF!*$F191,"-")</f>
        <v>-</v>
      </c>
      <c r="AJ191" s="311" t="str">
        <f>IF($E191=AJ$3,#REF!*$F191,"-")</f>
        <v>-</v>
      </c>
      <c r="AK191" s="311" t="str">
        <f>IF($E191=AK$3,#REF!*$F191,"-")</f>
        <v>-</v>
      </c>
      <c r="AL191" s="311" t="str">
        <f>IF($E191=AL$3,#REF!*$F191,"-")</f>
        <v>-</v>
      </c>
      <c r="AM191" s="311" t="str">
        <f>IF($E191=AM$3,#REF!*$F191,"-")</f>
        <v>-</v>
      </c>
    </row>
    <row r="192" spans="3:39" ht="14.25" x14ac:dyDescent="0.2">
      <c r="C192" s="560" t="s">
        <v>953</v>
      </c>
      <c r="D192" s="560">
        <v>1200</v>
      </c>
      <c r="E192" s="309" t="s">
        <v>944</v>
      </c>
      <c r="F192" s="408">
        <v>0.99958151900000003</v>
      </c>
      <c r="G192" s="309">
        <v>1E-3</v>
      </c>
      <c r="H192" s="392">
        <v>0</v>
      </c>
      <c r="I192" s="406">
        <f>D192*F192*G192*(1-H192)</f>
        <v>1.1994978227999999</v>
      </c>
      <c r="J192" s="309" t="s">
        <v>291</v>
      </c>
      <c r="K192" s="363">
        <v>0</v>
      </c>
      <c r="L192" s="396">
        <f>I192*(1-K192)</f>
        <v>1.1994978227999999</v>
      </c>
      <c r="M192" s="258"/>
      <c r="O192" s="311" t="str">
        <f t="shared" ref="O192:Z201" si="34">IF($E192=O$3,$D$192*$F192,"-")</f>
        <v>-</v>
      </c>
      <c r="P192" s="311" t="str">
        <f t="shared" si="34"/>
        <v>-</v>
      </c>
      <c r="Q192" s="311" t="str">
        <f t="shared" si="34"/>
        <v>-</v>
      </c>
      <c r="R192" s="311" t="str">
        <f t="shared" si="34"/>
        <v>-</v>
      </c>
      <c r="S192" s="311" t="str">
        <f t="shared" si="34"/>
        <v>-</v>
      </c>
      <c r="T192" s="311" t="str">
        <f t="shared" si="34"/>
        <v>-</v>
      </c>
      <c r="U192" s="311" t="str">
        <f t="shared" si="34"/>
        <v>-</v>
      </c>
      <c r="V192" s="311" t="str">
        <f t="shared" si="34"/>
        <v>-</v>
      </c>
      <c r="W192" s="311" t="str">
        <f t="shared" si="34"/>
        <v>-</v>
      </c>
      <c r="X192" s="311" t="str">
        <f t="shared" si="34"/>
        <v>-</v>
      </c>
      <c r="Y192" s="311" t="str">
        <f t="shared" si="34"/>
        <v>-</v>
      </c>
      <c r="Z192" s="311" t="str">
        <f t="shared" si="34"/>
        <v>-</v>
      </c>
      <c r="AB192" s="311" t="str">
        <f>IF($E192=AB$3,#REF!*$F192,"-")</f>
        <v>-</v>
      </c>
      <c r="AC192" s="311" t="str">
        <f>IF($E192=AC$3,#REF!*$F192,"-")</f>
        <v>-</v>
      </c>
      <c r="AD192" s="311" t="str">
        <f>IF($E192=AD$3,#REF!*$F192,"-")</f>
        <v>-</v>
      </c>
      <c r="AE192" s="311" t="str">
        <f>IF($E192=AE$3,#REF!*$F192,"-")</f>
        <v>-</v>
      </c>
      <c r="AF192" s="311" t="str">
        <f>IF($E192=AF$3,#REF!*$F192,"-")</f>
        <v>-</v>
      </c>
      <c r="AG192" s="311" t="str">
        <f>IF($E192=AG$3,#REF!*$F192,"-")</f>
        <v>-</v>
      </c>
      <c r="AH192" s="311" t="str">
        <f>IF($E192=AH$3,#REF!*$F192,"-")</f>
        <v>-</v>
      </c>
      <c r="AI192" s="311" t="str">
        <f>IF($E192=AI$3,#REF!*$F192,"-")</f>
        <v>-</v>
      </c>
      <c r="AJ192" s="311" t="str">
        <f>IF($E192=AJ$3,#REF!*$F192,"-")</f>
        <v>-</v>
      </c>
      <c r="AK192" s="311" t="str">
        <f>IF($E192=AK$3,#REF!*$F192,"-")</f>
        <v>-</v>
      </c>
      <c r="AL192" s="311" t="str">
        <f>IF($E192=AL$3,#REF!*$F192,"-")</f>
        <v>-</v>
      </c>
      <c r="AM192" s="311" t="str">
        <f>IF($E192=AM$3,#REF!*$F192,"-")</f>
        <v>-</v>
      </c>
    </row>
    <row r="193" spans="3:39" ht="14.25" x14ac:dyDescent="0.2">
      <c r="C193" s="561"/>
      <c r="D193" s="561"/>
      <c r="E193" s="309" t="s">
        <v>892</v>
      </c>
      <c r="F193" s="408">
        <v>9.9999999999999995E-7</v>
      </c>
      <c r="G193" s="309">
        <v>1E-3</v>
      </c>
      <c r="H193" s="392">
        <v>0</v>
      </c>
      <c r="I193" s="320">
        <f>D192*F193*G193*(1-H193)</f>
        <v>1.1999999999999999E-6</v>
      </c>
      <c r="J193" s="309" t="s">
        <v>291</v>
      </c>
      <c r="K193" s="363">
        <v>0</v>
      </c>
      <c r="L193" s="396">
        <f t="shared" si="31"/>
        <v>1.1999999999999999E-6</v>
      </c>
      <c r="M193" s="258"/>
      <c r="O193" s="311" t="str">
        <f t="shared" si="34"/>
        <v>-</v>
      </c>
      <c r="P193" s="311" t="str">
        <f t="shared" si="34"/>
        <v>-</v>
      </c>
      <c r="Q193" s="311" t="str">
        <f t="shared" si="34"/>
        <v>-</v>
      </c>
      <c r="R193" s="311" t="str">
        <f t="shared" si="34"/>
        <v>-</v>
      </c>
      <c r="S193" s="311" t="str">
        <f t="shared" si="34"/>
        <v>-</v>
      </c>
      <c r="T193" s="311" t="str">
        <f t="shared" si="34"/>
        <v>-</v>
      </c>
      <c r="U193" s="311" t="str">
        <f t="shared" si="34"/>
        <v>-</v>
      </c>
      <c r="V193" s="311" t="str">
        <f t="shared" si="34"/>
        <v>-</v>
      </c>
      <c r="W193" s="311" t="str">
        <f t="shared" si="34"/>
        <v>-</v>
      </c>
      <c r="X193" s="311" t="str">
        <f t="shared" si="34"/>
        <v>-</v>
      </c>
      <c r="Y193" s="311" t="str">
        <f t="shared" si="34"/>
        <v>-</v>
      </c>
      <c r="Z193" s="311" t="str">
        <f t="shared" si="34"/>
        <v>-</v>
      </c>
      <c r="AB193" s="311" t="str">
        <f>IF($E193=AB$3,#REF!*$F193,"-")</f>
        <v>-</v>
      </c>
      <c r="AC193" s="311" t="str">
        <f>IF($E193=AC$3,#REF!*$F193,"-")</f>
        <v>-</v>
      </c>
      <c r="AD193" s="311" t="str">
        <f>IF($E193=AD$3,#REF!*$F193,"-")</f>
        <v>-</v>
      </c>
      <c r="AE193" s="311" t="str">
        <f>IF($E193=AE$3,#REF!*$F193,"-")</f>
        <v>-</v>
      </c>
      <c r="AF193" s="311" t="str">
        <f>IF($E193=AF$3,#REF!*$F193,"-")</f>
        <v>-</v>
      </c>
      <c r="AG193" s="311" t="str">
        <f>IF($E193=AG$3,#REF!*$F193,"-")</f>
        <v>-</v>
      </c>
      <c r="AH193" s="311" t="str">
        <f>IF($E193=AH$3,#REF!*$F193,"-")</f>
        <v>-</v>
      </c>
      <c r="AI193" s="311" t="str">
        <f>IF($E193=AI$3,#REF!*$F193,"-")</f>
        <v>-</v>
      </c>
      <c r="AJ193" s="311" t="str">
        <f>IF($E193=AJ$3,#REF!*$F193,"-")</f>
        <v>-</v>
      </c>
      <c r="AK193" s="311" t="str">
        <f>IF($E193=AK$3,#REF!*$F193,"-")</f>
        <v>-</v>
      </c>
      <c r="AL193" s="311" t="str">
        <f>IF($E193=AL$3,#REF!*$F193,"-")</f>
        <v>-</v>
      </c>
      <c r="AM193" s="311" t="str">
        <f>IF($E193=AM$3,#REF!*$F193,"-")</f>
        <v>-</v>
      </c>
    </row>
    <row r="194" spans="3:39" ht="14.25" x14ac:dyDescent="0.2">
      <c r="C194" s="561"/>
      <c r="D194" s="561"/>
      <c r="E194" s="309" t="s">
        <v>877</v>
      </c>
      <c r="F194" s="408">
        <v>3.0000000000000001E-6</v>
      </c>
      <c r="G194" s="309">
        <v>1E-3</v>
      </c>
      <c r="H194" s="392">
        <v>0</v>
      </c>
      <c r="I194" s="320">
        <f>D192*F194*G194*(1-H194)</f>
        <v>3.5999999999999998E-6</v>
      </c>
      <c r="J194" s="309" t="s">
        <v>291</v>
      </c>
      <c r="K194" s="363">
        <v>0</v>
      </c>
      <c r="L194" s="396">
        <f t="shared" si="31"/>
        <v>3.5999999999999998E-6</v>
      </c>
      <c r="M194" s="258"/>
      <c r="O194" s="311">
        <f t="shared" si="34"/>
        <v>3.5999999999999999E-3</v>
      </c>
      <c r="P194" s="311" t="str">
        <f t="shared" si="34"/>
        <v>-</v>
      </c>
      <c r="Q194" s="311" t="str">
        <f t="shared" si="34"/>
        <v>-</v>
      </c>
      <c r="R194" s="311" t="str">
        <f t="shared" si="34"/>
        <v>-</v>
      </c>
      <c r="S194" s="311" t="str">
        <f t="shared" si="34"/>
        <v>-</v>
      </c>
      <c r="T194" s="311" t="str">
        <f t="shared" si="34"/>
        <v>-</v>
      </c>
      <c r="U194" s="311" t="str">
        <f t="shared" si="34"/>
        <v>-</v>
      </c>
      <c r="V194" s="311" t="str">
        <f t="shared" si="34"/>
        <v>-</v>
      </c>
      <c r="W194" s="311" t="str">
        <f t="shared" si="34"/>
        <v>-</v>
      </c>
      <c r="X194" s="311" t="str">
        <f t="shared" si="34"/>
        <v>-</v>
      </c>
      <c r="Y194" s="311" t="str">
        <f t="shared" si="34"/>
        <v>-</v>
      </c>
      <c r="Z194" s="311" t="str">
        <f t="shared" si="34"/>
        <v>-</v>
      </c>
      <c r="AB194" s="311" t="e">
        <f>IF($E194=AB$3,#REF!*$F194,"-")</f>
        <v>#REF!</v>
      </c>
      <c r="AC194" s="311" t="str">
        <f>IF($E194=AC$3,#REF!*$F194,"-")</f>
        <v>-</v>
      </c>
      <c r="AD194" s="311" t="str">
        <f>IF($E194=AD$3,#REF!*$F194,"-")</f>
        <v>-</v>
      </c>
      <c r="AE194" s="311" t="str">
        <f>IF($E194=AE$3,#REF!*$F194,"-")</f>
        <v>-</v>
      </c>
      <c r="AF194" s="311" t="str">
        <f>IF($E194=AF$3,#REF!*$F194,"-")</f>
        <v>-</v>
      </c>
      <c r="AG194" s="311" t="str">
        <f>IF($E194=AG$3,#REF!*$F194,"-")</f>
        <v>-</v>
      </c>
      <c r="AH194" s="311" t="str">
        <f>IF($E194=AH$3,#REF!*$F194,"-")</f>
        <v>-</v>
      </c>
      <c r="AI194" s="311" t="str">
        <f>IF($E194=AI$3,#REF!*$F194,"-")</f>
        <v>-</v>
      </c>
      <c r="AJ194" s="311" t="str">
        <f>IF($E194=AJ$3,#REF!*$F194,"-")</f>
        <v>-</v>
      </c>
      <c r="AK194" s="311" t="str">
        <f>IF($E194=AK$3,#REF!*$F194,"-")</f>
        <v>-</v>
      </c>
      <c r="AL194" s="311" t="str">
        <f>IF($E194=AL$3,#REF!*$F194,"-")</f>
        <v>-</v>
      </c>
      <c r="AM194" s="311" t="str">
        <f>IF($E194=AM$3,#REF!*$F194,"-")</f>
        <v>-</v>
      </c>
    </row>
    <row r="195" spans="3:39" ht="14.25" x14ac:dyDescent="0.2">
      <c r="C195" s="561"/>
      <c r="D195" s="561"/>
      <c r="E195" s="309" t="s">
        <v>893</v>
      </c>
      <c r="F195" s="408">
        <v>9.9999999999999995E-7</v>
      </c>
      <c r="G195" s="309">
        <v>1E-3</v>
      </c>
      <c r="H195" s="392">
        <v>0</v>
      </c>
      <c r="I195" s="320">
        <f>D192*F195*G195*(1-H195)</f>
        <v>1.1999999999999999E-6</v>
      </c>
      <c r="J195" s="309" t="s">
        <v>291</v>
      </c>
      <c r="K195" s="363">
        <v>0</v>
      </c>
      <c r="L195" s="396">
        <f t="shared" si="31"/>
        <v>1.1999999999999999E-6</v>
      </c>
      <c r="M195" s="258"/>
      <c r="O195" s="311" t="str">
        <f t="shared" si="34"/>
        <v>-</v>
      </c>
      <c r="P195" s="311" t="str">
        <f t="shared" si="34"/>
        <v>-</v>
      </c>
      <c r="Q195" s="311" t="str">
        <f t="shared" si="34"/>
        <v>-</v>
      </c>
      <c r="R195" s="311" t="str">
        <f t="shared" si="34"/>
        <v>-</v>
      </c>
      <c r="S195" s="311" t="str">
        <f t="shared" si="34"/>
        <v>-</v>
      </c>
      <c r="T195" s="311" t="str">
        <f t="shared" si="34"/>
        <v>-</v>
      </c>
      <c r="U195" s="311" t="str">
        <f t="shared" si="34"/>
        <v>-</v>
      </c>
      <c r="V195" s="311" t="str">
        <f t="shared" si="34"/>
        <v>-</v>
      </c>
      <c r="W195" s="311" t="str">
        <f t="shared" si="34"/>
        <v>-</v>
      </c>
      <c r="X195" s="311" t="str">
        <f t="shared" si="34"/>
        <v>-</v>
      </c>
      <c r="Y195" s="311" t="str">
        <f t="shared" si="34"/>
        <v>-</v>
      </c>
      <c r="Z195" s="311" t="str">
        <f t="shared" si="34"/>
        <v>-</v>
      </c>
      <c r="AB195" s="311" t="str">
        <f>IF($E195=AB$3,#REF!*$F195,"-")</f>
        <v>-</v>
      </c>
      <c r="AC195" s="311" t="str">
        <f>IF($E195=AC$3,#REF!*$F195,"-")</f>
        <v>-</v>
      </c>
      <c r="AD195" s="311" t="str">
        <f>IF($E195=AD$3,#REF!*$F195,"-")</f>
        <v>-</v>
      </c>
      <c r="AE195" s="311" t="str">
        <f>IF($E195=AE$3,#REF!*$F195,"-")</f>
        <v>-</v>
      </c>
      <c r="AF195" s="311" t="str">
        <f>IF($E195=AF$3,#REF!*$F195,"-")</f>
        <v>-</v>
      </c>
      <c r="AG195" s="311" t="str">
        <f>IF($E195=AG$3,#REF!*$F195,"-")</f>
        <v>-</v>
      </c>
      <c r="AH195" s="311" t="str">
        <f>IF($E195=AH$3,#REF!*$F195,"-")</f>
        <v>-</v>
      </c>
      <c r="AI195" s="311" t="str">
        <f>IF($E195=AI$3,#REF!*$F195,"-")</f>
        <v>-</v>
      </c>
      <c r="AJ195" s="311" t="str">
        <f>IF($E195=AJ$3,#REF!*$F195,"-")</f>
        <v>-</v>
      </c>
      <c r="AK195" s="311" t="str">
        <f>IF($E195=AK$3,#REF!*$F195,"-")</f>
        <v>-</v>
      </c>
      <c r="AL195" s="311" t="str">
        <f>IF($E195=AL$3,#REF!*$F195,"-")</f>
        <v>-</v>
      </c>
      <c r="AM195" s="311" t="str">
        <f>IF($E195=AM$3,#REF!*$F195,"-")</f>
        <v>-</v>
      </c>
    </row>
    <row r="196" spans="3:39" ht="14.25" x14ac:dyDescent="0.2">
      <c r="C196" s="561"/>
      <c r="D196" s="561"/>
      <c r="E196" s="309" t="s">
        <v>894</v>
      </c>
      <c r="F196" s="408">
        <v>1.0000000000000001E-7</v>
      </c>
      <c r="G196" s="309">
        <v>1E-3</v>
      </c>
      <c r="H196" s="392">
        <v>0</v>
      </c>
      <c r="I196" s="320">
        <f>D192*F196*G196*(1-H196)</f>
        <v>1.2000000000000002E-7</v>
      </c>
      <c r="J196" s="309" t="s">
        <v>291</v>
      </c>
      <c r="K196" s="363">
        <v>0</v>
      </c>
      <c r="L196" s="396">
        <f t="shared" si="31"/>
        <v>1.2000000000000002E-7</v>
      </c>
      <c r="M196" s="258"/>
      <c r="O196" s="311" t="str">
        <f t="shared" si="34"/>
        <v>-</v>
      </c>
      <c r="P196" s="311" t="str">
        <f t="shared" si="34"/>
        <v>-</v>
      </c>
      <c r="Q196" s="311" t="str">
        <f t="shared" si="34"/>
        <v>-</v>
      </c>
      <c r="R196" s="311" t="str">
        <f t="shared" si="34"/>
        <v>-</v>
      </c>
      <c r="S196" s="311" t="str">
        <f t="shared" si="34"/>
        <v>-</v>
      </c>
      <c r="T196" s="311" t="str">
        <f t="shared" si="34"/>
        <v>-</v>
      </c>
      <c r="U196" s="311" t="str">
        <f t="shared" si="34"/>
        <v>-</v>
      </c>
      <c r="V196" s="311" t="str">
        <f t="shared" si="34"/>
        <v>-</v>
      </c>
      <c r="W196" s="311" t="str">
        <f t="shared" si="34"/>
        <v>-</v>
      </c>
      <c r="X196" s="311" t="str">
        <f t="shared" si="34"/>
        <v>-</v>
      </c>
      <c r="Y196" s="311" t="str">
        <f t="shared" si="34"/>
        <v>-</v>
      </c>
      <c r="Z196" s="311" t="str">
        <f t="shared" si="34"/>
        <v>-</v>
      </c>
      <c r="AB196" s="311" t="str">
        <f>IF($E196=AB$3,#REF!*$F196,"-")</f>
        <v>-</v>
      </c>
      <c r="AC196" s="311" t="str">
        <f>IF($E196=AC$3,#REF!*$F196,"-")</f>
        <v>-</v>
      </c>
      <c r="AD196" s="311" t="str">
        <f>IF($E196=AD$3,#REF!*$F196,"-")</f>
        <v>-</v>
      </c>
      <c r="AE196" s="311" t="str">
        <f>IF($E196=AE$3,#REF!*$F196,"-")</f>
        <v>-</v>
      </c>
      <c r="AF196" s="311" t="str">
        <f>IF($E196=AF$3,#REF!*$F196,"-")</f>
        <v>-</v>
      </c>
      <c r="AG196" s="311" t="str">
        <f>IF($E196=AG$3,#REF!*$F196,"-")</f>
        <v>-</v>
      </c>
      <c r="AH196" s="311" t="str">
        <f>IF($E196=AH$3,#REF!*$F196,"-")</f>
        <v>-</v>
      </c>
      <c r="AI196" s="311" t="str">
        <f>IF($E196=AI$3,#REF!*$F196,"-")</f>
        <v>-</v>
      </c>
      <c r="AJ196" s="311" t="str">
        <f>IF($E196=AJ$3,#REF!*$F196,"-")</f>
        <v>-</v>
      </c>
      <c r="AK196" s="311" t="str">
        <f>IF($E196=AK$3,#REF!*$F196,"-")</f>
        <v>-</v>
      </c>
      <c r="AL196" s="311" t="str">
        <f>IF($E196=AL$3,#REF!*$F196,"-")</f>
        <v>-</v>
      </c>
      <c r="AM196" s="311" t="str">
        <f>IF($E196=AM$3,#REF!*$F196,"-")</f>
        <v>-</v>
      </c>
    </row>
    <row r="197" spans="3:39" ht="14.25" x14ac:dyDescent="0.2">
      <c r="C197" s="561"/>
      <c r="D197" s="561"/>
      <c r="E197" s="309" t="s">
        <v>895</v>
      </c>
      <c r="F197" s="408">
        <v>1.0000000000000001E-7</v>
      </c>
      <c r="G197" s="309">
        <v>1E-3</v>
      </c>
      <c r="H197" s="392">
        <v>0</v>
      </c>
      <c r="I197" s="320">
        <f>D192*F197*G197*(1-H197)</f>
        <v>1.2000000000000002E-7</v>
      </c>
      <c r="J197" s="309" t="s">
        <v>291</v>
      </c>
      <c r="K197" s="363">
        <v>0</v>
      </c>
      <c r="L197" s="396">
        <f t="shared" si="31"/>
        <v>1.2000000000000002E-7</v>
      </c>
      <c r="M197" s="258"/>
      <c r="O197" s="311" t="str">
        <f t="shared" si="34"/>
        <v>-</v>
      </c>
      <c r="P197" s="311" t="str">
        <f t="shared" si="34"/>
        <v>-</v>
      </c>
      <c r="Q197" s="311" t="str">
        <f t="shared" si="34"/>
        <v>-</v>
      </c>
      <c r="R197" s="311" t="str">
        <f t="shared" si="34"/>
        <v>-</v>
      </c>
      <c r="S197" s="311" t="str">
        <f t="shared" si="34"/>
        <v>-</v>
      </c>
      <c r="T197" s="311" t="str">
        <f t="shared" si="34"/>
        <v>-</v>
      </c>
      <c r="U197" s="311" t="str">
        <f t="shared" si="34"/>
        <v>-</v>
      </c>
      <c r="V197" s="311" t="str">
        <f t="shared" si="34"/>
        <v>-</v>
      </c>
      <c r="W197" s="311" t="str">
        <f t="shared" si="34"/>
        <v>-</v>
      </c>
      <c r="X197" s="311" t="str">
        <f t="shared" si="34"/>
        <v>-</v>
      </c>
      <c r="Y197" s="311" t="str">
        <f t="shared" si="34"/>
        <v>-</v>
      </c>
      <c r="Z197" s="311" t="str">
        <f t="shared" si="34"/>
        <v>-</v>
      </c>
      <c r="AB197" s="311" t="str">
        <f>IF($E197=AB$3,#REF!*$F197,"-")</f>
        <v>-</v>
      </c>
      <c r="AC197" s="311" t="str">
        <f>IF($E197=AC$3,#REF!*$F197,"-")</f>
        <v>-</v>
      </c>
      <c r="AD197" s="311" t="str">
        <f>IF($E197=AD$3,#REF!*$F197,"-")</f>
        <v>-</v>
      </c>
      <c r="AE197" s="311" t="str">
        <f>IF($E197=AE$3,#REF!*$F197,"-")</f>
        <v>-</v>
      </c>
      <c r="AF197" s="311" t="str">
        <f>IF($E197=AF$3,#REF!*$F197,"-")</f>
        <v>-</v>
      </c>
      <c r="AG197" s="311" t="str">
        <f>IF($E197=AG$3,#REF!*$F197,"-")</f>
        <v>-</v>
      </c>
      <c r="AH197" s="311" t="str">
        <f>IF($E197=AH$3,#REF!*$F197,"-")</f>
        <v>-</v>
      </c>
      <c r="AI197" s="311" t="str">
        <f>IF($E197=AI$3,#REF!*$F197,"-")</f>
        <v>-</v>
      </c>
      <c r="AJ197" s="311" t="str">
        <f>IF($E197=AJ$3,#REF!*$F197,"-")</f>
        <v>-</v>
      </c>
      <c r="AK197" s="311" t="str">
        <f>IF($E197=AK$3,#REF!*$F197,"-")</f>
        <v>-</v>
      </c>
      <c r="AL197" s="311" t="str">
        <f>IF($E197=AL$3,#REF!*$F197,"-")</f>
        <v>-</v>
      </c>
      <c r="AM197" s="311" t="str">
        <f>IF($E197=AM$3,#REF!*$F197,"-")</f>
        <v>-</v>
      </c>
    </row>
    <row r="198" spans="3:39" ht="14.25" x14ac:dyDescent="0.2">
      <c r="C198" s="561"/>
      <c r="D198" s="561"/>
      <c r="E198" s="309" t="s">
        <v>896</v>
      </c>
      <c r="F198" s="408">
        <v>9.9999999999999995E-7</v>
      </c>
      <c r="G198" s="309">
        <v>1E-3</v>
      </c>
      <c r="H198" s="392">
        <v>0</v>
      </c>
      <c r="I198" s="320">
        <f>D192*F198*G198*(1-H198)</f>
        <v>1.1999999999999999E-6</v>
      </c>
      <c r="J198" s="309" t="s">
        <v>291</v>
      </c>
      <c r="K198" s="363">
        <v>0</v>
      </c>
      <c r="L198" s="396">
        <f t="shared" si="31"/>
        <v>1.1999999999999999E-6</v>
      </c>
      <c r="M198" s="258"/>
      <c r="O198" s="311" t="str">
        <f t="shared" si="34"/>
        <v>-</v>
      </c>
      <c r="P198" s="311" t="str">
        <f t="shared" si="34"/>
        <v>-</v>
      </c>
      <c r="Q198" s="311" t="str">
        <f t="shared" si="34"/>
        <v>-</v>
      </c>
      <c r="R198" s="311" t="str">
        <f t="shared" si="34"/>
        <v>-</v>
      </c>
      <c r="S198" s="311" t="str">
        <f t="shared" si="34"/>
        <v>-</v>
      </c>
      <c r="T198" s="311" t="str">
        <f t="shared" si="34"/>
        <v>-</v>
      </c>
      <c r="U198" s="311" t="str">
        <f t="shared" si="34"/>
        <v>-</v>
      </c>
      <c r="V198" s="311" t="str">
        <f t="shared" si="34"/>
        <v>-</v>
      </c>
      <c r="W198" s="311" t="str">
        <f t="shared" si="34"/>
        <v>-</v>
      </c>
      <c r="X198" s="311" t="str">
        <f t="shared" si="34"/>
        <v>-</v>
      </c>
      <c r="Y198" s="311" t="str">
        <f t="shared" si="34"/>
        <v>-</v>
      </c>
      <c r="Z198" s="311" t="str">
        <f t="shared" si="34"/>
        <v>-</v>
      </c>
      <c r="AB198" s="311" t="str">
        <f>IF($E198=AB$3,#REF!*$F198,"-")</f>
        <v>-</v>
      </c>
      <c r="AC198" s="311" t="str">
        <f>IF($E198=AC$3,#REF!*$F198,"-")</f>
        <v>-</v>
      </c>
      <c r="AD198" s="311" t="str">
        <f>IF($E198=AD$3,#REF!*$F198,"-")</f>
        <v>-</v>
      </c>
      <c r="AE198" s="311" t="str">
        <f>IF($E198=AE$3,#REF!*$F198,"-")</f>
        <v>-</v>
      </c>
      <c r="AF198" s="311" t="str">
        <f>IF($E198=AF$3,#REF!*$F198,"-")</f>
        <v>-</v>
      </c>
      <c r="AG198" s="311" t="str">
        <f>IF($E198=AG$3,#REF!*$F198,"-")</f>
        <v>-</v>
      </c>
      <c r="AH198" s="311" t="str">
        <f>IF($E198=AH$3,#REF!*$F198,"-")</f>
        <v>-</v>
      </c>
      <c r="AI198" s="311" t="str">
        <f>IF($E198=AI$3,#REF!*$F198,"-")</f>
        <v>-</v>
      </c>
      <c r="AJ198" s="311" t="str">
        <f>IF($E198=AJ$3,#REF!*$F198,"-")</f>
        <v>-</v>
      </c>
      <c r="AK198" s="311" t="str">
        <f>IF($E198=AK$3,#REF!*$F198,"-")</f>
        <v>-</v>
      </c>
      <c r="AL198" s="311" t="str">
        <f>IF($E198=AL$3,#REF!*$F198,"-")</f>
        <v>-</v>
      </c>
      <c r="AM198" s="311" t="str">
        <f>IF($E198=AM$3,#REF!*$F198,"-")</f>
        <v>-</v>
      </c>
    </row>
    <row r="199" spans="3:39" ht="14.25" x14ac:dyDescent="0.2">
      <c r="C199" s="561"/>
      <c r="D199" s="561"/>
      <c r="E199" s="309" t="s">
        <v>878</v>
      </c>
      <c r="F199" s="408">
        <v>9.9999999999999995E-7</v>
      </c>
      <c r="G199" s="309">
        <v>1E-3</v>
      </c>
      <c r="H199" s="392">
        <v>0</v>
      </c>
      <c r="I199" s="320">
        <f>D192*F199*G199*(1-H199)</f>
        <v>1.1999999999999999E-6</v>
      </c>
      <c r="J199" s="309" t="s">
        <v>291</v>
      </c>
      <c r="K199" s="363">
        <v>0</v>
      </c>
      <c r="L199" s="396">
        <f t="shared" si="31"/>
        <v>1.1999999999999999E-6</v>
      </c>
      <c r="M199" s="258"/>
      <c r="O199" s="311" t="str">
        <f t="shared" si="34"/>
        <v>-</v>
      </c>
      <c r="P199" s="311">
        <f t="shared" si="34"/>
        <v>1.1999999999999999E-3</v>
      </c>
      <c r="Q199" s="311" t="str">
        <f t="shared" si="34"/>
        <v>-</v>
      </c>
      <c r="R199" s="311" t="str">
        <f t="shared" si="34"/>
        <v>-</v>
      </c>
      <c r="S199" s="311" t="str">
        <f t="shared" si="34"/>
        <v>-</v>
      </c>
      <c r="T199" s="311" t="str">
        <f t="shared" si="34"/>
        <v>-</v>
      </c>
      <c r="U199" s="311" t="str">
        <f t="shared" si="34"/>
        <v>-</v>
      </c>
      <c r="V199" s="311" t="str">
        <f t="shared" si="34"/>
        <v>-</v>
      </c>
      <c r="W199" s="311" t="str">
        <f t="shared" si="34"/>
        <v>-</v>
      </c>
      <c r="X199" s="311" t="str">
        <f t="shared" si="34"/>
        <v>-</v>
      </c>
      <c r="Y199" s="311" t="str">
        <f t="shared" si="34"/>
        <v>-</v>
      </c>
      <c r="Z199" s="311" t="str">
        <f t="shared" si="34"/>
        <v>-</v>
      </c>
      <c r="AB199" s="311" t="str">
        <f>IF($E199=AB$3,#REF!*$F199,"-")</f>
        <v>-</v>
      </c>
      <c r="AC199" s="311" t="e">
        <f>IF($E199=AC$3,#REF!*$F199,"-")</f>
        <v>#REF!</v>
      </c>
      <c r="AD199" s="311" t="str">
        <f>IF($E199=AD$3,#REF!*$F199,"-")</f>
        <v>-</v>
      </c>
      <c r="AE199" s="311" t="str">
        <f>IF($E199=AE$3,#REF!*$F199,"-")</f>
        <v>-</v>
      </c>
      <c r="AF199" s="311" t="str">
        <f>IF($E199=AF$3,#REF!*$F199,"-")</f>
        <v>-</v>
      </c>
      <c r="AG199" s="311" t="str">
        <f>IF($E199=AG$3,#REF!*$F199,"-")</f>
        <v>-</v>
      </c>
      <c r="AH199" s="311" t="str">
        <f>IF($E199=AH$3,#REF!*$F199,"-")</f>
        <v>-</v>
      </c>
      <c r="AI199" s="311" t="str">
        <f>IF($E199=AI$3,#REF!*$F199,"-")</f>
        <v>-</v>
      </c>
      <c r="AJ199" s="311" t="str">
        <f>IF($E199=AJ$3,#REF!*$F199,"-")</f>
        <v>-</v>
      </c>
      <c r="AK199" s="311" t="str">
        <f>IF($E199=AK$3,#REF!*$F199,"-")</f>
        <v>-</v>
      </c>
      <c r="AL199" s="311" t="str">
        <f>IF($E199=AL$3,#REF!*$F199,"-")</f>
        <v>-</v>
      </c>
      <c r="AM199" s="311" t="str">
        <f>IF($E199=AM$3,#REF!*$F199,"-")</f>
        <v>-</v>
      </c>
    </row>
    <row r="200" spans="3:39" ht="14.25" x14ac:dyDescent="0.2">
      <c r="C200" s="561"/>
      <c r="D200" s="561"/>
      <c r="E200" s="309" t="s">
        <v>879</v>
      </c>
      <c r="F200" s="408">
        <v>9.9999999999999995E-7</v>
      </c>
      <c r="G200" s="309">
        <v>1E-3</v>
      </c>
      <c r="H200" s="392">
        <v>0</v>
      </c>
      <c r="I200" s="320">
        <f>D192*F200*G200*(1-H200)</f>
        <v>1.1999999999999999E-6</v>
      </c>
      <c r="J200" s="309" t="s">
        <v>291</v>
      </c>
      <c r="K200" s="363">
        <v>0</v>
      </c>
      <c r="L200" s="396">
        <f t="shared" si="31"/>
        <v>1.1999999999999999E-6</v>
      </c>
      <c r="M200" s="258"/>
      <c r="O200" s="311" t="str">
        <f t="shared" si="34"/>
        <v>-</v>
      </c>
      <c r="P200" s="311" t="str">
        <f t="shared" si="34"/>
        <v>-</v>
      </c>
      <c r="Q200" s="311">
        <f t="shared" si="34"/>
        <v>1.1999999999999999E-3</v>
      </c>
      <c r="R200" s="311" t="str">
        <f t="shared" si="34"/>
        <v>-</v>
      </c>
      <c r="S200" s="311" t="str">
        <f t="shared" si="34"/>
        <v>-</v>
      </c>
      <c r="T200" s="311" t="str">
        <f t="shared" si="34"/>
        <v>-</v>
      </c>
      <c r="U200" s="311" t="str">
        <f t="shared" si="34"/>
        <v>-</v>
      </c>
      <c r="V200" s="311" t="str">
        <f t="shared" si="34"/>
        <v>-</v>
      </c>
      <c r="W200" s="311" t="str">
        <f t="shared" si="34"/>
        <v>-</v>
      </c>
      <c r="X200" s="311" t="str">
        <f t="shared" si="34"/>
        <v>-</v>
      </c>
      <c r="Y200" s="311" t="str">
        <f t="shared" si="34"/>
        <v>-</v>
      </c>
      <c r="Z200" s="311" t="str">
        <f t="shared" si="34"/>
        <v>-</v>
      </c>
      <c r="AB200" s="311" t="str">
        <f>IF($E200=AB$3,#REF!*$F200,"-")</f>
        <v>-</v>
      </c>
      <c r="AC200" s="311" t="str">
        <f>IF($E200=AC$3,#REF!*$F200,"-")</f>
        <v>-</v>
      </c>
      <c r="AD200" s="311" t="e">
        <f>IF($E200=AD$3,#REF!*$F200,"-")</f>
        <v>#REF!</v>
      </c>
      <c r="AE200" s="311" t="str">
        <f>IF($E200=AE$3,#REF!*$F200,"-")</f>
        <v>-</v>
      </c>
      <c r="AF200" s="311" t="str">
        <f>IF($E200=AF$3,#REF!*$F200,"-")</f>
        <v>-</v>
      </c>
      <c r="AG200" s="311" t="str">
        <f>IF($E200=AG$3,#REF!*$F200,"-")</f>
        <v>-</v>
      </c>
      <c r="AH200" s="311" t="str">
        <f>IF($E200=AH$3,#REF!*$F200,"-")</f>
        <v>-</v>
      </c>
      <c r="AI200" s="311" t="str">
        <f>IF($E200=AI$3,#REF!*$F200,"-")</f>
        <v>-</v>
      </c>
      <c r="AJ200" s="311" t="str">
        <f>IF($E200=AJ$3,#REF!*$F200,"-")</f>
        <v>-</v>
      </c>
      <c r="AK200" s="311" t="str">
        <f>IF($E200=AK$3,#REF!*$F200,"-")</f>
        <v>-</v>
      </c>
      <c r="AL200" s="311" t="str">
        <f>IF($E200=AL$3,#REF!*$F200,"-")</f>
        <v>-</v>
      </c>
      <c r="AM200" s="311" t="str">
        <f>IF($E200=AM$3,#REF!*$F200,"-")</f>
        <v>-</v>
      </c>
    </row>
    <row r="201" spans="3:39" ht="14.25" x14ac:dyDescent="0.2">
      <c r="C201" s="561"/>
      <c r="D201" s="561"/>
      <c r="E201" s="309" t="s">
        <v>888</v>
      </c>
      <c r="F201" s="408">
        <v>9.9999999999999995E-7</v>
      </c>
      <c r="G201" s="309">
        <v>1E-3</v>
      </c>
      <c r="H201" s="392">
        <v>0</v>
      </c>
      <c r="I201" s="320">
        <f>D192*F201*G201*(1-H201)</f>
        <v>1.1999999999999999E-6</v>
      </c>
      <c r="J201" s="309" t="s">
        <v>291</v>
      </c>
      <c r="K201" s="363">
        <v>0</v>
      </c>
      <c r="L201" s="396">
        <f t="shared" si="31"/>
        <v>1.1999999999999999E-6</v>
      </c>
      <c r="M201" s="258"/>
      <c r="O201" s="311" t="str">
        <f t="shared" si="34"/>
        <v>-</v>
      </c>
      <c r="P201" s="311" t="str">
        <f t="shared" si="34"/>
        <v>-</v>
      </c>
      <c r="Q201" s="311" t="str">
        <f t="shared" si="34"/>
        <v>-</v>
      </c>
      <c r="R201" s="311" t="str">
        <f t="shared" si="34"/>
        <v>-</v>
      </c>
      <c r="S201" s="311" t="str">
        <f t="shared" si="34"/>
        <v>-</v>
      </c>
      <c r="T201" s="311" t="str">
        <f t="shared" si="34"/>
        <v>-</v>
      </c>
      <c r="U201" s="311" t="str">
        <f t="shared" si="34"/>
        <v>-</v>
      </c>
      <c r="V201" s="311" t="str">
        <f t="shared" si="34"/>
        <v>-</v>
      </c>
      <c r="W201" s="311" t="str">
        <f t="shared" si="34"/>
        <v>-</v>
      </c>
      <c r="X201" s="311" t="str">
        <f t="shared" si="34"/>
        <v>-</v>
      </c>
      <c r="Y201" s="311" t="str">
        <f t="shared" si="34"/>
        <v>-</v>
      </c>
      <c r="Z201" s="311">
        <f t="shared" si="34"/>
        <v>1.1999999999999999E-3</v>
      </c>
      <c r="AB201" s="311" t="str">
        <f>IF($E201=AB$3,#REF!*$F201,"-")</f>
        <v>-</v>
      </c>
      <c r="AC201" s="311" t="str">
        <f>IF($E201=AC$3,#REF!*$F201,"-")</f>
        <v>-</v>
      </c>
      <c r="AD201" s="311" t="str">
        <f>IF($E201=AD$3,#REF!*$F201,"-")</f>
        <v>-</v>
      </c>
      <c r="AE201" s="311" t="str">
        <f>IF($E201=AE$3,#REF!*$F201,"-")</f>
        <v>-</v>
      </c>
      <c r="AF201" s="311" t="str">
        <f>IF($E201=AF$3,#REF!*$F201,"-")</f>
        <v>-</v>
      </c>
      <c r="AG201" s="311" t="str">
        <f>IF($E201=AG$3,#REF!*$F201,"-")</f>
        <v>-</v>
      </c>
      <c r="AH201" s="311" t="str">
        <f>IF($E201=AH$3,#REF!*$F201,"-")</f>
        <v>-</v>
      </c>
      <c r="AI201" s="311" t="str">
        <f>IF($E201=AI$3,#REF!*$F201,"-")</f>
        <v>-</v>
      </c>
      <c r="AJ201" s="311" t="str">
        <f>IF($E201=AJ$3,#REF!*$F201,"-")</f>
        <v>-</v>
      </c>
      <c r="AK201" s="311" t="str">
        <f>IF($E201=AK$3,#REF!*$F201,"-")</f>
        <v>-</v>
      </c>
      <c r="AL201" s="311" t="str">
        <f>IF($E201=AL$3,#REF!*$F201,"-")</f>
        <v>-</v>
      </c>
      <c r="AM201" s="311" t="e">
        <f>IF($E201=AM$3,#REF!*$F201,"-")</f>
        <v>#REF!</v>
      </c>
    </row>
    <row r="202" spans="3:39" ht="14.25" x14ac:dyDescent="0.2">
      <c r="C202" s="561"/>
      <c r="D202" s="561"/>
      <c r="E202" s="309" t="s">
        <v>897</v>
      </c>
      <c r="F202" s="408">
        <v>9.9999999999999995E-7</v>
      </c>
      <c r="G202" s="309">
        <v>1E-3</v>
      </c>
      <c r="H202" s="392">
        <v>0</v>
      </c>
      <c r="I202" s="320">
        <f>D192*F202*G202*(1-H202)</f>
        <v>1.1999999999999999E-6</v>
      </c>
      <c r="J202" s="309" t="s">
        <v>291</v>
      </c>
      <c r="K202" s="363">
        <v>0</v>
      </c>
      <c r="L202" s="396">
        <f t="shared" si="31"/>
        <v>1.1999999999999999E-6</v>
      </c>
      <c r="M202" s="258"/>
      <c r="O202" s="311" t="str">
        <f t="shared" ref="O202:Z211" si="35">IF($E202=O$3,$D$192*$F202,"-")</f>
        <v>-</v>
      </c>
      <c r="P202" s="311" t="str">
        <f t="shared" si="35"/>
        <v>-</v>
      </c>
      <c r="Q202" s="311" t="str">
        <f t="shared" si="35"/>
        <v>-</v>
      </c>
      <c r="R202" s="311" t="str">
        <f t="shared" si="35"/>
        <v>-</v>
      </c>
      <c r="S202" s="311" t="str">
        <f t="shared" si="35"/>
        <v>-</v>
      </c>
      <c r="T202" s="311" t="str">
        <f t="shared" si="35"/>
        <v>-</v>
      </c>
      <c r="U202" s="311" t="str">
        <f t="shared" si="35"/>
        <v>-</v>
      </c>
      <c r="V202" s="311" t="str">
        <f t="shared" si="35"/>
        <v>-</v>
      </c>
      <c r="W202" s="311" t="str">
        <f t="shared" si="35"/>
        <v>-</v>
      </c>
      <c r="X202" s="311" t="str">
        <f t="shared" si="35"/>
        <v>-</v>
      </c>
      <c r="Y202" s="311" t="str">
        <f t="shared" si="35"/>
        <v>-</v>
      </c>
      <c r="Z202" s="311" t="str">
        <f t="shared" si="35"/>
        <v>-</v>
      </c>
      <c r="AB202" s="311" t="str">
        <f>IF($E202=AB$3,#REF!*$F202,"-")</f>
        <v>-</v>
      </c>
      <c r="AC202" s="311" t="str">
        <f>IF($E202=AC$3,#REF!*$F202,"-")</f>
        <v>-</v>
      </c>
      <c r="AD202" s="311" t="str">
        <f>IF($E202=AD$3,#REF!*$F202,"-")</f>
        <v>-</v>
      </c>
      <c r="AE202" s="311" t="str">
        <f>IF($E202=AE$3,#REF!*$F202,"-")</f>
        <v>-</v>
      </c>
      <c r="AF202" s="311" t="str">
        <f>IF($E202=AF$3,#REF!*$F202,"-")</f>
        <v>-</v>
      </c>
      <c r="AG202" s="311" t="str">
        <f>IF($E202=AG$3,#REF!*$F202,"-")</f>
        <v>-</v>
      </c>
      <c r="AH202" s="311" t="str">
        <f>IF($E202=AH$3,#REF!*$F202,"-")</f>
        <v>-</v>
      </c>
      <c r="AI202" s="311" t="str">
        <f>IF($E202=AI$3,#REF!*$F202,"-")</f>
        <v>-</v>
      </c>
      <c r="AJ202" s="311" t="str">
        <f>IF($E202=AJ$3,#REF!*$F202,"-")</f>
        <v>-</v>
      </c>
      <c r="AK202" s="311" t="str">
        <f>IF($E202=AK$3,#REF!*$F202,"-")</f>
        <v>-</v>
      </c>
      <c r="AL202" s="311" t="str">
        <f>IF($E202=AL$3,#REF!*$F202,"-")</f>
        <v>-</v>
      </c>
      <c r="AM202" s="311" t="str">
        <f>IF($E202=AM$3,#REF!*$F202,"-")</f>
        <v>-</v>
      </c>
    </row>
    <row r="203" spans="3:39" ht="14.25" x14ac:dyDescent="0.2">
      <c r="C203" s="561"/>
      <c r="D203" s="561"/>
      <c r="E203" s="309" t="s">
        <v>880</v>
      </c>
      <c r="F203" s="408">
        <v>1.9999999999999999E-6</v>
      </c>
      <c r="G203" s="309">
        <v>1E-3</v>
      </c>
      <c r="H203" s="392">
        <v>0</v>
      </c>
      <c r="I203" s="320">
        <f>D192*F203*G203*(1-H203)</f>
        <v>2.3999999999999999E-6</v>
      </c>
      <c r="J203" s="309" t="s">
        <v>291</v>
      </c>
      <c r="K203" s="363">
        <v>0</v>
      </c>
      <c r="L203" s="396">
        <f t="shared" si="31"/>
        <v>2.3999999999999999E-6</v>
      </c>
      <c r="M203" s="258"/>
      <c r="O203" s="311" t="str">
        <f t="shared" si="35"/>
        <v>-</v>
      </c>
      <c r="P203" s="311" t="str">
        <f t="shared" si="35"/>
        <v>-</v>
      </c>
      <c r="Q203" s="311" t="str">
        <f t="shared" si="35"/>
        <v>-</v>
      </c>
      <c r="R203" s="311">
        <f t="shared" si="35"/>
        <v>2.3999999999999998E-3</v>
      </c>
      <c r="S203" s="311" t="str">
        <f t="shared" si="35"/>
        <v>-</v>
      </c>
      <c r="T203" s="311" t="str">
        <f t="shared" si="35"/>
        <v>-</v>
      </c>
      <c r="U203" s="311" t="str">
        <f t="shared" si="35"/>
        <v>-</v>
      </c>
      <c r="V203" s="311" t="str">
        <f t="shared" si="35"/>
        <v>-</v>
      </c>
      <c r="W203" s="311" t="str">
        <f t="shared" si="35"/>
        <v>-</v>
      </c>
      <c r="X203" s="311" t="str">
        <f t="shared" si="35"/>
        <v>-</v>
      </c>
      <c r="Y203" s="311" t="str">
        <f t="shared" si="35"/>
        <v>-</v>
      </c>
      <c r="Z203" s="311" t="str">
        <f t="shared" si="35"/>
        <v>-</v>
      </c>
      <c r="AB203" s="311" t="str">
        <f>IF($E203=AB$3,#REF!*$F203,"-")</f>
        <v>-</v>
      </c>
      <c r="AC203" s="311" t="str">
        <f>IF($E203=AC$3,#REF!*$F203,"-")</f>
        <v>-</v>
      </c>
      <c r="AD203" s="311" t="str">
        <f>IF($E203=AD$3,#REF!*$F203,"-")</f>
        <v>-</v>
      </c>
      <c r="AE203" s="311" t="e">
        <f>IF($E203=AE$3,#REF!*$F203,"-")</f>
        <v>#REF!</v>
      </c>
      <c r="AF203" s="311" t="str">
        <f>IF($E203=AF$3,#REF!*$F203,"-")</f>
        <v>-</v>
      </c>
      <c r="AG203" s="311" t="str">
        <f>IF($E203=AG$3,#REF!*$F203,"-")</f>
        <v>-</v>
      </c>
      <c r="AH203" s="311" t="str">
        <f>IF($E203=AH$3,#REF!*$F203,"-")</f>
        <v>-</v>
      </c>
      <c r="AI203" s="311" t="str">
        <f>IF($E203=AI$3,#REF!*$F203,"-")</f>
        <v>-</v>
      </c>
      <c r="AJ203" s="311" t="str">
        <f>IF($E203=AJ$3,#REF!*$F203,"-")</f>
        <v>-</v>
      </c>
      <c r="AK203" s="311" t="str">
        <f>IF($E203=AK$3,#REF!*$F203,"-")</f>
        <v>-</v>
      </c>
      <c r="AL203" s="311" t="str">
        <f>IF($E203=AL$3,#REF!*$F203,"-")</f>
        <v>-</v>
      </c>
      <c r="AM203" s="311" t="str">
        <f>IF($E203=AM$3,#REF!*$F203,"-")</f>
        <v>-</v>
      </c>
    </row>
    <row r="204" spans="3:39" ht="14.25" x14ac:dyDescent="0.2">
      <c r="C204" s="561"/>
      <c r="D204" s="561"/>
      <c r="E204" s="309" t="s">
        <v>898</v>
      </c>
      <c r="F204" s="408">
        <v>9.0000000000000002E-6</v>
      </c>
      <c r="G204" s="309">
        <v>1E-3</v>
      </c>
      <c r="H204" s="392">
        <v>0</v>
      </c>
      <c r="I204" s="320">
        <f>D192*F204*G204*(1-H204)</f>
        <v>1.0800000000000002E-5</v>
      </c>
      <c r="J204" s="309" t="s">
        <v>291</v>
      </c>
      <c r="K204" s="363">
        <v>0</v>
      </c>
      <c r="L204" s="396">
        <f t="shared" si="31"/>
        <v>1.0800000000000002E-5</v>
      </c>
      <c r="M204" s="258"/>
      <c r="O204" s="311" t="str">
        <f t="shared" si="35"/>
        <v>-</v>
      </c>
      <c r="P204" s="311" t="str">
        <f t="shared" si="35"/>
        <v>-</v>
      </c>
      <c r="Q204" s="311" t="str">
        <f t="shared" si="35"/>
        <v>-</v>
      </c>
      <c r="R204" s="311" t="str">
        <f t="shared" si="35"/>
        <v>-</v>
      </c>
      <c r="S204" s="311" t="str">
        <f t="shared" si="35"/>
        <v>-</v>
      </c>
      <c r="T204" s="311" t="str">
        <f t="shared" si="35"/>
        <v>-</v>
      </c>
      <c r="U204" s="311" t="str">
        <f t="shared" si="35"/>
        <v>-</v>
      </c>
      <c r="V204" s="311" t="str">
        <f t="shared" si="35"/>
        <v>-</v>
      </c>
      <c r="W204" s="311" t="str">
        <f t="shared" si="35"/>
        <v>-</v>
      </c>
      <c r="X204" s="311" t="str">
        <f t="shared" si="35"/>
        <v>-</v>
      </c>
      <c r="Y204" s="311" t="str">
        <f t="shared" si="35"/>
        <v>-</v>
      </c>
      <c r="Z204" s="311" t="str">
        <f t="shared" si="35"/>
        <v>-</v>
      </c>
      <c r="AB204" s="311" t="str">
        <f>IF($E204=AB$3,#REF!*$F204,"-")</f>
        <v>-</v>
      </c>
      <c r="AC204" s="311" t="str">
        <f>IF($E204=AC$3,#REF!*$F204,"-")</f>
        <v>-</v>
      </c>
      <c r="AD204" s="311" t="str">
        <f>IF($E204=AD$3,#REF!*$F204,"-")</f>
        <v>-</v>
      </c>
      <c r="AE204" s="311" t="str">
        <f>IF($E204=AE$3,#REF!*$F204,"-")</f>
        <v>-</v>
      </c>
      <c r="AF204" s="311" t="str">
        <f>IF($E204=AF$3,#REF!*$F204,"-")</f>
        <v>-</v>
      </c>
      <c r="AG204" s="311" t="str">
        <f>IF($E204=AG$3,#REF!*$F204,"-")</f>
        <v>-</v>
      </c>
      <c r="AH204" s="311" t="str">
        <f>IF($E204=AH$3,#REF!*$F204,"-")</f>
        <v>-</v>
      </c>
      <c r="AI204" s="311" t="str">
        <f>IF($E204=AI$3,#REF!*$F204,"-")</f>
        <v>-</v>
      </c>
      <c r="AJ204" s="311" t="str">
        <f>IF($E204=AJ$3,#REF!*$F204,"-")</f>
        <v>-</v>
      </c>
      <c r="AK204" s="311" t="str">
        <f>IF($E204=AK$3,#REF!*$F204,"-")</f>
        <v>-</v>
      </c>
      <c r="AL204" s="311" t="str">
        <f>IF($E204=AL$3,#REF!*$F204,"-")</f>
        <v>-</v>
      </c>
      <c r="AM204" s="311" t="str">
        <f>IF($E204=AM$3,#REF!*$F204,"-")</f>
        <v>-</v>
      </c>
    </row>
    <row r="205" spans="3:39" ht="14.25" x14ac:dyDescent="0.2">
      <c r="C205" s="561"/>
      <c r="D205" s="561"/>
      <c r="E205" s="309" t="s">
        <v>909</v>
      </c>
      <c r="F205" s="408">
        <v>5.0000000000000004E-8</v>
      </c>
      <c r="G205" s="309">
        <v>1E-3</v>
      </c>
      <c r="H205" s="392">
        <v>0</v>
      </c>
      <c r="I205" s="320">
        <f>D192*F205*G205*(1-H205)</f>
        <v>6.0000000000000008E-8</v>
      </c>
      <c r="J205" s="309" t="s">
        <v>291</v>
      </c>
      <c r="K205" s="363">
        <v>0</v>
      </c>
      <c r="L205" s="396">
        <f t="shared" si="31"/>
        <v>6.0000000000000008E-8</v>
      </c>
      <c r="M205" s="258"/>
      <c r="O205" s="311" t="str">
        <f t="shared" si="35"/>
        <v>-</v>
      </c>
      <c r="P205" s="311" t="str">
        <f t="shared" si="35"/>
        <v>-</v>
      </c>
      <c r="Q205" s="311" t="str">
        <f t="shared" si="35"/>
        <v>-</v>
      </c>
      <c r="R205" s="311" t="str">
        <f t="shared" si="35"/>
        <v>-</v>
      </c>
      <c r="S205" s="311" t="str">
        <f t="shared" si="35"/>
        <v>-</v>
      </c>
      <c r="T205" s="311" t="str">
        <f t="shared" si="35"/>
        <v>-</v>
      </c>
      <c r="U205" s="311" t="str">
        <f t="shared" si="35"/>
        <v>-</v>
      </c>
      <c r="V205" s="311" t="str">
        <f t="shared" si="35"/>
        <v>-</v>
      </c>
      <c r="W205" s="311" t="str">
        <f t="shared" si="35"/>
        <v>-</v>
      </c>
      <c r="X205" s="311" t="str">
        <f t="shared" si="35"/>
        <v>-</v>
      </c>
      <c r="Y205" s="311" t="str">
        <f t="shared" si="35"/>
        <v>-</v>
      </c>
      <c r="Z205" s="311" t="str">
        <f t="shared" si="35"/>
        <v>-</v>
      </c>
      <c r="AB205" s="311" t="str">
        <f>IF($E205=AB$3,#REF!*$F205,"-")</f>
        <v>-</v>
      </c>
      <c r="AC205" s="311" t="str">
        <f>IF($E205=AC$3,#REF!*$F205,"-")</f>
        <v>-</v>
      </c>
      <c r="AD205" s="311" t="str">
        <f>IF($E205=AD$3,#REF!*$F205,"-")</f>
        <v>-</v>
      </c>
      <c r="AE205" s="311" t="str">
        <f>IF($E205=AE$3,#REF!*$F205,"-")</f>
        <v>-</v>
      </c>
      <c r="AF205" s="311" t="str">
        <f>IF($E205=AF$3,#REF!*$F205,"-")</f>
        <v>-</v>
      </c>
      <c r="AG205" s="311" t="str">
        <f>IF($E205=AG$3,#REF!*$F205,"-")</f>
        <v>-</v>
      </c>
      <c r="AH205" s="311" t="str">
        <f>IF($E205=AH$3,#REF!*$F205,"-")</f>
        <v>-</v>
      </c>
      <c r="AI205" s="311" t="str">
        <f>IF($E205=AI$3,#REF!*$F205,"-")</f>
        <v>-</v>
      </c>
      <c r="AJ205" s="311" t="str">
        <f>IF($E205=AJ$3,#REF!*$F205,"-")</f>
        <v>-</v>
      </c>
      <c r="AK205" s="311" t="str">
        <f>IF($E205=AK$3,#REF!*$F205,"-")</f>
        <v>-</v>
      </c>
      <c r="AL205" s="311" t="str">
        <f>IF($E205=AL$3,#REF!*$F205,"-")</f>
        <v>-</v>
      </c>
      <c r="AM205" s="311" t="str">
        <f>IF($E205=AM$3,#REF!*$F205,"-")</f>
        <v>-</v>
      </c>
    </row>
    <row r="206" spans="3:39" ht="14.25" x14ac:dyDescent="0.2">
      <c r="C206" s="561"/>
      <c r="D206" s="561"/>
      <c r="E206" s="309" t="s">
        <v>910</v>
      </c>
      <c r="F206" s="408">
        <v>1.0000000000000001E-7</v>
      </c>
      <c r="G206" s="309">
        <v>1E-3</v>
      </c>
      <c r="H206" s="392">
        <v>0</v>
      </c>
      <c r="I206" s="320">
        <f>D192*F206*G206*(1-H206)</f>
        <v>1.2000000000000002E-7</v>
      </c>
      <c r="J206" s="309" t="s">
        <v>291</v>
      </c>
      <c r="K206" s="363">
        <v>0</v>
      </c>
      <c r="L206" s="396">
        <f t="shared" si="31"/>
        <v>1.2000000000000002E-7</v>
      </c>
      <c r="M206" s="258"/>
      <c r="O206" s="311" t="str">
        <f t="shared" si="35"/>
        <v>-</v>
      </c>
      <c r="P206" s="311" t="str">
        <f t="shared" si="35"/>
        <v>-</v>
      </c>
      <c r="Q206" s="311" t="str">
        <f t="shared" si="35"/>
        <v>-</v>
      </c>
      <c r="R206" s="311" t="str">
        <f t="shared" si="35"/>
        <v>-</v>
      </c>
      <c r="S206" s="311" t="str">
        <f t="shared" si="35"/>
        <v>-</v>
      </c>
      <c r="T206" s="311" t="str">
        <f t="shared" si="35"/>
        <v>-</v>
      </c>
      <c r="U206" s="311" t="str">
        <f t="shared" si="35"/>
        <v>-</v>
      </c>
      <c r="V206" s="311" t="str">
        <f t="shared" si="35"/>
        <v>-</v>
      </c>
      <c r="W206" s="311" t="str">
        <f t="shared" si="35"/>
        <v>-</v>
      </c>
      <c r="X206" s="311" t="str">
        <f t="shared" si="35"/>
        <v>-</v>
      </c>
      <c r="Y206" s="311" t="str">
        <f t="shared" si="35"/>
        <v>-</v>
      </c>
      <c r="Z206" s="311" t="str">
        <f t="shared" si="35"/>
        <v>-</v>
      </c>
      <c r="AB206" s="311" t="str">
        <f>IF($E206=AB$3,#REF!*$F206,"-")</f>
        <v>-</v>
      </c>
      <c r="AC206" s="311" t="str">
        <f>IF($E206=AC$3,#REF!*$F206,"-")</f>
        <v>-</v>
      </c>
      <c r="AD206" s="311" t="str">
        <f>IF($E206=AD$3,#REF!*$F206,"-")</f>
        <v>-</v>
      </c>
      <c r="AE206" s="311" t="str">
        <f>IF($E206=AE$3,#REF!*$F206,"-")</f>
        <v>-</v>
      </c>
      <c r="AF206" s="311" t="str">
        <f>IF($E206=AF$3,#REF!*$F206,"-")</f>
        <v>-</v>
      </c>
      <c r="AG206" s="311" t="str">
        <f>IF($E206=AG$3,#REF!*$F206,"-")</f>
        <v>-</v>
      </c>
      <c r="AH206" s="311" t="str">
        <f>IF($E206=AH$3,#REF!*$F206,"-")</f>
        <v>-</v>
      </c>
      <c r="AI206" s="311" t="str">
        <f>IF($E206=AI$3,#REF!*$F206,"-")</f>
        <v>-</v>
      </c>
      <c r="AJ206" s="311" t="str">
        <f>IF($E206=AJ$3,#REF!*$F206,"-")</f>
        <v>-</v>
      </c>
      <c r="AK206" s="311" t="str">
        <f>IF($E206=AK$3,#REF!*$F206,"-")</f>
        <v>-</v>
      </c>
      <c r="AL206" s="311" t="str">
        <f>IF($E206=AL$3,#REF!*$F206,"-")</f>
        <v>-</v>
      </c>
      <c r="AM206" s="311" t="str">
        <f>IF($E206=AM$3,#REF!*$F206,"-")</f>
        <v>-</v>
      </c>
    </row>
    <row r="207" spans="3:39" ht="14.25" x14ac:dyDescent="0.2">
      <c r="C207" s="561"/>
      <c r="D207" s="561"/>
      <c r="E207" s="309" t="s">
        <v>901</v>
      </c>
      <c r="F207" s="408">
        <v>9.9999999999999995E-7</v>
      </c>
      <c r="G207" s="309">
        <v>1E-3</v>
      </c>
      <c r="H207" s="392">
        <v>0</v>
      </c>
      <c r="I207" s="320">
        <f>D192*F207*G207*(1-H207)</f>
        <v>1.1999999999999999E-6</v>
      </c>
      <c r="J207" s="309" t="s">
        <v>291</v>
      </c>
      <c r="K207" s="363">
        <v>0</v>
      </c>
      <c r="L207" s="396">
        <f t="shared" si="31"/>
        <v>1.1999999999999999E-6</v>
      </c>
      <c r="M207" s="258"/>
      <c r="O207" s="311" t="str">
        <f t="shared" si="35"/>
        <v>-</v>
      </c>
      <c r="P207" s="311" t="str">
        <f t="shared" si="35"/>
        <v>-</v>
      </c>
      <c r="Q207" s="311" t="str">
        <f t="shared" si="35"/>
        <v>-</v>
      </c>
      <c r="R207" s="311" t="str">
        <f t="shared" si="35"/>
        <v>-</v>
      </c>
      <c r="S207" s="311" t="str">
        <f t="shared" si="35"/>
        <v>-</v>
      </c>
      <c r="T207" s="311" t="str">
        <f t="shared" si="35"/>
        <v>-</v>
      </c>
      <c r="U207" s="311" t="str">
        <f t="shared" si="35"/>
        <v>-</v>
      </c>
      <c r="V207" s="311" t="str">
        <f t="shared" si="35"/>
        <v>-</v>
      </c>
      <c r="W207" s="311" t="str">
        <f t="shared" si="35"/>
        <v>-</v>
      </c>
      <c r="X207" s="311" t="str">
        <f t="shared" si="35"/>
        <v>-</v>
      </c>
      <c r="Y207" s="311" t="str">
        <f t="shared" si="35"/>
        <v>-</v>
      </c>
      <c r="Z207" s="311" t="str">
        <f t="shared" si="35"/>
        <v>-</v>
      </c>
      <c r="AB207" s="311" t="str">
        <f>IF($E207=AB$3,#REF!*$F207,"-")</f>
        <v>-</v>
      </c>
      <c r="AC207" s="311" t="str">
        <f>IF($E207=AC$3,#REF!*$F207,"-")</f>
        <v>-</v>
      </c>
      <c r="AD207" s="311" t="str">
        <f>IF($E207=AD$3,#REF!*$F207,"-")</f>
        <v>-</v>
      </c>
      <c r="AE207" s="311" t="str">
        <f>IF($E207=AE$3,#REF!*$F207,"-")</f>
        <v>-</v>
      </c>
      <c r="AF207" s="311" t="str">
        <f>IF($E207=AF$3,#REF!*$F207,"-")</f>
        <v>-</v>
      </c>
      <c r="AG207" s="311" t="str">
        <f>IF($E207=AG$3,#REF!*$F207,"-")</f>
        <v>-</v>
      </c>
      <c r="AH207" s="311" t="str">
        <f>IF($E207=AH$3,#REF!*$F207,"-")</f>
        <v>-</v>
      </c>
      <c r="AI207" s="311" t="str">
        <f>IF($E207=AI$3,#REF!*$F207,"-")</f>
        <v>-</v>
      </c>
      <c r="AJ207" s="311" t="str">
        <f>IF($E207=AJ$3,#REF!*$F207,"-")</f>
        <v>-</v>
      </c>
      <c r="AK207" s="311" t="str">
        <f>IF($E207=AK$3,#REF!*$F207,"-")</f>
        <v>-</v>
      </c>
      <c r="AL207" s="311" t="str">
        <f>IF($E207=AL$3,#REF!*$F207,"-")</f>
        <v>-</v>
      </c>
      <c r="AM207" s="311" t="str">
        <f>IF($E207=AM$3,#REF!*$F207,"-")</f>
        <v>-</v>
      </c>
    </row>
    <row r="208" spans="3:39" ht="14.25" x14ac:dyDescent="0.2">
      <c r="C208" s="561"/>
      <c r="D208" s="561"/>
      <c r="E208" s="309" t="s">
        <v>881</v>
      </c>
      <c r="F208" s="408">
        <v>9.9999999999999995E-7</v>
      </c>
      <c r="G208" s="309">
        <v>1E-3</v>
      </c>
      <c r="H208" s="392">
        <v>0</v>
      </c>
      <c r="I208" s="320">
        <f>D192*F208*G208*(1-H208)</f>
        <v>1.1999999999999999E-6</v>
      </c>
      <c r="J208" s="309" t="s">
        <v>291</v>
      </c>
      <c r="K208" s="363">
        <v>0</v>
      </c>
      <c r="L208" s="396">
        <f t="shared" si="31"/>
        <v>1.1999999999999999E-6</v>
      </c>
      <c r="M208" s="258"/>
      <c r="O208" s="311" t="str">
        <f t="shared" si="35"/>
        <v>-</v>
      </c>
      <c r="P208" s="311" t="str">
        <f t="shared" si="35"/>
        <v>-</v>
      </c>
      <c r="Q208" s="311" t="str">
        <f t="shared" si="35"/>
        <v>-</v>
      </c>
      <c r="R208" s="311" t="str">
        <f t="shared" si="35"/>
        <v>-</v>
      </c>
      <c r="S208" s="311">
        <f t="shared" si="35"/>
        <v>1.1999999999999999E-3</v>
      </c>
      <c r="T208" s="311" t="str">
        <f t="shared" si="35"/>
        <v>-</v>
      </c>
      <c r="U208" s="311" t="str">
        <f t="shared" si="35"/>
        <v>-</v>
      </c>
      <c r="V208" s="311" t="str">
        <f t="shared" si="35"/>
        <v>-</v>
      </c>
      <c r="W208" s="311" t="str">
        <f t="shared" si="35"/>
        <v>-</v>
      </c>
      <c r="X208" s="311" t="str">
        <f t="shared" si="35"/>
        <v>-</v>
      </c>
      <c r="Y208" s="311" t="str">
        <f t="shared" si="35"/>
        <v>-</v>
      </c>
      <c r="Z208" s="311" t="str">
        <f t="shared" si="35"/>
        <v>-</v>
      </c>
      <c r="AB208" s="311" t="str">
        <f>IF($E208=AB$3,#REF!*$F208,"-")</f>
        <v>-</v>
      </c>
      <c r="AC208" s="311" t="str">
        <f>IF($E208=AC$3,#REF!*$F208,"-")</f>
        <v>-</v>
      </c>
      <c r="AD208" s="311" t="str">
        <f>IF($E208=AD$3,#REF!*$F208,"-")</f>
        <v>-</v>
      </c>
      <c r="AE208" s="311" t="str">
        <f>IF($E208=AE$3,#REF!*$F208,"-")</f>
        <v>-</v>
      </c>
      <c r="AF208" s="311" t="e">
        <f>IF($E208=AF$3,#REF!*$F208,"-")</f>
        <v>#REF!</v>
      </c>
      <c r="AG208" s="311" t="str">
        <f>IF($E208=AG$3,#REF!*$F208,"-")</f>
        <v>-</v>
      </c>
      <c r="AH208" s="311" t="str">
        <f>IF($E208=AH$3,#REF!*$F208,"-")</f>
        <v>-</v>
      </c>
      <c r="AI208" s="311" t="str">
        <f>IF($E208=AI$3,#REF!*$F208,"-")</f>
        <v>-</v>
      </c>
      <c r="AJ208" s="311" t="str">
        <f>IF($E208=AJ$3,#REF!*$F208,"-")</f>
        <v>-</v>
      </c>
      <c r="AK208" s="311" t="str">
        <f>IF($E208=AK$3,#REF!*$F208,"-")</f>
        <v>-</v>
      </c>
      <c r="AL208" s="311" t="str">
        <f>IF($E208=AL$3,#REF!*$F208,"-")</f>
        <v>-</v>
      </c>
      <c r="AM208" s="311" t="str">
        <f>IF($E208=AM$3,#REF!*$F208,"-")</f>
        <v>-</v>
      </c>
    </row>
    <row r="209" spans="3:39" ht="14.25" x14ac:dyDescent="0.2">
      <c r="C209" s="561"/>
      <c r="D209" s="561"/>
      <c r="E209" s="309" t="s">
        <v>950</v>
      </c>
      <c r="F209" s="408">
        <v>9.9999999999999995E-7</v>
      </c>
      <c r="G209" s="309">
        <v>1E-3</v>
      </c>
      <c r="H209" s="392">
        <v>0</v>
      </c>
      <c r="I209" s="320">
        <f>D192*F209*G209*(1-H209)</f>
        <v>1.1999999999999999E-6</v>
      </c>
      <c r="J209" s="309" t="s">
        <v>291</v>
      </c>
      <c r="K209" s="363">
        <v>0</v>
      </c>
      <c r="L209" s="396">
        <f t="shared" si="31"/>
        <v>1.1999999999999999E-6</v>
      </c>
      <c r="M209" s="258"/>
      <c r="O209" s="311" t="str">
        <f t="shared" si="35"/>
        <v>-</v>
      </c>
      <c r="P209" s="311" t="str">
        <f t="shared" si="35"/>
        <v>-</v>
      </c>
      <c r="Q209" s="311" t="str">
        <f t="shared" si="35"/>
        <v>-</v>
      </c>
      <c r="R209" s="311" t="str">
        <f t="shared" si="35"/>
        <v>-</v>
      </c>
      <c r="S209" s="311" t="str">
        <f t="shared" si="35"/>
        <v>-</v>
      </c>
      <c r="T209" s="311" t="str">
        <f t="shared" si="35"/>
        <v>-</v>
      </c>
      <c r="U209" s="311" t="str">
        <f t="shared" si="35"/>
        <v>-</v>
      </c>
      <c r="V209" s="311" t="str">
        <f t="shared" si="35"/>
        <v>-</v>
      </c>
      <c r="W209" s="311" t="str">
        <f t="shared" si="35"/>
        <v>-</v>
      </c>
      <c r="X209" s="311" t="str">
        <f t="shared" si="35"/>
        <v>-</v>
      </c>
      <c r="Y209" s="311" t="str">
        <f t="shared" si="35"/>
        <v>-</v>
      </c>
      <c r="Z209" s="311" t="str">
        <f t="shared" si="35"/>
        <v>-</v>
      </c>
      <c r="AB209" s="311" t="str">
        <f>IF($E209=AB$3,#REF!*$F209,"-")</f>
        <v>-</v>
      </c>
      <c r="AC209" s="311" t="str">
        <f>IF($E209=AC$3,#REF!*$F209,"-")</f>
        <v>-</v>
      </c>
      <c r="AD209" s="311" t="str">
        <f>IF($E209=AD$3,#REF!*$F209,"-")</f>
        <v>-</v>
      </c>
      <c r="AE209" s="311" t="str">
        <f>IF($E209=AE$3,#REF!*$F209,"-")</f>
        <v>-</v>
      </c>
      <c r="AF209" s="311" t="str">
        <f>IF($E209=AF$3,#REF!*$F209,"-")</f>
        <v>-</v>
      </c>
      <c r="AG209" s="311" t="str">
        <f>IF($E209=AG$3,#REF!*$F209,"-")</f>
        <v>-</v>
      </c>
      <c r="AH209" s="311" t="str">
        <f>IF($E209=AH$3,#REF!*$F209,"-")</f>
        <v>-</v>
      </c>
      <c r="AI209" s="311" t="str">
        <f>IF($E209=AI$3,#REF!*$F209,"-")</f>
        <v>-</v>
      </c>
      <c r="AJ209" s="311" t="str">
        <f>IF($E209=AJ$3,#REF!*$F209,"-")</f>
        <v>-</v>
      </c>
      <c r="AK209" s="311" t="str">
        <f>IF($E209=AK$3,#REF!*$F209,"-")</f>
        <v>-</v>
      </c>
      <c r="AL209" s="311" t="str">
        <f>IF($E209=AL$3,#REF!*$F209,"-")</f>
        <v>-</v>
      </c>
      <c r="AM209" s="311" t="str">
        <f>IF($E209=AM$3,#REF!*$F209,"-")</f>
        <v>-</v>
      </c>
    </row>
    <row r="210" spans="3:39" ht="14.25" x14ac:dyDescent="0.2">
      <c r="C210" s="561"/>
      <c r="D210" s="561"/>
      <c r="E210" s="309" t="s">
        <v>911</v>
      </c>
      <c r="F210" s="408">
        <v>3.0000000000000004E-8</v>
      </c>
      <c r="G210" s="309">
        <v>1E-3</v>
      </c>
      <c r="H210" s="392">
        <v>0</v>
      </c>
      <c r="I210" s="320">
        <f>D192*F210*G210*(1-H210)</f>
        <v>3.6000000000000011E-8</v>
      </c>
      <c r="J210" s="309" t="s">
        <v>291</v>
      </c>
      <c r="K210" s="363">
        <v>0</v>
      </c>
      <c r="L210" s="396">
        <f t="shared" si="31"/>
        <v>3.6000000000000011E-8</v>
      </c>
      <c r="M210" s="258"/>
      <c r="O210" s="311" t="str">
        <f t="shared" si="35"/>
        <v>-</v>
      </c>
      <c r="P210" s="311" t="str">
        <f t="shared" si="35"/>
        <v>-</v>
      </c>
      <c r="Q210" s="311" t="str">
        <f t="shared" si="35"/>
        <v>-</v>
      </c>
      <c r="R210" s="311" t="str">
        <f t="shared" si="35"/>
        <v>-</v>
      </c>
      <c r="S210" s="311" t="str">
        <f t="shared" si="35"/>
        <v>-</v>
      </c>
      <c r="T210" s="311" t="str">
        <f t="shared" si="35"/>
        <v>-</v>
      </c>
      <c r="U210" s="311" t="str">
        <f t="shared" si="35"/>
        <v>-</v>
      </c>
      <c r="V210" s="311" t="str">
        <f t="shared" si="35"/>
        <v>-</v>
      </c>
      <c r="W210" s="311" t="str">
        <f t="shared" si="35"/>
        <v>-</v>
      </c>
      <c r="X210" s="311" t="str">
        <f t="shared" si="35"/>
        <v>-</v>
      </c>
      <c r="Y210" s="311" t="str">
        <f t="shared" si="35"/>
        <v>-</v>
      </c>
      <c r="Z210" s="311" t="str">
        <f t="shared" si="35"/>
        <v>-</v>
      </c>
      <c r="AB210" s="311" t="str">
        <f>IF($E210=AB$3,#REF!*$F210,"-")</f>
        <v>-</v>
      </c>
      <c r="AC210" s="311" t="str">
        <f>IF($E210=AC$3,#REF!*$F210,"-")</f>
        <v>-</v>
      </c>
      <c r="AD210" s="311" t="str">
        <f>IF($E210=AD$3,#REF!*$F210,"-")</f>
        <v>-</v>
      </c>
      <c r="AE210" s="311" t="str">
        <f>IF($E210=AE$3,#REF!*$F210,"-")</f>
        <v>-</v>
      </c>
      <c r="AF210" s="311" t="str">
        <f>IF($E210=AF$3,#REF!*$F210,"-")</f>
        <v>-</v>
      </c>
      <c r="AG210" s="311" t="str">
        <f>IF($E210=AG$3,#REF!*$F210,"-")</f>
        <v>-</v>
      </c>
      <c r="AH210" s="311" t="str">
        <f>IF($E210=AH$3,#REF!*$F210,"-")</f>
        <v>-</v>
      </c>
      <c r="AI210" s="311" t="str">
        <f>IF($E210=AI$3,#REF!*$F210,"-")</f>
        <v>-</v>
      </c>
      <c r="AJ210" s="311" t="str">
        <f>IF($E210=AJ$3,#REF!*$F210,"-")</f>
        <v>-</v>
      </c>
      <c r="AK210" s="311" t="str">
        <f>IF($E210=AK$3,#REF!*$F210,"-")</f>
        <v>-</v>
      </c>
      <c r="AL210" s="311" t="str">
        <f>IF($E210=AL$3,#REF!*$F210,"-")</f>
        <v>-</v>
      </c>
      <c r="AM210" s="311" t="str">
        <f>IF($E210=AM$3,#REF!*$F210,"-")</f>
        <v>-</v>
      </c>
    </row>
    <row r="211" spans="3:39" ht="14.25" x14ac:dyDescent="0.2">
      <c r="C211" s="561"/>
      <c r="D211" s="561"/>
      <c r="E211" s="309" t="s">
        <v>882</v>
      </c>
      <c r="F211" s="408">
        <v>5.0000000000000004E-6</v>
      </c>
      <c r="G211" s="309">
        <v>1E-3</v>
      </c>
      <c r="H211" s="392">
        <v>0</v>
      </c>
      <c r="I211" s="320">
        <f>D192*F211*G211*(1-H211)</f>
        <v>6.0000000000000002E-6</v>
      </c>
      <c r="J211" s="309" t="s">
        <v>291</v>
      </c>
      <c r="K211" s="363">
        <v>0</v>
      </c>
      <c r="L211" s="396">
        <f t="shared" si="31"/>
        <v>6.0000000000000002E-6</v>
      </c>
      <c r="M211" s="258"/>
      <c r="O211" s="311" t="str">
        <f t="shared" si="35"/>
        <v>-</v>
      </c>
      <c r="P211" s="311" t="str">
        <f t="shared" si="35"/>
        <v>-</v>
      </c>
      <c r="Q211" s="311" t="str">
        <f t="shared" si="35"/>
        <v>-</v>
      </c>
      <c r="R211" s="311" t="str">
        <f t="shared" si="35"/>
        <v>-</v>
      </c>
      <c r="S211" s="311" t="str">
        <f t="shared" si="35"/>
        <v>-</v>
      </c>
      <c r="T211" s="311">
        <f t="shared" si="35"/>
        <v>6.0000000000000001E-3</v>
      </c>
      <c r="U211" s="311" t="str">
        <f t="shared" si="35"/>
        <v>-</v>
      </c>
      <c r="V211" s="311" t="str">
        <f t="shared" si="35"/>
        <v>-</v>
      </c>
      <c r="W211" s="311" t="str">
        <f t="shared" si="35"/>
        <v>-</v>
      </c>
      <c r="X211" s="311" t="str">
        <f t="shared" si="35"/>
        <v>-</v>
      </c>
      <c r="Y211" s="311" t="str">
        <f t="shared" si="35"/>
        <v>-</v>
      </c>
      <c r="Z211" s="311" t="str">
        <f t="shared" si="35"/>
        <v>-</v>
      </c>
      <c r="AB211" s="311" t="str">
        <f>IF($E211=AB$3,#REF!*$F211,"-")</f>
        <v>-</v>
      </c>
      <c r="AC211" s="311" t="str">
        <f>IF($E211=AC$3,#REF!*$F211,"-")</f>
        <v>-</v>
      </c>
      <c r="AD211" s="311" t="str">
        <f>IF($E211=AD$3,#REF!*$F211,"-")</f>
        <v>-</v>
      </c>
      <c r="AE211" s="311" t="str">
        <f>IF($E211=AE$3,#REF!*$F211,"-")</f>
        <v>-</v>
      </c>
      <c r="AF211" s="311" t="str">
        <f>IF($E211=AF$3,#REF!*$F211,"-")</f>
        <v>-</v>
      </c>
      <c r="AG211" s="311" t="e">
        <f>IF($E211=AG$3,#REF!*$F211,"-")</f>
        <v>#REF!</v>
      </c>
      <c r="AH211" s="311" t="str">
        <f>IF($E211=AH$3,#REF!*$F211,"-")</f>
        <v>-</v>
      </c>
      <c r="AI211" s="311" t="str">
        <f>IF($E211=AI$3,#REF!*$F211,"-")</f>
        <v>-</v>
      </c>
      <c r="AJ211" s="311" t="str">
        <f>IF($E211=AJ$3,#REF!*$F211,"-")</f>
        <v>-</v>
      </c>
      <c r="AK211" s="311" t="str">
        <f>IF($E211=AK$3,#REF!*$F211,"-")</f>
        <v>-</v>
      </c>
      <c r="AL211" s="311" t="str">
        <f>IF($E211=AL$3,#REF!*$F211,"-")</f>
        <v>-</v>
      </c>
      <c r="AM211" s="311" t="str">
        <f>IF($E211=AM$3,#REF!*$F211,"-")</f>
        <v>-</v>
      </c>
    </row>
    <row r="212" spans="3:39" ht="14.25" x14ac:dyDescent="0.2">
      <c r="C212" s="561"/>
      <c r="D212" s="561"/>
      <c r="E212" s="309" t="s">
        <v>902</v>
      </c>
      <c r="F212" s="408">
        <v>9.9999999999999995E-7</v>
      </c>
      <c r="G212" s="309">
        <v>1E-3</v>
      </c>
      <c r="H212" s="392">
        <v>0</v>
      </c>
      <c r="I212" s="320">
        <f>D192*F212*G212*(1-H212)</f>
        <v>1.1999999999999999E-6</v>
      </c>
      <c r="J212" s="309" t="s">
        <v>291</v>
      </c>
      <c r="K212" s="363">
        <v>0</v>
      </c>
      <c r="L212" s="396">
        <f t="shared" si="31"/>
        <v>1.1999999999999999E-6</v>
      </c>
      <c r="M212" s="258"/>
      <c r="O212" s="311" t="str">
        <f t="shared" ref="O212:Z226" si="36">IF($E212=O$3,$D$192*$F212,"-")</f>
        <v>-</v>
      </c>
      <c r="P212" s="311" t="str">
        <f t="shared" si="36"/>
        <v>-</v>
      </c>
      <c r="Q212" s="311" t="str">
        <f t="shared" si="36"/>
        <v>-</v>
      </c>
      <c r="R212" s="311" t="str">
        <f t="shared" si="36"/>
        <v>-</v>
      </c>
      <c r="S212" s="311" t="str">
        <f t="shared" si="36"/>
        <v>-</v>
      </c>
      <c r="T212" s="311" t="str">
        <f t="shared" si="36"/>
        <v>-</v>
      </c>
      <c r="U212" s="311" t="str">
        <f t="shared" si="36"/>
        <v>-</v>
      </c>
      <c r="V212" s="311" t="str">
        <f t="shared" si="36"/>
        <v>-</v>
      </c>
      <c r="W212" s="311" t="str">
        <f t="shared" si="36"/>
        <v>-</v>
      </c>
      <c r="X212" s="311" t="str">
        <f t="shared" si="36"/>
        <v>-</v>
      </c>
      <c r="Y212" s="311" t="str">
        <f t="shared" si="36"/>
        <v>-</v>
      </c>
      <c r="Z212" s="311" t="str">
        <f t="shared" si="36"/>
        <v>-</v>
      </c>
      <c r="AB212" s="311" t="str">
        <f>IF($E212=AB$3,#REF!*$F212,"-")</f>
        <v>-</v>
      </c>
      <c r="AC212" s="311" t="str">
        <f>IF($E212=AC$3,#REF!*$F212,"-")</f>
        <v>-</v>
      </c>
      <c r="AD212" s="311" t="str">
        <f>IF($E212=AD$3,#REF!*$F212,"-")</f>
        <v>-</v>
      </c>
      <c r="AE212" s="311" t="str">
        <f>IF($E212=AE$3,#REF!*$F212,"-")</f>
        <v>-</v>
      </c>
      <c r="AF212" s="311" t="str">
        <f>IF($E212=AF$3,#REF!*$F212,"-")</f>
        <v>-</v>
      </c>
      <c r="AG212" s="311" t="str">
        <f>IF($E212=AG$3,#REF!*$F212,"-")</f>
        <v>-</v>
      </c>
      <c r="AH212" s="311" t="str">
        <f>IF($E212=AH$3,#REF!*$F212,"-")</f>
        <v>-</v>
      </c>
      <c r="AI212" s="311" t="str">
        <f>IF($E212=AI$3,#REF!*$F212,"-")</f>
        <v>-</v>
      </c>
      <c r="AJ212" s="311" t="str">
        <f>IF($E212=AJ$3,#REF!*$F212,"-")</f>
        <v>-</v>
      </c>
      <c r="AK212" s="311" t="str">
        <f>IF($E212=AK$3,#REF!*$F212,"-")</f>
        <v>-</v>
      </c>
      <c r="AL212" s="311" t="str">
        <f>IF($E212=AL$3,#REF!*$F212,"-")</f>
        <v>-</v>
      </c>
      <c r="AM212" s="311" t="str">
        <f>IF($E212=AM$3,#REF!*$F212,"-")</f>
        <v>-</v>
      </c>
    </row>
    <row r="213" spans="3:39" ht="14.25" x14ac:dyDescent="0.2">
      <c r="C213" s="561"/>
      <c r="D213" s="561"/>
      <c r="E213" s="309" t="s">
        <v>883</v>
      </c>
      <c r="F213" s="408">
        <v>1.0000000000000001E-7</v>
      </c>
      <c r="G213" s="309">
        <v>1E-3</v>
      </c>
      <c r="H213" s="392">
        <v>0</v>
      </c>
      <c r="I213" s="320">
        <f>D192*F213*G213*(1-H213)</f>
        <v>1.2000000000000002E-7</v>
      </c>
      <c r="J213" s="309" t="s">
        <v>291</v>
      </c>
      <c r="K213" s="363">
        <v>0</v>
      </c>
      <c r="L213" s="396">
        <f t="shared" si="31"/>
        <v>1.2000000000000002E-7</v>
      </c>
      <c r="M213" s="258"/>
      <c r="O213" s="311" t="str">
        <f t="shared" si="36"/>
        <v>-</v>
      </c>
      <c r="P213" s="311" t="str">
        <f t="shared" si="36"/>
        <v>-</v>
      </c>
      <c r="Q213" s="311" t="str">
        <f t="shared" si="36"/>
        <v>-</v>
      </c>
      <c r="R213" s="311" t="str">
        <f t="shared" si="36"/>
        <v>-</v>
      </c>
      <c r="S213" s="311" t="str">
        <f t="shared" si="36"/>
        <v>-</v>
      </c>
      <c r="T213" s="311" t="str">
        <f t="shared" si="36"/>
        <v>-</v>
      </c>
      <c r="U213" s="311">
        <f t="shared" si="36"/>
        <v>1.2000000000000002E-4</v>
      </c>
      <c r="V213" s="311" t="str">
        <f t="shared" si="36"/>
        <v>-</v>
      </c>
      <c r="W213" s="311" t="str">
        <f t="shared" si="36"/>
        <v>-</v>
      </c>
      <c r="X213" s="311" t="str">
        <f t="shared" si="36"/>
        <v>-</v>
      </c>
      <c r="Y213" s="311" t="str">
        <f t="shared" si="36"/>
        <v>-</v>
      </c>
      <c r="Z213" s="311" t="str">
        <f t="shared" si="36"/>
        <v>-</v>
      </c>
      <c r="AB213" s="311" t="str">
        <f>IF($E213=AB$3,#REF!*$F213,"-")</f>
        <v>-</v>
      </c>
      <c r="AC213" s="311" t="str">
        <f>IF($E213=AC$3,#REF!*$F213,"-")</f>
        <v>-</v>
      </c>
      <c r="AD213" s="311" t="str">
        <f>IF($E213=AD$3,#REF!*$F213,"-")</f>
        <v>-</v>
      </c>
      <c r="AE213" s="311" t="str">
        <f>IF($E213=AE$3,#REF!*$F213,"-")</f>
        <v>-</v>
      </c>
      <c r="AF213" s="311" t="str">
        <f>IF($E213=AF$3,#REF!*$F213,"-")</f>
        <v>-</v>
      </c>
      <c r="AG213" s="311" t="str">
        <f>IF($E213=AG$3,#REF!*$F213,"-")</f>
        <v>-</v>
      </c>
      <c r="AH213" s="311" t="e">
        <f>IF($E213=AH$3,#REF!*$F213,"-")</f>
        <v>#REF!</v>
      </c>
      <c r="AI213" s="311" t="str">
        <f>IF($E213=AI$3,#REF!*$F213,"-")</f>
        <v>-</v>
      </c>
      <c r="AJ213" s="311" t="str">
        <f>IF($E213=AJ$3,#REF!*$F213,"-")</f>
        <v>-</v>
      </c>
      <c r="AK213" s="311" t="str">
        <f>IF($E213=AK$3,#REF!*$F213,"-")</f>
        <v>-</v>
      </c>
      <c r="AL213" s="311" t="str">
        <f>IF($E213=AL$3,#REF!*$F213,"-")</f>
        <v>-</v>
      </c>
      <c r="AM213" s="311" t="str">
        <f>IF($E213=AM$3,#REF!*$F213,"-")</f>
        <v>-</v>
      </c>
    </row>
    <row r="214" spans="3:39" ht="14.25" x14ac:dyDescent="0.2">
      <c r="C214" s="561"/>
      <c r="D214" s="561"/>
      <c r="E214" s="309" t="s">
        <v>903</v>
      </c>
      <c r="F214" s="408">
        <v>1.9999999999999999E-6</v>
      </c>
      <c r="G214" s="309">
        <v>1E-3</v>
      </c>
      <c r="H214" s="392">
        <v>0</v>
      </c>
      <c r="I214" s="320">
        <f>D192*F214*G214*(1-H214)</f>
        <v>2.3999999999999999E-6</v>
      </c>
      <c r="J214" s="309" t="s">
        <v>291</v>
      </c>
      <c r="K214" s="363">
        <v>0</v>
      </c>
      <c r="L214" s="396">
        <f t="shared" si="31"/>
        <v>2.3999999999999999E-6</v>
      </c>
      <c r="M214" s="258"/>
      <c r="O214" s="311" t="str">
        <f t="shared" si="36"/>
        <v>-</v>
      </c>
      <c r="P214" s="311" t="str">
        <f t="shared" si="36"/>
        <v>-</v>
      </c>
      <c r="Q214" s="311" t="str">
        <f t="shared" si="36"/>
        <v>-</v>
      </c>
      <c r="R214" s="311" t="str">
        <f t="shared" si="36"/>
        <v>-</v>
      </c>
      <c r="S214" s="311" t="str">
        <f t="shared" si="36"/>
        <v>-</v>
      </c>
      <c r="T214" s="311" t="str">
        <f t="shared" si="36"/>
        <v>-</v>
      </c>
      <c r="U214" s="311" t="str">
        <f t="shared" si="36"/>
        <v>-</v>
      </c>
      <c r="V214" s="311" t="str">
        <f t="shared" si="36"/>
        <v>-</v>
      </c>
      <c r="W214" s="311" t="str">
        <f t="shared" si="36"/>
        <v>-</v>
      </c>
      <c r="X214" s="311" t="str">
        <f t="shared" si="36"/>
        <v>-</v>
      </c>
      <c r="Y214" s="311" t="str">
        <f t="shared" si="36"/>
        <v>-</v>
      </c>
      <c r="Z214" s="311" t="str">
        <f t="shared" si="36"/>
        <v>-</v>
      </c>
      <c r="AB214" s="311" t="str">
        <f>IF($E214=AB$3,#REF!*$F214,"-")</f>
        <v>-</v>
      </c>
      <c r="AC214" s="311" t="str">
        <f>IF($E214=AC$3,#REF!*$F214,"-")</f>
        <v>-</v>
      </c>
      <c r="AD214" s="311" t="str">
        <f>IF($E214=AD$3,#REF!*$F214,"-")</f>
        <v>-</v>
      </c>
      <c r="AE214" s="311" t="str">
        <f>IF($E214=AE$3,#REF!*$F214,"-")</f>
        <v>-</v>
      </c>
      <c r="AF214" s="311" t="str">
        <f>IF($E214=AF$3,#REF!*$F214,"-")</f>
        <v>-</v>
      </c>
      <c r="AG214" s="311" t="str">
        <f>IF($E214=AG$3,#REF!*$F214,"-")</f>
        <v>-</v>
      </c>
      <c r="AH214" s="311" t="str">
        <f>IF($E214=AH$3,#REF!*$F214,"-")</f>
        <v>-</v>
      </c>
      <c r="AI214" s="311" t="str">
        <f>IF($E214=AI$3,#REF!*$F214,"-")</f>
        <v>-</v>
      </c>
      <c r="AJ214" s="311" t="str">
        <f>IF($E214=AJ$3,#REF!*$F214,"-")</f>
        <v>-</v>
      </c>
      <c r="AK214" s="311" t="str">
        <f>IF($E214=AK$3,#REF!*$F214,"-")</f>
        <v>-</v>
      </c>
      <c r="AL214" s="311" t="str">
        <f>IF($E214=AL$3,#REF!*$F214,"-")</f>
        <v>-</v>
      </c>
      <c r="AM214" s="311" t="str">
        <f>IF($E214=AM$3,#REF!*$F214,"-")</f>
        <v>-</v>
      </c>
    </row>
    <row r="215" spans="3:39" ht="14.25" x14ac:dyDescent="0.2">
      <c r="C215" s="561"/>
      <c r="D215" s="561"/>
      <c r="E215" s="309" t="s">
        <v>904</v>
      </c>
      <c r="F215" s="408">
        <v>9.9999999999999995E-7</v>
      </c>
      <c r="G215" s="309">
        <v>1E-3</v>
      </c>
      <c r="H215" s="392">
        <v>0</v>
      </c>
      <c r="I215" s="320">
        <f>D192*F215*G215*(1-H215)</f>
        <v>1.1999999999999999E-6</v>
      </c>
      <c r="J215" s="309" t="s">
        <v>291</v>
      </c>
      <c r="K215" s="363">
        <v>0</v>
      </c>
      <c r="L215" s="396">
        <f t="shared" si="31"/>
        <v>1.1999999999999999E-6</v>
      </c>
      <c r="M215" s="258"/>
      <c r="O215" s="311" t="str">
        <f t="shared" si="36"/>
        <v>-</v>
      </c>
      <c r="P215" s="311" t="str">
        <f t="shared" si="36"/>
        <v>-</v>
      </c>
      <c r="Q215" s="311" t="str">
        <f t="shared" si="36"/>
        <v>-</v>
      </c>
      <c r="R215" s="311" t="str">
        <f t="shared" si="36"/>
        <v>-</v>
      </c>
      <c r="S215" s="311" t="str">
        <f t="shared" si="36"/>
        <v>-</v>
      </c>
      <c r="T215" s="311" t="str">
        <f t="shared" si="36"/>
        <v>-</v>
      </c>
      <c r="U215" s="311" t="str">
        <f t="shared" si="36"/>
        <v>-</v>
      </c>
      <c r="V215" s="311" t="str">
        <f t="shared" si="36"/>
        <v>-</v>
      </c>
      <c r="W215" s="311" t="str">
        <f t="shared" si="36"/>
        <v>-</v>
      </c>
      <c r="X215" s="311" t="str">
        <f t="shared" si="36"/>
        <v>-</v>
      </c>
      <c r="Y215" s="311" t="str">
        <f t="shared" si="36"/>
        <v>-</v>
      </c>
      <c r="Z215" s="311" t="str">
        <f t="shared" si="36"/>
        <v>-</v>
      </c>
      <c r="AB215" s="311" t="str">
        <f>IF($E215=AB$3,#REF!*$F215,"-")</f>
        <v>-</v>
      </c>
      <c r="AC215" s="311" t="str">
        <f>IF($E215=AC$3,#REF!*$F215,"-")</f>
        <v>-</v>
      </c>
      <c r="AD215" s="311" t="str">
        <f>IF($E215=AD$3,#REF!*$F215,"-")</f>
        <v>-</v>
      </c>
      <c r="AE215" s="311" t="str">
        <f>IF($E215=AE$3,#REF!*$F215,"-")</f>
        <v>-</v>
      </c>
      <c r="AF215" s="311" t="str">
        <f>IF($E215=AF$3,#REF!*$F215,"-")</f>
        <v>-</v>
      </c>
      <c r="AG215" s="311" t="str">
        <f>IF($E215=AG$3,#REF!*$F215,"-")</f>
        <v>-</v>
      </c>
      <c r="AH215" s="311" t="str">
        <f>IF($E215=AH$3,#REF!*$F215,"-")</f>
        <v>-</v>
      </c>
      <c r="AI215" s="311" t="str">
        <f>IF($E215=AI$3,#REF!*$F215,"-")</f>
        <v>-</v>
      </c>
      <c r="AJ215" s="311" t="str">
        <f>IF($E215=AJ$3,#REF!*$F215,"-")</f>
        <v>-</v>
      </c>
      <c r="AK215" s="311" t="str">
        <f>IF($E215=AK$3,#REF!*$F215,"-")</f>
        <v>-</v>
      </c>
      <c r="AL215" s="311" t="str">
        <f>IF($E215=AL$3,#REF!*$F215,"-")</f>
        <v>-</v>
      </c>
      <c r="AM215" s="311" t="str">
        <f>IF($E215=AM$3,#REF!*$F215,"-")</f>
        <v>-</v>
      </c>
    </row>
    <row r="216" spans="3:39" ht="14.25" x14ac:dyDescent="0.2">
      <c r="C216" s="561"/>
      <c r="D216" s="561"/>
      <c r="E216" s="309" t="s">
        <v>884</v>
      </c>
      <c r="F216" s="408">
        <v>1.9999999999999999E-6</v>
      </c>
      <c r="G216" s="309">
        <v>1E-3</v>
      </c>
      <c r="H216" s="392">
        <v>0</v>
      </c>
      <c r="I216" s="320">
        <f>D192*F216*G216*(1-H216)</f>
        <v>2.3999999999999999E-6</v>
      </c>
      <c r="J216" s="309" t="s">
        <v>291</v>
      </c>
      <c r="K216" s="363">
        <v>0</v>
      </c>
      <c r="L216" s="396">
        <f t="shared" si="31"/>
        <v>2.3999999999999999E-6</v>
      </c>
      <c r="M216" s="258"/>
      <c r="O216" s="311" t="str">
        <f t="shared" si="36"/>
        <v>-</v>
      </c>
      <c r="P216" s="311" t="str">
        <f t="shared" si="36"/>
        <v>-</v>
      </c>
      <c r="Q216" s="311" t="str">
        <f t="shared" si="36"/>
        <v>-</v>
      </c>
      <c r="R216" s="311" t="str">
        <f t="shared" si="36"/>
        <v>-</v>
      </c>
      <c r="S216" s="311" t="str">
        <f t="shared" si="36"/>
        <v>-</v>
      </c>
      <c r="T216" s="311" t="str">
        <f t="shared" si="36"/>
        <v>-</v>
      </c>
      <c r="U216" s="311" t="str">
        <f t="shared" si="36"/>
        <v>-</v>
      </c>
      <c r="V216" s="311">
        <f t="shared" si="36"/>
        <v>2.3999999999999998E-3</v>
      </c>
      <c r="W216" s="311" t="str">
        <f t="shared" si="36"/>
        <v>-</v>
      </c>
      <c r="X216" s="311" t="str">
        <f t="shared" si="36"/>
        <v>-</v>
      </c>
      <c r="Y216" s="311" t="str">
        <f t="shared" si="36"/>
        <v>-</v>
      </c>
      <c r="Z216" s="311" t="str">
        <f t="shared" si="36"/>
        <v>-</v>
      </c>
      <c r="AB216" s="311" t="str">
        <f>IF($E216=AB$3,#REF!*$F216,"-")</f>
        <v>-</v>
      </c>
      <c r="AC216" s="311" t="str">
        <f>IF($E216=AC$3,#REF!*$F216,"-")</f>
        <v>-</v>
      </c>
      <c r="AD216" s="311" t="str">
        <f>IF($E216=AD$3,#REF!*$F216,"-")</f>
        <v>-</v>
      </c>
      <c r="AE216" s="311" t="str">
        <f>IF($E216=AE$3,#REF!*$F216,"-")</f>
        <v>-</v>
      </c>
      <c r="AF216" s="311" t="str">
        <f>IF($E216=AF$3,#REF!*$F216,"-")</f>
        <v>-</v>
      </c>
      <c r="AG216" s="311" t="str">
        <f>IF($E216=AG$3,#REF!*$F216,"-")</f>
        <v>-</v>
      </c>
      <c r="AH216" s="311" t="str">
        <f>IF($E216=AH$3,#REF!*$F216,"-")</f>
        <v>-</v>
      </c>
      <c r="AI216" s="311" t="e">
        <f>IF($E216=AI$3,#REF!*$F216,"-")</f>
        <v>#REF!</v>
      </c>
      <c r="AJ216" s="311" t="str">
        <f>IF($E216=AJ$3,#REF!*$F216,"-")</f>
        <v>-</v>
      </c>
      <c r="AK216" s="311" t="str">
        <f>IF($E216=AK$3,#REF!*$F216,"-")</f>
        <v>-</v>
      </c>
      <c r="AL216" s="311" t="str">
        <f>IF($E216=AL$3,#REF!*$F216,"-")</f>
        <v>-</v>
      </c>
      <c r="AM216" s="311" t="str">
        <f>IF($E216=AM$3,#REF!*$F216,"-")</f>
        <v>-</v>
      </c>
    </row>
    <row r="217" spans="3:39" ht="14.25" x14ac:dyDescent="0.2">
      <c r="C217" s="561"/>
      <c r="D217" s="561"/>
      <c r="E217" s="309" t="s">
        <v>906</v>
      </c>
      <c r="F217" s="408">
        <v>9.9999999999999995E-7</v>
      </c>
      <c r="G217" s="309">
        <v>1E-3</v>
      </c>
      <c r="H217" s="392">
        <v>0</v>
      </c>
      <c r="I217" s="320">
        <f>D192*F217*G217*(1-H217)</f>
        <v>1.1999999999999999E-6</v>
      </c>
      <c r="J217" s="309" t="s">
        <v>291</v>
      </c>
      <c r="K217" s="363">
        <v>0</v>
      </c>
      <c r="L217" s="396">
        <f t="shared" si="31"/>
        <v>1.1999999999999999E-6</v>
      </c>
      <c r="M217" s="258"/>
      <c r="O217" s="311" t="str">
        <f t="shared" si="36"/>
        <v>-</v>
      </c>
      <c r="P217" s="311" t="str">
        <f t="shared" si="36"/>
        <v>-</v>
      </c>
      <c r="Q217" s="311" t="str">
        <f t="shared" si="36"/>
        <v>-</v>
      </c>
      <c r="R217" s="311" t="str">
        <f t="shared" si="36"/>
        <v>-</v>
      </c>
      <c r="S217" s="311" t="str">
        <f t="shared" si="36"/>
        <v>-</v>
      </c>
      <c r="T217" s="311" t="str">
        <f t="shared" si="36"/>
        <v>-</v>
      </c>
      <c r="U217" s="311" t="str">
        <f t="shared" si="36"/>
        <v>-</v>
      </c>
      <c r="V217" s="311" t="str">
        <f t="shared" si="36"/>
        <v>-</v>
      </c>
      <c r="W217" s="311" t="str">
        <f t="shared" si="36"/>
        <v>-</v>
      </c>
      <c r="X217" s="311" t="str">
        <f t="shared" si="36"/>
        <v>-</v>
      </c>
      <c r="Y217" s="311" t="str">
        <f t="shared" si="36"/>
        <v>-</v>
      </c>
      <c r="Z217" s="311" t="str">
        <f t="shared" si="36"/>
        <v>-</v>
      </c>
      <c r="AB217" s="311" t="str">
        <f>IF($E217=AB$3,#REF!*$F217,"-")</f>
        <v>-</v>
      </c>
      <c r="AC217" s="311" t="str">
        <f>IF($E217=AC$3,#REF!*$F217,"-")</f>
        <v>-</v>
      </c>
      <c r="AD217" s="311" t="str">
        <f>IF($E217=AD$3,#REF!*$F217,"-")</f>
        <v>-</v>
      </c>
      <c r="AE217" s="311" t="str">
        <f>IF($E217=AE$3,#REF!*$F217,"-")</f>
        <v>-</v>
      </c>
      <c r="AF217" s="311" t="str">
        <f>IF($E217=AF$3,#REF!*$F217,"-")</f>
        <v>-</v>
      </c>
      <c r="AG217" s="311" t="str">
        <f>IF($E217=AG$3,#REF!*$F217,"-")</f>
        <v>-</v>
      </c>
      <c r="AH217" s="311" t="str">
        <f>IF($E217=AH$3,#REF!*$F217,"-")</f>
        <v>-</v>
      </c>
      <c r="AI217" s="311" t="str">
        <f>IF($E217=AI$3,#REF!*$F217,"-")</f>
        <v>-</v>
      </c>
      <c r="AJ217" s="311" t="str">
        <f>IF($E217=AJ$3,#REF!*$F217,"-")</f>
        <v>-</v>
      </c>
      <c r="AK217" s="311" t="str">
        <f>IF($E217=AK$3,#REF!*$F217,"-")</f>
        <v>-</v>
      </c>
      <c r="AL217" s="311" t="str">
        <f>IF($E217=AL$3,#REF!*$F217,"-")</f>
        <v>-</v>
      </c>
      <c r="AM217" s="311" t="str">
        <f>IF($E217=AM$3,#REF!*$F217,"-")</f>
        <v>-</v>
      </c>
    </row>
    <row r="218" spans="3:39" ht="14.25" x14ac:dyDescent="0.2">
      <c r="C218" s="561"/>
      <c r="D218" s="561"/>
      <c r="E218" s="309" t="s">
        <v>907</v>
      </c>
      <c r="F218" s="408">
        <v>9.9999999999999995E-7</v>
      </c>
      <c r="G218" s="309">
        <v>1E-3</v>
      </c>
      <c r="H218" s="392">
        <v>0</v>
      </c>
      <c r="I218" s="320">
        <f>D192*F218*G218*(1-H218)</f>
        <v>1.1999999999999999E-6</v>
      </c>
      <c r="J218" s="309" t="s">
        <v>291</v>
      </c>
      <c r="K218" s="363">
        <v>0</v>
      </c>
      <c r="L218" s="396">
        <f t="shared" si="31"/>
        <v>1.1999999999999999E-6</v>
      </c>
      <c r="M218" s="258"/>
      <c r="O218" s="311" t="str">
        <f t="shared" si="36"/>
        <v>-</v>
      </c>
      <c r="P218" s="311" t="str">
        <f t="shared" si="36"/>
        <v>-</v>
      </c>
      <c r="Q218" s="311" t="str">
        <f t="shared" si="36"/>
        <v>-</v>
      </c>
      <c r="R218" s="311" t="str">
        <f t="shared" si="36"/>
        <v>-</v>
      </c>
      <c r="S218" s="311" t="str">
        <f t="shared" si="36"/>
        <v>-</v>
      </c>
      <c r="T218" s="311" t="str">
        <f t="shared" si="36"/>
        <v>-</v>
      </c>
      <c r="U218" s="311" t="str">
        <f t="shared" si="36"/>
        <v>-</v>
      </c>
      <c r="V218" s="311" t="str">
        <f t="shared" si="36"/>
        <v>-</v>
      </c>
      <c r="W218" s="311" t="str">
        <f t="shared" si="36"/>
        <v>-</v>
      </c>
      <c r="X218" s="311" t="str">
        <f t="shared" si="36"/>
        <v>-</v>
      </c>
      <c r="Y218" s="311" t="str">
        <f t="shared" si="36"/>
        <v>-</v>
      </c>
      <c r="Z218" s="311" t="str">
        <f t="shared" si="36"/>
        <v>-</v>
      </c>
      <c r="AB218" s="311" t="str">
        <f>IF($E218=AB$3,#REF!*$F218,"-")</f>
        <v>-</v>
      </c>
      <c r="AC218" s="311" t="str">
        <f>IF($E218=AC$3,#REF!*$F218,"-")</f>
        <v>-</v>
      </c>
      <c r="AD218" s="311" t="str">
        <f>IF($E218=AD$3,#REF!*$F218,"-")</f>
        <v>-</v>
      </c>
      <c r="AE218" s="311" t="str">
        <f>IF($E218=AE$3,#REF!*$F218,"-")</f>
        <v>-</v>
      </c>
      <c r="AF218" s="311" t="str">
        <f>IF($E218=AF$3,#REF!*$F218,"-")</f>
        <v>-</v>
      </c>
      <c r="AG218" s="311" t="str">
        <f>IF($E218=AG$3,#REF!*$F218,"-")</f>
        <v>-</v>
      </c>
      <c r="AH218" s="311" t="str">
        <f>IF($E218=AH$3,#REF!*$F218,"-")</f>
        <v>-</v>
      </c>
      <c r="AI218" s="311" t="str">
        <f>IF($E218=AI$3,#REF!*$F218,"-")</f>
        <v>-</v>
      </c>
      <c r="AJ218" s="311" t="str">
        <f>IF($E218=AJ$3,#REF!*$F218,"-")</f>
        <v>-</v>
      </c>
      <c r="AK218" s="311" t="str">
        <f>IF($E218=AK$3,#REF!*$F218,"-")</f>
        <v>-</v>
      </c>
      <c r="AL218" s="311" t="str">
        <f>IF($E218=AL$3,#REF!*$F218,"-")</f>
        <v>-</v>
      </c>
      <c r="AM218" s="311" t="str">
        <f>IF($E218=AM$3,#REF!*$F218,"-")</f>
        <v>-</v>
      </c>
    </row>
    <row r="219" spans="3:39" ht="14.25" x14ac:dyDescent="0.2">
      <c r="C219" s="561"/>
      <c r="D219" s="561"/>
      <c r="E219" s="309" t="s">
        <v>908</v>
      </c>
      <c r="F219" s="408">
        <v>9.9999999999999995E-7</v>
      </c>
      <c r="G219" s="309">
        <v>1E-3</v>
      </c>
      <c r="H219" s="392">
        <v>0</v>
      </c>
      <c r="I219" s="320">
        <f>D192*F219*G219*(1-H219)</f>
        <v>1.1999999999999999E-6</v>
      </c>
      <c r="J219" s="309" t="s">
        <v>291</v>
      </c>
      <c r="K219" s="363">
        <v>0</v>
      </c>
      <c r="L219" s="396">
        <f t="shared" si="31"/>
        <v>1.1999999999999999E-6</v>
      </c>
      <c r="M219" s="258"/>
      <c r="O219" s="311" t="str">
        <f t="shared" si="36"/>
        <v>-</v>
      </c>
      <c r="P219" s="311" t="str">
        <f t="shared" si="36"/>
        <v>-</v>
      </c>
      <c r="Q219" s="311" t="str">
        <f t="shared" si="36"/>
        <v>-</v>
      </c>
      <c r="R219" s="311" t="str">
        <f t="shared" si="36"/>
        <v>-</v>
      </c>
      <c r="S219" s="311" t="str">
        <f t="shared" si="36"/>
        <v>-</v>
      </c>
      <c r="T219" s="311" t="str">
        <f t="shared" si="36"/>
        <v>-</v>
      </c>
      <c r="U219" s="311" t="str">
        <f t="shared" si="36"/>
        <v>-</v>
      </c>
      <c r="V219" s="311" t="str">
        <f t="shared" si="36"/>
        <v>-</v>
      </c>
      <c r="W219" s="311" t="str">
        <f t="shared" si="36"/>
        <v>-</v>
      </c>
      <c r="X219" s="311" t="str">
        <f t="shared" si="36"/>
        <v>-</v>
      </c>
      <c r="Y219" s="311" t="str">
        <f t="shared" si="36"/>
        <v>-</v>
      </c>
      <c r="Z219" s="311" t="str">
        <f t="shared" si="36"/>
        <v>-</v>
      </c>
      <c r="AB219" s="311" t="str">
        <f>IF($E219=AB$3,#REF!*$F219,"-")</f>
        <v>-</v>
      </c>
      <c r="AC219" s="311" t="str">
        <f>IF($E219=AC$3,#REF!*$F219,"-")</f>
        <v>-</v>
      </c>
      <c r="AD219" s="311" t="str">
        <f>IF($E219=AD$3,#REF!*$F219,"-")</f>
        <v>-</v>
      </c>
      <c r="AE219" s="311" t="str">
        <f>IF($E219=AE$3,#REF!*$F219,"-")</f>
        <v>-</v>
      </c>
      <c r="AF219" s="311" t="str">
        <f>IF($E219=AF$3,#REF!*$F219,"-")</f>
        <v>-</v>
      </c>
      <c r="AG219" s="311" t="str">
        <f>IF($E219=AG$3,#REF!*$F219,"-")</f>
        <v>-</v>
      </c>
      <c r="AH219" s="311" t="str">
        <f>IF($E219=AH$3,#REF!*$F219,"-")</f>
        <v>-</v>
      </c>
      <c r="AI219" s="311" t="str">
        <f>IF($E219=AI$3,#REF!*$F219,"-")</f>
        <v>-</v>
      </c>
      <c r="AJ219" s="311" t="str">
        <f>IF($E219=AJ$3,#REF!*$F219,"-")</f>
        <v>-</v>
      </c>
      <c r="AK219" s="311" t="str">
        <f>IF($E219=AK$3,#REF!*$F219,"-")</f>
        <v>-</v>
      </c>
      <c r="AL219" s="311" t="str">
        <f>IF($E219=AL$3,#REF!*$F219,"-")</f>
        <v>-</v>
      </c>
      <c r="AM219" s="311" t="str">
        <f>IF($E219=AM$3,#REF!*$F219,"-")</f>
        <v>-</v>
      </c>
    </row>
    <row r="220" spans="3:39" ht="14.25" x14ac:dyDescent="0.2">
      <c r="C220" s="561"/>
      <c r="D220" s="561"/>
      <c r="E220" s="309" t="s">
        <v>887</v>
      </c>
      <c r="F220" s="408">
        <v>5.0000000000000003E-10</v>
      </c>
      <c r="G220" s="309">
        <v>1E-3</v>
      </c>
      <c r="H220" s="392">
        <v>0</v>
      </c>
      <c r="I220" s="320">
        <f>D192*F220*G220*(1-H220)</f>
        <v>6.000000000000001E-10</v>
      </c>
      <c r="J220" s="309" t="s">
        <v>291</v>
      </c>
      <c r="K220" s="363">
        <v>0</v>
      </c>
      <c r="L220" s="396">
        <f t="shared" si="31"/>
        <v>6.000000000000001E-10</v>
      </c>
      <c r="M220" s="258"/>
      <c r="O220" s="311" t="str">
        <f t="shared" si="36"/>
        <v>-</v>
      </c>
      <c r="P220" s="311" t="str">
        <f t="shared" si="36"/>
        <v>-</v>
      </c>
      <c r="Q220" s="311" t="str">
        <f t="shared" si="36"/>
        <v>-</v>
      </c>
      <c r="R220" s="311" t="str">
        <f t="shared" si="36"/>
        <v>-</v>
      </c>
      <c r="S220" s="311" t="str">
        <f t="shared" si="36"/>
        <v>-</v>
      </c>
      <c r="T220" s="311" t="str">
        <f t="shared" si="36"/>
        <v>-</v>
      </c>
      <c r="U220" s="311" t="str">
        <f t="shared" si="36"/>
        <v>-</v>
      </c>
      <c r="V220" s="311" t="str">
        <f t="shared" si="36"/>
        <v>-</v>
      </c>
      <c r="W220" s="311" t="str">
        <f t="shared" si="36"/>
        <v>-</v>
      </c>
      <c r="X220" s="311" t="str">
        <f t="shared" si="36"/>
        <v>-</v>
      </c>
      <c r="Y220" s="311">
        <f t="shared" si="36"/>
        <v>6.0000000000000008E-7</v>
      </c>
      <c r="Z220" s="311" t="str">
        <f t="shared" si="36"/>
        <v>-</v>
      </c>
      <c r="AB220" s="311" t="str">
        <f>IF($E220=AB$3,#REF!*$F220,"-")</f>
        <v>-</v>
      </c>
      <c r="AC220" s="311" t="str">
        <f>IF($E220=AC$3,#REF!*$F220,"-")</f>
        <v>-</v>
      </c>
      <c r="AD220" s="311" t="str">
        <f>IF($E220=AD$3,#REF!*$F220,"-")</f>
        <v>-</v>
      </c>
      <c r="AE220" s="311" t="str">
        <f>IF($E220=AE$3,#REF!*$F220,"-")</f>
        <v>-</v>
      </c>
      <c r="AF220" s="311" t="str">
        <f>IF($E220=AF$3,#REF!*$F220,"-")</f>
        <v>-</v>
      </c>
      <c r="AG220" s="311" t="str">
        <f>IF($E220=AG$3,#REF!*$F220,"-")</f>
        <v>-</v>
      </c>
      <c r="AH220" s="311" t="str">
        <f>IF($E220=AH$3,#REF!*$F220,"-")</f>
        <v>-</v>
      </c>
      <c r="AI220" s="311" t="str">
        <f>IF($E220=AI$3,#REF!*$F220,"-")</f>
        <v>-</v>
      </c>
      <c r="AJ220" s="311" t="str">
        <f>IF($E220=AJ$3,#REF!*$F220,"-")</f>
        <v>-</v>
      </c>
      <c r="AK220" s="311" t="str">
        <f>IF($E220=AK$3,#REF!*$F220,"-")</f>
        <v>-</v>
      </c>
      <c r="AL220" s="311" t="e">
        <f>IF($E220=AL$3,#REF!*$F220,"-")</f>
        <v>#REF!</v>
      </c>
      <c r="AM220" s="311" t="str">
        <f>IF($E220=AM$3,#REF!*$F220,"-")</f>
        <v>-</v>
      </c>
    </row>
    <row r="221" spans="3:39" ht="14.25" x14ac:dyDescent="0.2">
      <c r="C221" s="561"/>
      <c r="D221" s="561"/>
      <c r="E221" s="309" t="s">
        <v>905</v>
      </c>
      <c r="F221" s="408">
        <v>5.0000000000000003E-10</v>
      </c>
      <c r="G221" s="309">
        <v>1E-3</v>
      </c>
      <c r="H221" s="392">
        <v>0</v>
      </c>
      <c r="I221" s="320">
        <f>D192*F221*G221*(1-H221)</f>
        <v>6.000000000000001E-10</v>
      </c>
      <c r="J221" s="309" t="s">
        <v>291</v>
      </c>
      <c r="K221" s="363">
        <v>0</v>
      </c>
      <c r="L221" s="396">
        <f t="shared" si="31"/>
        <v>6.000000000000001E-10</v>
      </c>
      <c r="M221" s="258"/>
      <c r="O221" s="311" t="str">
        <f t="shared" si="36"/>
        <v>-</v>
      </c>
      <c r="P221" s="311" t="str">
        <f t="shared" si="36"/>
        <v>-</v>
      </c>
      <c r="Q221" s="311" t="str">
        <f t="shared" si="36"/>
        <v>-</v>
      </c>
      <c r="R221" s="311" t="str">
        <f t="shared" si="36"/>
        <v>-</v>
      </c>
      <c r="S221" s="311" t="str">
        <f t="shared" si="36"/>
        <v>-</v>
      </c>
      <c r="T221" s="311" t="str">
        <f t="shared" si="36"/>
        <v>-</v>
      </c>
      <c r="U221" s="311" t="str">
        <f t="shared" si="36"/>
        <v>-</v>
      </c>
      <c r="V221" s="311" t="str">
        <f t="shared" si="36"/>
        <v>-</v>
      </c>
      <c r="W221" s="311" t="str">
        <f t="shared" si="36"/>
        <v>-</v>
      </c>
      <c r="X221" s="311" t="str">
        <f t="shared" si="36"/>
        <v>-</v>
      </c>
      <c r="Y221" s="311" t="str">
        <f t="shared" si="36"/>
        <v>-</v>
      </c>
      <c r="Z221" s="311" t="str">
        <f t="shared" si="36"/>
        <v>-</v>
      </c>
      <c r="AB221" s="311" t="str">
        <f>IF($E221=AB$3,#REF!*$F221,"-")</f>
        <v>-</v>
      </c>
      <c r="AC221" s="311" t="str">
        <f>IF($E221=AC$3,#REF!*$F221,"-")</f>
        <v>-</v>
      </c>
      <c r="AD221" s="311" t="str">
        <f>IF($E221=AD$3,#REF!*$F221,"-")</f>
        <v>-</v>
      </c>
      <c r="AE221" s="311" t="str">
        <f>IF($E221=AE$3,#REF!*$F221,"-")</f>
        <v>-</v>
      </c>
      <c r="AF221" s="311" t="str">
        <f>IF($E221=AF$3,#REF!*$F221,"-")</f>
        <v>-</v>
      </c>
      <c r="AG221" s="311" t="str">
        <f>IF($E221=AG$3,#REF!*$F221,"-")</f>
        <v>-</v>
      </c>
      <c r="AH221" s="311" t="str">
        <f>IF($E221=AH$3,#REF!*$F221,"-")</f>
        <v>-</v>
      </c>
      <c r="AI221" s="311" t="str">
        <f>IF($E221=AI$3,#REF!*$F221,"-")</f>
        <v>-</v>
      </c>
      <c r="AJ221" s="311" t="str">
        <f>IF($E221=AJ$3,#REF!*$F221,"-")</f>
        <v>-</v>
      </c>
      <c r="AK221" s="311" t="str">
        <f>IF($E221=AK$3,#REF!*$F221,"-")</f>
        <v>-</v>
      </c>
      <c r="AL221" s="311" t="str">
        <f>IF($E221=AL$3,#REF!*$F221,"-")</f>
        <v>-</v>
      </c>
      <c r="AM221" s="311" t="str">
        <f>IF($E221=AM$3,#REF!*$F221,"-")</f>
        <v>-</v>
      </c>
    </row>
    <row r="222" spans="3:39" ht="14.25" x14ac:dyDescent="0.2">
      <c r="C222" s="561"/>
      <c r="D222" s="561"/>
      <c r="E222" s="309" t="s">
        <v>912</v>
      </c>
      <c r="F222" s="408">
        <v>3.0000000000000001E-5</v>
      </c>
      <c r="G222" s="309">
        <v>1E-3</v>
      </c>
      <c r="H222" s="392">
        <v>0</v>
      </c>
      <c r="I222" s="320">
        <f>D192*F222*G222*(1-H222)</f>
        <v>3.6000000000000008E-5</v>
      </c>
      <c r="J222" s="309" t="s">
        <v>291</v>
      </c>
      <c r="K222" s="363">
        <v>0</v>
      </c>
      <c r="L222" s="396">
        <f t="shared" si="31"/>
        <v>3.6000000000000008E-5</v>
      </c>
      <c r="M222" s="258"/>
      <c r="O222" s="311" t="str">
        <f t="shared" si="36"/>
        <v>-</v>
      </c>
      <c r="P222" s="311" t="str">
        <f t="shared" si="36"/>
        <v>-</v>
      </c>
      <c r="Q222" s="311" t="str">
        <f t="shared" si="36"/>
        <v>-</v>
      </c>
      <c r="R222" s="311" t="str">
        <f t="shared" si="36"/>
        <v>-</v>
      </c>
      <c r="S222" s="311" t="str">
        <f t="shared" si="36"/>
        <v>-</v>
      </c>
      <c r="T222" s="311" t="str">
        <f t="shared" si="36"/>
        <v>-</v>
      </c>
      <c r="U222" s="311" t="str">
        <f t="shared" si="36"/>
        <v>-</v>
      </c>
      <c r="V222" s="311" t="str">
        <f t="shared" si="36"/>
        <v>-</v>
      </c>
      <c r="W222" s="311" t="str">
        <f t="shared" si="36"/>
        <v>-</v>
      </c>
      <c r="X222" s="311" t="str">
        <f t="shared" si="36"/>
        <v>-</v>
      </c>
      <c r="Y222" s="311" t="str">
        <f t="shared" si="36"/>
        <v>-</v>
      </c>
      <c r="Z222" s="311" t="str">
        <f t="shared" si="36"/>
        <v>-</v>
      </c>
      <c r="AB222" s="311" t="str">
        <f>IF($E222=AB$3,#REF!*$F222,"-")</f>
        <v>-</v>
      </c>
      <c r="AC222" s="311" t="str">
        <f>IF($E222=AC$3,#REF!*$F222,"-")</f>
        <v>-</v>
      </c>
      <c r="AD222" s="311" t="str">
        <f>IF($E222=AD$3,#REF!*$F222,"-")</f>
        <v>-</v>
      </c>
      <c r="AE222" s="311" t="str">
        <f>IF($E222=AE$3,#REF!*$F222,"-")</f>
        <v>-</v>
      </c>
      <c r="AF222" s="311" t="str">
        <f>IF($E222=AF$3,#REF!*$F222,"-")</f>
        <v>-</v>
      </c>
      <c r="AG222" s="311" t="str">
        <f>IF($E222=AG$3,#REF!*$F222,"-")</f>
        <v>-</v>
      </c>
      <c r="AH222" s="311" t="str">
        <f>IF($E222=AH$3,#REF!*$F222,"-")</f>
        <v>-</v>
      </c>
      <c r="AI222" s="311" t="str">
        <f>IF($E222=AI$3,#REF!*$F222,"-")</f>
        <v>-</v>
      </c>
      <c r="AJ222" s="311" t="str">
        <f>IF($E222=AJ$3,#REF!*$F222,"-")</f>
        <v>-</v>
      </c>
      <c r="AK222" s="311" t="str">
        <f>IF($E222=AK$3,#REF!*$F222,"-")</f>
        <v>-</v>
      </c>
      <c r="AL222" s="311" t="str">
        <f>IF($E222=AL$3,#REF!*$F222,"-")</f>
        <v>-</v>
      </c>
      <c r="AM222" s="311" t="str">
        <f>IF($E222=AM$3,#REF!*$F222,"-")</f>
        <v>-</v>
      </c>
    </row>
    <row r="223" spans="3:39" ht="14.25" x14ac:dyDescent="0.2">
      <c r="C223" s="561"/>
      <c r="D223" s="561"/>
      <c r="E223" s="309" t="s">
        <v>913</v>
      </c>
      <c r="F223" s="408">
        <v>1.0000000000000001E-5</v>
      </c>
      <c r="G223" s="309">
        <v>1E-3</v>
      </c>
      <c r="H223" s="392">
        <v>0</v>
      </c>
      <c r="I223" s="320">
        <f>D192*F223*G223*(1-H223)</f>
        <v>1.2E-5</v>
      </c>
      <c r="J223" s="309" t="s">
        <v>291</v>
      </c>
      <c r="K223" s="363">
        <v>0</v>
      </c>
      <c r="L223" s="396">
        <f t="shared" si="31"/>
        <v>1.2E-5</v>
      </c>
      <c r="M223" s="258"/>
      <c r="O223" s="311" t="str">
        <f t="shared" si="36"/>
        <v>-</v>
      </c>
      <c r="P223" s="311" t="str">
        <f t="shared" si="36"/>
        <v>-</v>
      </c>
      <c r="Q223" s="311" t="str">
        <f t="shared" si="36"/>
        <v>-</v>
      </c>
      <c r="R223" s="311" t="str">
        <f t="shared" si="36"/>
        <v>-</v>
      </c>
      <c r="S223" s="311" t="str">
        <f t="shared" si="36"/>
        <v>-</v>
      </c>
      <c r="T223" s="311" t="str">
        <f t="shared" si="36"/>
        <v>-</v>
      </c>
      <c r="U223" s="311" t="str">
        <f t="shared" si="36"/>
        <v>-</v>
      </c>
      <c r="V223" s="311" t="str">
        <f t="shared" si="36"/>
        <v>-</v>
      </c>
      <c r="W223" s="311" t="str">
        <f t="shared" si="36"/>
        <v>-</v>
      </c>
      <c r="X223" s="311" t="str">
        <f t="shared" si="36"/>
        <v>-</v>
      </c>
      <c r="Y223" s="311" t="str">
        <f t="shared" si="36"/>
        <v>-</v>
      </c>
      <c r="Z223" s="311" t="str">
        <f t="shared" si="36"/>
        <v>-</v>
      </c>
      <c r="AB223" s="311" t="str">
        <f>IF($E223=AB$3,#REF!*$F223,"-")</f>
        <v>-</v>
      </c>
      <c r="AC223" s="311" t="str">
        <f>IF($E223=AC$3,#REF!*$F223,"-")</f>
        <v>-</v>
      </c>
      <c r="AD223" s="311" t="str">
        <f>IF($E223=AD$3,#REF!*$F223,"-")</f>
        <v>-</v>
      </c>
      <c r="AE223" s="311" t="str">
        <f>IF($E223=AE$3,#REF!*$F223,"-")</f>
        <v>-</v>
      </c>
      <c r="AF223" s="311" t="str">
        <f>IF($E223=AF$3,#REF!*$F223,"-")</f>
        <v>-</v>
      </c>
      <c r="AG223" s="311" t="str">
        <f>IF($E223=AG$3,#REF!*$F223,"-")</f>
        <v>-</v>
      </c>
      <c r="AH223" s="311" t="str">
        <f>IF($E223=AH$3,#REF!*$F223,"-")</f>
        <v>-</v>
      </c>
      <c r="AI223" s="311" t="str">
        <f>IF($E223=AI$3,#REF!*$F223,"-")</f>
        <v>-</v>
      </c>
      <c r="AJ223" s="311" t="str">
        <f>IF($E223=AJ$3,#REF!*$F223,"-")</f>
        <v>-</v>
      </c>
      <c r="AK223" s="311" t="str">
        <f>IF($E223=AK$3,#REF!*$F223,"-")</f>
        <v>-</v>
      </c>
      <c r="AL223" s="311" t="str">
        <f>IF($E223=AL$3,#REF!*$F223,"-")</f>
        <v>-</v>
      </c>
      <c r="AM223" s="311" t="str">
        <f>IF($E223=AM$3,#REF!*$F223,"-")</f>
        <v>-</v>
      </c>
    </row>
    <row r="224" spans="3:39" ht="14.25" x14ac:dyDescent="0.2">
      <c r="C224" s="561"/>
      <c r="D224" s="561"/>
      <c r="E224" s="309" t="s">
        <v>914</v>
      </c>
      <c r="F224" s="408">
        <v>3.0000000000000001E-5</v>
      </c>
      <c r="G224" s="309">
        <v>1E-3</v>
      </c>
      <c r="H224" s="392">
        <v>0</v>
      </c>
      <c r="I224" s="320">
        <f>D192*F224*G224*(1-H224)</f>
        <v>3.6000000000000008E-5</v>
      </c>
      <c r="J224" s="309" t="s">
        <v>291</v>
      </c>
      <c r="K224" s="363">
        <v>0</v>
      </c>
      <c r="L224" s="396">
        <f t="shared" si="31"/>
        <v>3.6000000000000008E-5</v>
      </c>
      <c r="M224" s="258"/>
      <c r="O224" s="311" t="str">
        <f t="shared" si="36"/>
        <v>-</v>
      </c>
      <c r="P224" s="311" t="str">
        <f t="shared" si="36"/>
        <v>-</v>
      </c>
      <c r="Q224" s="311" t="str">
        <f t="shared" si="36"/>
        <v>-</v>
      </c>
      <c r="R224" s="311" t="str">
        <f t="shared" si="36"/>
        <v>-</v>
      </c>
      <c r="S224" s="311" t="str">
        <f t="shared" si="36"/>
        <v>-</v>
      </c>
      <c r="T224" s="311" t="str">
        <f t="shared" si="36"/>
        <v>-</v>
      </c>
      <c r="U224" s="311" t="str">
        <f t="shared" si="36"/>
        <v>-</v>
      </c>
      <c r="V224" s="311" t="str">
        <f t="shared" si="36"/>
        <v>-</v>
      </c>
      <c r="W224" s="311" t="str">
        <f t="shared" si="36"/>
        <v>-</v>
      </c>
      <c r="X224" s="311" t="str">
        <f t="shared" si="36"/>
        <v>-</v>
      </c>
      <c r="Y224" s="311" t="str">
        <f t="shared" si="36"/>
        <v>-</v>
      </c>
      <c r="Z224" s="311" t="str">
        <f t="shared" si="36"/>
        <v>-</v>
      </c>
      <c r="AB224" s="311" t="str">
        <f>IF($E224=AB$3,#REF!*$F224,"-")</f>
        <v>-</v>
      </c>
      <c r="AC224" s="311" t="str">
        <f>IF($E224=AC$3,#REF!*$F224,"-")</f>
        <v>-</v>
      </c>
      <c r="AD224" s="311" t="str">
        <f>IF($E224=AD$3,#REF!*$F224,"-")</f>
        <v>-</v>
      </c>
      <c r="AE224" s="311" t="str">
        <f>IF($E224=AE$3,#REF!*$F224,"-")</f>
        <v>-</v>
      </c>
      <c r="AF224" s="311" t="str">
        <f>IF($E224=AF$3,#REF!*$F224,"-")</f>
        <v>-</v>
      </c>
      <c r="AG224" s="311" t="str">
        <f>IF($E224=AG$3,#REF!*$F224,"-")</f>
        <v>-</v>
      </c>
      <c r="AH224" s="311" t="str">
        <f>IF($E224=AH$3,#REF!*$F224,"-")</f>
        <v>-</v>
      </c>
      <c r="AI224" s="311" t="str">
        <f>IF($E224=AI$3,#REF!*$F224,"-")</f>
        <v>-</v>
      </c>
      <c r="AJ224" s="311" t="str">
        <f>IF($E224=AJ$3,#REF!*$F224,"-")</f>
        <v>-</v>
      </c>
      <c r="AK224" s="311" t="str">
        <f>IF($E224=AK$3,#REF!*$F224,"-")</f>
        <v>-</v>
      </c>
      <c r="AL224" s="311" t="str">
        <f>IF($E224=AL$3,#REF!*$F224,"-")</f>
        <v>-</v>
      </c>
      <c r="AM224" s="311" t="str">
        <f>IF($E224=AM$3,#REF!*$F224,"-")</f>
        <v>-</v>
      </c>
    </row>
    <row r="225" spans="3:39" ht="14.25" x14ac:dyDescent="0.2">
      <c r="C225" s="561"/>
      <c r="D225" s="561"/>
      <c r="E225" s="309" t="s">
        <v>915</v>
      </c>
      <c r="F225" s="408">
        <v>3.0000000000000003E-4</v>
      </c>
      <c r="G225" s="309">
        <v>1E-3</v>
      </c>
      <c r="H225" s="392">
        <v>0</v>
      </c>
      <c r="I225" s="320">
        <f>D192*F225*G225*(1-H225)</f>
        <v>3.6000000000000002E-4</v>
      </c>
      <c r="J225" s="309" t="s">
        <v>291</v>
      </c>
      <c r="K225" s="363">
        <v>0</v>
      </c>
      <c r="L225" s="396">
        <f t="shared" ref="L225:L226" si="37">I225*(1-K225)</f>
        <v>3.6000000000000002E-4</v>
      </c>
      <c r="M225" s="258"/>
      <c r="O225" s="311" t="str">
        <f t="shared" si="36"/>
        <v>-</v>
      </c>
      <c r="P225" s="311" t="str">
        <f t="shared" si="36"/>
        <v>-</v>
      </c>
      <c r="Q225" s="311" t="str">
        <f t="shared" si="36"/>
        <v>-</v>
      </c>
      <c r="R225" s="311" t="str">
        <f t="shared" si="36"/>
        <v>-</v>
      </c>
      <c r="S225" s="311" t="str">
        <f t="shared" si="36"/>
        <v>-</v>
      </c>
      <c r="T225" s="311" t="str">
        <f t="shared" si="36"/>
        <v>-</v>
      </c>
      <c r="U225" s="311" t="str">
        <f t="shared" si="36"/>
        <v>-</v>
      </c>
      <c r="V225" s="311" t="str">
        <f t="shared" si="36"/>
        <v>-</v>
      </c>
      <c r="W225" s="311" t="str">
        <f t="shared" si="36"/>
        <v>-</v>
      </c>
      <c r="X225" s="311" t="str">
        <f t="shared" si="36"/>
        <v>-</v>
      </c>
      <c r="Y225" s="311" t="str">
        <f t="shared" si="36"/>
        <v>-</v>
      </c>
      <c r="Z225" s="311" t="str">
        <f t="shared" si="36"/>
        <v>-</v>
      </c>
      <c r="AB225" s="311" t="str">
        <f>IF($E225=AB$3,#REF!*$F225,"-")</f>
        <v>-</v>
      </c>
      <c r="AC225" s="311" t="str">
        <f>IF($E225=AC$3,#REF!*$F225,"-")</f>
        <v>-</v>
      </c>
      <c r="AD225" s="311" t="str">
        <f>IF($E225=AD$3,#REF!*$F225,"-")</f>
        <v>-</v>
      </c>
      <c r="AE225" s="311" t="str">
        <f>IF($E225=AE$3,#REF!*$F225,"-")</f>
        <v>-</v>
      </c>
      <c r="AF225" s="311" t="str">
        <f>IF($E225=AF$3,#REF!*$F225,"-")</f>
        <v>-</v>
      </c>
      <c r="AG225" s="311" t="str">
        <f>IF($E225=AG$3,#REF!*$F225,"-")</f>
        <v>-</v>
      </c>
      <c r="AH225" s="311" t="str">
        <f>IF($E225=AH$3,#REF!*$F225,"-")</f>
        <v>-</v>
      </c>
      <c r="AI225" s="311" t="str">
        <f>IF($E225=AI$3,#REF!*$F225,"-")</f>
        <v>-</v>
      </c>
      <c r="AJ225" s="311" t="str">
        <f>IF($E225=AJ$3,#REF!*$F225,"-")</f>
        <v>-</v>
      </c>
      <c r="AK225" s="311" t="str">
        <f>IF($E225=AK$3,#REF!*$F225,"-")</f>
        <v>-</v>
      </c>
      <c r="AL225" s="311" t="str">
        <f>IF($E225=AL$3,#REF!*$F225,"-")</f>
        <v>-</v>
      </c>
      <c r="AM225" s="311" t="str">
        <f>IF($E225=AM$3,#REF!*$F225,"-")</f>
        <v>-</v>
      </c>
    </row>
    <row r="226" spans="3:39" ht="14.25" x14ac:dyDescent="0.2">
      <c r="C226" s="554"/>
      <c r="D226" s="554"/>
      <c r="E226" s="309" t="s">
        <v>916</v>
      </c>
      <c r="F226" s="408">
        <v>1.0000000000000001E-5</v>
      </c>
      <c r="G226" s="309">
        <v>1E-3</v>
      </c>
      <c r="H226" s="392">
        <v>0</v>
      </c>
      <c r="I226" s="320">
        <f>D192*F226*G226*(1-H226)</f>
        <v>1.2E-5</v>
      </c>
      <c r="J226" s="309" t="s">
        <v>291</v>
      </c>
      <c r="K226" s="363">
        <v>0</v>
      </c>
      <c r="L226" s="396">
        <f t="shared" si="37"/>
        <v>1.2E-5</v>
      </c>
      <c r="M226" s="258"/>
      <c r="O226" s="311" t="str">
        <f t="shared" si="36"/>
        <v>-</v>
      </c>
      <c r="P226" s="311" t="str">
        <f t="shared" si="36"/>
        <v>-</v>
      </c>
      <c r="Q226" s="311" t="str">
        <f t="shared" si="36"/>
        <v>-</v>
      </c>
      <c r="R226" s="311" t="str">
        <f t="shared" si="36"/>
        <v>-</v>
      </c>
      <c r="S226" s="311" t="str">
        <f t="shared" si="36"/>
        <v>-</v>
      </c>
      <c r="T226" s="311" t="str">
        <f t="shared" si="36"/>
        <v>-</v>
      </c>
      <c r="U226" s="311" t="str">
        <f t="shared" si="36"/>
        <v>-</v>
      </c>
      <c r="V226" s="311" t="str">
        <f t="shared" si="36"/>
        <v>-</v>
      </c>
      <c r="W226" s="311" t="str">
        <f t="shared" si="36"/>
        <v>-</v>
      </c>
      <c r="X226" s="311" t="str">
        <f t="shared" si="36"/>
        <v>-</v>
      </c>
      <c r="Y226" s="311" t="str">
        <f t="shared" si="36"/>
        <v>-</v>
      </c>
      <c r="Z226" s="311" t="str">
        <f t="shared" si="36"/>
        <v>-</v>
      </c>
      <c r="AB226" s="311" t="str">
        <f>IF($E226=AB$3,#REF!*$F226,"-")</f>
        <v>-</v>
      </c>
      <c r="AC226" s="311" t="str">
        <f>IF($E226=AC$3,#REF!*$F226,"-")</f>
        <v>-</v>
      </c>
      <c r="AD226" s="311" t="str">
        <f>IF($E226=AD$3,#REF!*$F226,"-")</f>
        <v>-</v>
      </c>
      <c r="AE226" s="311" t="str">
        <f>IF($E226=AE$3,#REF!*$F226,"-")</f>
        <v>-</v>
      </c>
      <c r="AF226" s="311" t="str">
        <f>IF($E226=AF$3,#REF!*$F226,"-")</f>
        <v>-</v>
      </c>
      <c r="AG226" s="311" t="str">
        <f>IF($E226=AG$3,#REF!*$F226,"-")</f>
        <v>-</v>
      </c>
      <c r="AH226" s="311" t="str">
        <f>IF($E226=AH$3,#REF!*$F226,"-")</f>
        <v>-</v>
      </c>
      <c r="AI226" s="311" t="str">
        <f>IF($E226=AI$3,#REF!*$F226,"-")</f>
        <v>-</v>
      </c>
      <c r="AJ226" s="311" t="str">
        <f>IF($E226=AJ$3,#REF!*$F226,"-")</f>
        <v>-</v>
      </c>
      <c r="AK226" s="311" t="str">
        <f>IF($E226=AK$3,#REF!*$F226,"-")</f>
        <v>-</v>
      </c>
      <c r="AL226" s="311" t="str">
        <f>IF($E226=AL$3,#REF!*$F226,"-")</f>
        <v>-</v>
      </c>
      <c r="AM226" s="311" t="str">
        <f>IF($E226=AM$3,#REF!*$F226,"-")</f>
        <v>-</v>
      </c>
    </row>
    <row r="227" spans="3:39" ht="15" x14ac:dyDescent="0.25">
      <c r="C227" s="560" t="s">
        <v>954</v>
      </c>
      <c r="D227" s="603">
        <v>72</v>
      </c>
      <c r="E227" s="263" t="s">
        <v>944</v>
      </c>
      <c r="F227" s="408">
        <v>0.99958151900000003</v>
      </c>
      <c r="G227" s="309">
        <v>1E-3</v>
      </c>
      <c r="H227" s="392">
        <v>0</v>
      </c>
      <c r="I227" s="320">
        <f>D227*F227*G227*(1-H227)</f>
        <v>7.1969869368000011E-2</v>
      </c>
      <c r="J227" s="309" t="s">
        <v>291</v>
      </c>
      <c r="K227" s="363">
        <v>0</v>
      </c>
      <c r="L227" s="396">
        <f>I227*(1-K227)</f>
        <v>7.1969869368000011E-2</v>
      </c>
      <c r="M227" s="258"/>
      <c r="O227" s="311" t="str">
        <f t="shared" ref="O227:Z236" si="38">IF($E227=O$3,$D$227*$F227,"-")</f>
        <v>-</v>
      </c>
      <c r="P227" s="311" t="str">
        <f t="shared" si="38"/>
        <v>-</v>
      </c>
      <c r="Q227" s="311" t="str">
        <f t="shared" si="38"/>
        <v>-</v>
      </c>
      <c r="R227" s="311" t="str">
        <f t="shared" si="38"/>
        <v>-</v>
      </c>
      <c r="S227" s="311" t="str">
        <f t="shared" si="38"/>
        <v>-</v>
      </c>
      <c r="T227" s="311" t="str">
        <f t="shared" si="38"/>
        <v>-</v>
      </c>
      <c r="U227" s="311" t="str">
        <f t="shared" si="38"/>
        <v>-</v>
      </c>
      <c r="V227" s="311" t="str">
        <f t="shared" si="38"/>
        <v>-</v>
      </c>
      <c r="W227" s="311" t="str">
        <f t="shared" si="38"/>
        <v>-</v>
      </c>
      <c r="X227" s="311" t="str">
        <f t="shared" si="38"/>
        <v>-</v>
      </c>
      <c r="Y227" s="311" t="str">
        <f t="shared" si="38"/>
        <v>-</v>
      </c>
      <c r="Z227" s="311" t="str">
        <f t="shared" si="38"/>
        <v>-</v>
      </c>
      <c r="AB227" s="311" t="str">
        <f>IF($E227=AB$3,#REF!*$F227,"-")</f>
        <v>-</v>
      </c>
      <c r="AC227" s="311" t="str">
        <f>IF($E227=AC$3,#REF!*$F227,"-")</f>
        <v>-</v>
      </c>
      <c r="AD227" s="311" t="str">
        <f>IF($E227=AD$3,#REF!*$F227,"-")</f>
        <v>-</v>
      </c>
      <c r="AE227" s="311" t="str">
        <f>IF($E227=AE$3,#REF!*$F227,"-")</f>
        <v>-</v>
      </c>
      <c r="AF227" s="311" t="str">
        <f>IF($E227=AF$3,#REF!*$F227,"-")</f>
        <v>-</v>
      </c>
      <c r="AG227" s="311" t="str">
        <f>IF($E227=AG$3,#REF!*$F227,"-")</f>
        <v>-</v>
      </c>
      <c r="AH227" s="311" t="str">
        <f>IF($E227=AH$3,#REF!*$F227,"-")</f>
        <v>-</v>
      </c>
      <c r="AI227" s="311" t="str">
        <f>IF($E227=AI$3,#REF!*$F227,"-")</f>
        <v>-</v>
      </c>
      <c r="AJ227" s="311" t="str">
        <f>IF($E227=AJ$3,#REF!*$F227,"-")</f>
        <v>-</v>
      </c>
      <c r="AK227" s="311" t="str">
        <f>IF($E227=AK$3,#REF!*$F227,"-")</f>
        <v>-</v>
      </c>
      <c r="AL227" s="311" t="str">
        <f>IF($E227=AL$3,#REF!*$F227,"-")</f>
        <v>-</v>
      </c>
      <c r="AM227" s="311" t="str">
        <f>IF($E227=AM$3,#REF!*$F227,"-")</f>
        <v>-</v>
      </c>
    </row>
    <row r="228" spans="3:39" ht="14.25" x14ac:dyDescent="0.2">
      <c r="C228" s="561"/>
      <c r="D228" s="604"/>
      <c r="E228" s="309" t="s">
        <v>892</v>
      </c>
      <c r="F228" s="391">
        <v>9.9999999999999995E-7</v>
      </c>
      <c r="G228" s="309">
        <v>1E-3</v>
      </c>
      <c r="H228" s="392">
        <v>0</v>
      </c>
      <c r="I228" s="320">
        <f>D227*F228*G228*(1-H228)</f>
        <v>7.2000000000000009E-8</v>
      </c>
      <c r="J228" s="309" t="s">
        <v>291</v>
      </c>
      <c r="K228" s="363">
        <v>0</v>
      </c>
      <c r="L228" s="396">
        <f t="shared" ref="L228:L261" si="39">I228*(1-K228)</f>
        <v>7.2000000000000009E-8</v>
      </c>
      <c r="M228" s="258"/>
      <c r="O228" s="311" t="str">
        <f t="shared" si="38"/>
        <v>-</v>
      </c>
      <c r="P228" s="311" t="str">
        <f t="shared" si="38"/>
        <v>-</v>
      </c>
      <c r="Q228" s="311" t="str">
        <f t="shared" si="38"/>
        <v>-</v>
      </c>
      <c r="R228" s="311" t="str">
        <f t="shared" si="38"/>
        <v>-</v>
      </c>
      <c r="S228" s="311" t="str">
        <f t="shared" si="38"/>
        <v>-</v>
      </c>
      <c r="T228" s="311" t="str">
        <f t="shared" si="38"/>
        <v>-</v>
      </c>
      <c r="U228" s="311" t="str">
        <f t="shared" si="38"/>
        <v>-</v>
      </c>
      <c r="V228" s="311" t="str">
        <f t="shared" si="38"/>
        <v>-</v>
      </c>
      <c r="W228" s="311" t="str">
        <f t="shared" si="38"/>
        <v>-</v>
      </c>
      <c r="X228" s="311" t="str">
        <f t="shared" si="38"/>
        <v>-</v>
      </c>
      <c r="Y228" s="311" t="str">
        <f t="shared" si="38"/>
        <v>-</v>
      </c>
      <c r="Z228" s="311" t="str">
        <f t="shared" si="38"/>
        <v>-</v>
      </c>
      <c r="AB228" s="311" t="str">
        <f>IF($E228=AB$3,#REF!*$F228,"-")</f>
        <v>-</v>
      </c>
      <c r="AC228" s="311" t="str">
        <f>IF($E228=AC$3,#REF!*$F228,"-")</f>
        <v>-</v>
      </c>
      <c r="AD228" s="311" t="str">
        <f>IF($E228=AD$3,#REF!*$F228,"-")</f>
        <v>-</v>
      </c>
      <c r="AE228" s="311" t="str">
        <f>IF($E228=AE$3,#REF!*$F228,"-")</f>
        <v>-</v>
      </c>
      <c r="AF228" s="311" t="str">
        <f>IF($E228=AF$3,#REF!*$F228,"-")</f>
        <v>-</v>
      </c>
      <c r="AG228" s="311" t="str">
        <f>IF($E228=AG$3,#REF!*$F228,"-")</f>
        <v>-</v>
      </c>
      <c r="AH228" s="311" t="str">
        <f>IF($E228=AH$3,#REF!*$F228,"-")</f>
        <v>-</v>
      </c>
      <c r="AI228" s="311" t="str">
        <f>IF($E228=AI$3,#REF!*$F228,"-")</f>
        <v>-</v>
      </c>
      <c r="AJ228" s="311" t="str">
        <f>IF($E228=AJ$3,#REF!*$F228,"-")</f>
        <v>-</v>
      </c>
      <c r="AK228" s="311" t="str">
        <f>IF($E228=AK$3,#REF!*$F228,"-")</f>
        <v>-</v>
      </c>
      <c r="AL228" s="311" t="str">
        <f>IF($E228=AL$3,#REF!*$F228,"-")</f>
        <v>-</v>
      </c>
      <c r="AM228" s="311" t="str">
        <f>IF($E228=AM$3,#REF!*$F228,"-")</f>
        <v>-</v>
      </c>
    </row>
    <row r="229" spans="3:39" ht="14.25" x14ac:dyDescent="0.2">
      <c r="C229" s="561"/>
      <c r="D229" s="604"/>
      <c r="E229" s="309" t="s">
        <v>877</v>
      </c>
      <c r="F229" s="391">
        <v>3.0000000000000001E-6</v>
      </c>
      <c r="G229" s="309">
        <v>1E-3</v>
      </c>
      <c r="H229" s="392">
        <v>0</v>
      </c>
      <c r="I229" s="320">
        <f>D227*F229*G229*(1-H229)</f>
        <v>2.16E-7</v>
      </c>
      <c r="J229" s="309" t="s">
        <v>291</v>
      </c>
      <c r="K229" s="363">
        <v>0</v>
      </c>
      <c r="L229" s="396">
        <f t="shared" si="39"/>
        <v>2.16E-7</v>
      </c>
      <c r="M229" s="258"/>
      <c r="O229" s="311">
        <f t="shared" si="38"/>
        <v>2.1599999999999999E-4</v>
      </c>
      <c r="P229" s="311" t="str">
        <f t="shared" si="38"/>
        <v>-</v>
      </c>
      <c r="Q229" s="311" t="str">
        <f t="shared" si="38"/>
        <v>-</v>
      </c>
      <c r="R229" s="311" t="str">
        <f t="shared" si="38"/>
        <v>-</v>
      </c>
      <c r="S229" s="311" t="str">
        <f t="shared" si="38"/>
        <v>-</v>
      </c>
      <c r="T229" s="311" t="str">
        <f t="shared" si="38"/>
        <v>-</v>
      </c>
      <c r="U229" s="311" t="str">
        <f t="shared" si="38"/>
        <v>-</v>
      </c>
      <c r="V229" s="311" t="str">
        <f t="shared" si="38"/>
        <v>-</v>
      </c>
      <c r="W229" s="311" t="str">
        <f t="shared" si="38"/>
        <v>-</v>
      </c>
      <c r="X229" s="311" t="str">
        <f t="shared" si="38"/>
        <v>-</v>
      </c>
      <c r="Y229" s="311" t="str">
        <f t="shared" si="38"/>
        <v>-</v>
      </c>
      <c r="Z229" s="311" t="str">
        <f t="shared" si="38"/>
        <v>-</v>
      </c>
      <c r="AB229" s="311" t="e">
        <f>IF($E229=AB$3,#REF!*$F229,"-")</f>
        <v>#REF!</v>
      </c>
      <c r="AC229" s="311" t="str">
        <f>IF($E229=AC$3,#REF!*$F229,"-")</f>
        <v>-</v>
      </c>
      <c r="AD229" s="311" t="str">
        <f>IF($E229=AD$3,#REF!*$F229,"-")</f>
        <v>-</v>
      </c>
      <c r="AE229" s="311" t="str">
        <f>IF($E229=AE$3,#REF!*$F229,"-")</f>
        <v>-</v>
      </c>
      <c r="AF229" s="311" t="str">
        <f>IF($E229=AF$3,#REF!*$F229,"-")</f>
        <v>-</v>
      </c>
      <c r="AG229" s="311" t="str">
        <f>IF($E229=AG$3,#REF!*$F229,"-")</f>
        <v>-</v>
      </c>
      <c r="AH229" s="311" t="str">
        <f>IF($E229=AH$3,#REF!*$F229,"-")</f>
        <v>-</v>
      </c>
      <c r="AI229" s="311" t="str">
        <f>IF($E229=AI$3,#REF!*$F229,"-")</f>
        <v>-</v>
      </c>
      <c r="AJ229" s="311" t="str">
        <f>IF($E229=AJ$3,#REF!*$F229,"-")</f>
        <v>-</v>
      </c>
      <c r="AK229" s="311" t="str">
        <f>IF($E229=AK$3,#REF!*$F229,"-")</f>
        <v>-</v>
      </c>
      <c r="AL229" s="311" t="str">
        <f>IF($E229=AL$3,#REF!*$F229,"-")</f>
        <v>-</v>
      </c>
      <c r="AM229" s="311" t="str">
        <f>IF($E229=AM$3,#REF!*$F229,"-")</f>
        <v>-</v>
      </c>
    </row>
    <row r="230" spans="3:39" ht="14.25" x14ac:dyDescent="0.2">
      <c r="C230" s="561"/>
      <c r="D230" s="604"/>
      <c r="E230" s="309" t="s">
        <v>893</v>
      </c>
      <c r="F230" s="391">
        <v>9.9999999999999995E-7</v>
      </c>
      <c r="G230" s="309">
        <v>1E-3</v>
      </c>
      <c r="H230" s="392">
        <v>0</v>
      </c>
      <c r="I230" s="320">
        <f>D227*F230*G230*(1-H230)</f>
        <v>7.2000000000000009E-8</v>
      </c>
      <c r="J230" s="309" t="s">
        <v>291</v>
      </c>
      <c r="K230" s="363">
        <v>0</v>
      </c>
      <c r="L230" s="396">
        <f t="shared" si="39"/>
        <v>7.2000000000000009E-8</v>
      </c>
      <c r="M230" s="258"/>
      <c r="O230" s="311" t="str">
        <f t="shared" si="38"/>
        <v>-</v>
      </c>
      <c r="P230" s="311" t="str">
        <f t="shared" si="38"/>
        <v>-</v>
      </c>
      <c r="Q230" s="311" t="str">
        <f t="shared" si="38"/>
        <v>-</v>
      </c>
      <c r="R230" s="311" t="str">
        <f t="shared" si="38"/>
        <v>-</v>
      </c>
      <c r="S230" s="311" t="str">
        <f t="shared" si="38"/>
        <v>-</v>
      </c>
      <c r="T230" s="311" t="str">
        <f t="shared" si="38"/>
        <v>-</v>
      </c>
      <c r="U230" s="311" t="str">
        <f t="shared" si="38"/>
        <v>-</v>
      </c>
      <c r="V230" s="311" t="str">
        <f t="shared" si="38"/>
        <v>-</v>
      </c>
      <c r="W230" s="311" t="str">
        <f t="shared" si="38"/>
        <v>-</v>
      </c>
      <c r="X230" s="311" t="str">
        <f t="shared" si="38"/>
        <v>-</v>
      </c>
      <c r="Y230" s="311" t="str">
        <f t="shared" si="38"/>
        <v>-</v>
      </c>
      <c r="Z230" s="311" t="str">
        <f t="shared" si="38"/>
        <v>-</v>
      </c>
      <c r="AB230" s="311" t="str">
        <f>IF($E230=AB$3,#REF!*$F230,"-")</f>
        <v>-</v>
      </c>
      <c r="AC230" s="311" t="str">
        <f>IF($E230=AC$3,#REF!*$F230,"-")</f>
        <v>-</v>
      </c>
      <c r="AD230" s="311" t="str">
        <f>IF($E230=AD$3,#REF!*$F230,"-")</f>
        <v>-</v>
      </c>
      <c r="AE230" s="311" t="str">
        <f>IF($E230=AE$3,#REF!*$F230,"-")</f>
        <v>-</v>
      </c>
      <c r="AF230" s="311" t="str">
        <f>IF($E230=AF$3,#REF!*$F230,"-")</f>
        <v>-</v>
      </c>
      <c r="AG230" s="311" t="str">
        <f>IF($E230=AG$3,#REF!*$F230,"-")</f>
        <v>-</v>
      </c>
      <c r="AH230" s="311" t="str">
        <f>IF($E230=AH$3,#REF!*$F230,"-")</f>
        <v>-</v>
      </c>
      <c r="AI230" s="311" t="str">
        <f>IF($E230=AI$3,#REF!*$F230,"-")</f>
        <v>-</v>
      </c>
      <c r="AJ230" s="311" t="str">
        <f>IF($E230=AJ$3,#REF!*$F230,"-")</f>
        <v>-</v>
      </c>
      <c r="AK230" s="311" t="str">
        <f>IF($E230=AK$3,#REF!*$F230,"-")</f>
        <v>-</v>
      </c>
      <c r="AL230" s="311" t="str">
        <f>IF($E230=AL$3,#REF!*$F230,"-")</f>
        <v>-</v>
      </c>
      <c r="AM230" s="311" t="str">
        <f>IF($E230=AM$3,#REF!*$F230,"-")</f>
        <v>-</v>
      </c>
    </row>
    <row r="231" spans="3:39" ht="14.25" x14ac:dyDescent="0.2">
      <c r="C231" s="561"/>
      <c r="D231" s="604"/>
      <c r="E231" s="309" t="s">
        <v>894</v>
      </c>
      <c r="F231" s="391">
        <v>1.0000000000000001E-7</v>
      </c>
      <c r="G231" s="309">
        <v>1E-3</v>
      </c>
      <c r="H231" s="392">
        <v>0</v>
      </c>
      <c r="I231" s="320">
        <f>D227*F231*G231*(1-H231)</f>
        <v>7.2000000000000008E-9</v>
      </c>
      <c r="J231" s="309" t="s">
        <v>291</v>
      </c>
      <c r="K231" s="363">
        <v>0</v>
      </c>
      <c r="L231" s="396">
        <f t="shared" si="39"/>
        <v>7.2000000000000008E-9</v>
      </c>
      <c r="M231" s="258"/>
      <c r="O231" s="311" t="str">
        <f t="shared" si="38"/>
        <v>-</v>
      </c>
      <c r="P231" s="311" t="str">
        <f t="shared" si="38"/>
        <v>-</v>
      </c>
      <c r="Q231" s="311" t="str">
        <f t="shared" si="38"/>
        <v>-</v>
      </c>
      <c r="R231" s="311" t="str">
        <f t="shared" si="38"/>
        <v>-</v>
      </c>
      <c r="S231" s="311" t="str">
        <f t="shared" si="38"/>
        <v>-</v>
      </c>
      <c r="T231" s="311" t="str">
        <f t="shared" si="38"/>
        <v>-</v>
      </c>
      <c r="U231" s="311" t="str">
        <f t="shared" si="38"/>
        <v>-</v>
      </c>
      <c r="V231" s="311" t="str">
        <f t="shared" si="38"/>
        <v>-</v>
      </c>
      <c r="W231" s="311" t="str">
        <f t="shared" si="38"/>
        <v>-</v>
      </c>
      <c r="X231" s="311" t="str">
        <f t="shared" si="38"/>
        <v>-</v>
      </c>
      <c r="Y231" s="311" t="str">
        <f t="shared" si="38"/>
        <v>-</v>
      </c>
      <c r="Z231" s="311" t="str">
        <f t="shared" si="38"/>
        <v>-</v>
      </c>
      <c r="AB231" s="311" t="str">
        <f>IF($E231=AB$3,#REF!*$F231,"-")</f>
        <v>-</v>
      </c>
      <c r="AC231" s="311" t="str">
        <f>IF($E231=AC$3,#REF!*$F231,"-")</f>
        <v>-</v>
      </c>
      <c r="AD231" s="311" t="str">
        <f>IF($E231=AD$3,#REF!*$F231,"-")</f>
        <v>-</v>
      </c>
      <c r="AE231" s="311" t="str">
        <f>IF($E231=AE$3,#REF!*$F231,"-")</f>
        <v>-</v>
      </c>
      <c r="AF231" s="311" t="str">
        <f>IF($E231=AF$3,#REF!*$F231,"-")</f>
        <v>-</v>
      </c>
      <c r="AG231" s="311" t="str">
        <f>IF($E231=AG$3,#REF!*$F231,"-")</f>
        <v>-</v>
      </c>
      <c r="AH231" s="311" t="str">
        <f>IF($E231=AH$3,#REF!*$F231,"-")</f>
        <v>-</v>
      </c>
      <c r="AI231" s="311" t="str">
        <f>IF($E231=AI$3,#REF!*$F231,"-")</f>
        <v>-</v>
      </c>
      <c r="AJ231" s="311" t="str">
        <f>IF($E231=AJ$3,#REF!*$F231,"-")</f>
        <v>-</v>
      </c>
      <c r="AK231" s="311" t="str">
        <f>IF($E231=AK$3,#REF!*$F231,"-")</f>
        <v>-</v>
      </c>
      <c r="AL231" s="311" t="str">
        <f>IF($E231=AL$3,#REF!*$F231,"-")</f>
        <v>-</v>
      </c>
      <c r="AM231" s="311" t="str">
        <f>IF($E231=AM$3,#REF!*$F231,"-")</f>
        <v>-</v>
      </c>
    </row>
    <row r="232" spans="3:39" ht="14.25" x14ac:dyDescent="0.2">
      <c r="C232" s="561"/>
      <c r="D232" s="604"/>
      <c r="E232" s="309" t="s">
        <v>895</v>
      </c>
      <c r="F232" s="391">
        <v>1.0000000000000001E-7</v>
      </c>
      <c r="G232" s="309">
        <v>1E-3</v>
      </c>
      <c r="H232" s="392">
        <v>0</v>
      </c>
      <c r="I232" s="320">
        <f>D227*F232*G232*(1-H232)</f>
        <v>7.2000000000000008E-9</v>
      </c>
      <c r="J232" s="309" t="s">
        <v>291</v>
      </c>
      <c r="K232" s="363">
        <v>0</v>
      </c>
      <c r="L232" s="396">
        <f t="shared" si="39"/>
        <v>7.2000000000000008E-9</v>
      </c>
      <c r="M232" s="258"/>
      <c r="O232" s="311" t="str">
        <f t="shared" si="38"/>
        <v>-</v>
      </c>
      <c r="P232" s="311" t="str">
        <f t="shared" si="38"/>
        <v>-</v>
      </c>
      <c r="Q232" s="311" t="str">
        <f t="shared" si="38"/>
        <v>-</v>
      </c>
      <c r="R232" s="311" t="str">
        <f t="shared" si="38"/>
        <v>-</v>
      </c>
      <c r="S232" s="311" t="str">
        <f t="shared" si="38"/>
        <v>-</v>
      </c>
      <c r="T232" s="311" t="str">
        <f t="shared" si="38"/>
        <v>-</v>
      </c>
      <c r="U232" s="311" t="str">
        <f t="shared" si="38"/>
        <v>-</v>
      </c>
      <c r="V232" s="311" t="str">
        <f t="shared" si="38"/>
        <v>-</v>
      </c>
      <c r="W232" s="311" t="str">
        <f t="shared" si="38"/>
        <v>-</v>
      </c>
      <c r="X232" s="311" t="str">
        <f t="shared" si="38"/>
        <v>-</v>
      </c>
      <c r="Y232" s="311" t="str">
        <f t="shared" si="38"/>
        <v>-</v>
      </c>
      <c r="Z232" s="311" t="str">
        <f t="shared" si="38"/>
        <v>-</v>
      </c>
      <c r="AB232" s="311" t="str">
        <f>IF($E232=AB$3,#REF!*$F232,"-")</f>
        <v>-</v>
      </c>
      <c r="AC232" s="311" t="str">
        <f>IF($E232=AC$3,#REF!*$F232,"-")</f>
        <v>-</v>
      </c>
      <c r="AD232" s="311" t="str">
        <f>IF($E232=AD$3,#REF!*$F232,"-")</f>
        <v>-</v>
      </c>
      <c r="AE232" s="311" t="str">
        <f>IF($E232=AE$3,#REF!*$F232,"-")</f>
        <v>-</v>
      </c>
      <c r="AF232" s="311" t="str">
        <f>IF($E232=AF$3,#REF!*$F232,"-")</f>
        <v>-</v>
      </c>
      <c r="AG232" s="311" t="str">
        <f>IF($E232=AG$3,#REF!*$F232,"-")</f>
        <v>-</v>
      </c>
      <c r="AH232" s="311" t="str">
        <f>IF($E232=AH$3,#REF!*$F232,"-")</f>
        <v>-</v>
      </c>
      <c r="AI232" s="311" t="str">
        <f>IF($E232=AI$3,#REF!*$F232,"-")</f>
        <v>-</v>
      </c>
      <c r="AJ232" s="311" t="str">
        <f>IF($E232=AJ$3,#REF!*$F232,"-")</f>
        <v>-</v>
      </c>
      <c r="AK232" s="311" t="str">
        <f>IF($E232=AK$3,#REF!*$F232,"-")</f>
        <v>-</v>
      </c>
      <c r="AL232" s="311" t="str">
        <f>IF($E232=AL$3,#REF!*$F232,"-")</f>
        <v>-</v>
      </c>
      <c r="AM232" s="311" t="str">
        <f>IF($E232=AM$3,#REF!*$F232,"-")</f>
        <v>-</v>
      </c>
    </row>
    <row r="233" spans="3:39" ht="14.25" x14ac:dyDescent="0.2">
      <c r="C233" s="561"/>
      <c r="D233" s="604"/>
      <c r="E233" s="309" t="s">
        <v>896</v>
      </c>
      <c r="F233" s="391">
        <v>9.9999999999999995E-7</v>
      </c>
      <c r="G233" s="309">
        <v>1E-3</v>
      </c>
      <c r="H233" s="392">
        <v>0</v>
      </c>
      <c r="I233" s="320">
        <f>D227*F233*G233*(1-H233)</f>
        <v>7.2000000000000009E-8</v>
      </c>
      <c r="J233" s="309" t="s">
        <v>291</v>
      </c>
      <c r="K233" s="363">
        <v>0</v>
      </c>
      <c r="L233" s="396">
        <f t="shared" si="39"/>
        <v>7.2000000000000009E-8</v>
      </c>
      <c r="M233" s="258"/>
      <c r="O233" s="311" t="str">
        <f t="shared" si="38"/>
        <v>-</v>
      </c>
      <c r="P233" s="311" t="str">
        <f t="shared" si="38"/>
        <v>-</v>
      </c>
      <c r="Q233" s="311" t="str">
        <f t="shared" si="38"/>
        <v>-</v>
      </c>
      <c r="R233" s="311" t="str">
        <f t="shared" si="38"/>
        <v>-</v>
      </c>
      <c r="S233" s="311" t="str">
        <f t="shared" si="38"/>
        <v>-</v>
      </c>
      <c r="T233" s="311" t="str">
        <f t="shared" si="38"/>
        <v>-</v>
      </c>
      <c r="U233" s="311" t="str">
        <f t="shared" si="38"/>
        <v>-</v>
      </c>
      <c r="V233" s="311" t="str">
        <f t="shared" si="38"/>
        <v>-</v>
      </c>
      <c r="W233" s="311" t="str">
        <f t="shared" si="38"/>
        <v>-</v>
      </c>
      <c r="X233" s="311" t="str">
        <f t="shared" si="38"/>
        <v>-</v>
      </c>
      <c r="Y233" s="311" t="str">
        <f t="shared" si="38"/>
        <v>-</v>
      </c>
      <c r="Z233" s="311" t="str">
        <f t="shared" si="38"/>
        <v>-</v>
      </c>
      <c r="AB233" s="311" t="str">
        <f>IF($E233=AB$3,#REF!*$F233,"-")</f>
        <v>-</v>
      </c>
      <c r="AC233" s="311" t="str">
        <f>IF($E233=AC$3,#REF!*$F233,"-")</f>
        <v>-</v>
      </c>
      <c r="AD233" s="311" t="str">
        <f>IF($E233=AD$3,#REF!*$F233,"-")</f>
        <v>-</v>
      </c>
      <c r="AE233" s="311" t="str">
        <f>IF($E233=AE$3,#REF!*$F233,"-")</f>
        <v>-</v>
      </c>
      <c r="AF233" s="311" t="str">
        <f>IF($E233=AF$3,#REF!*$F233,"-")</f>
        <v>-</v>
      </c>
      <c r="AG233" s="311" t="str">
        <f>IF($E233=AG$3,#REF!*$F233,"-")</f>
        <v>-</v>
      </c>
      <c r="AH233" s="311" t="str">
        <f>IF($E233=AH$3,#REF!*$F233,"-")</f>
        <v>-</v>
      </c>
      <c r="AI233" s="311" t="str">
        <f>IF($E233=AI$3,#REF!*$F233,"-")</f>
        <v>-</v>
      </c>
      <c r="AJ233" s="311" t="str">
        <f>IF($E233=AJ$3,#REF!*$F233,"-")</f>
        <v>-</v>
      </c>
      <c r="AK233" s="311" t="str">
        <f>IF($E233=AK$3,#REF!*$F233,"-")</f>
        <v>-</v>
      </c>
      <c r="AL233" s="311" t="str">
        <f>IF($E233=AL$3,#REF!*$F233,"-")</f>
        <v>-</v>
      </c>
      <c r="AM233" s="311" t="str">
        <f>IF($E233=AM$3,#REF!*$F233,"-")</f>
        <v>-</v>
      </c>
    </row>
    <row r="234" spans="3:39" ht="14.25" x14ac:dyDescent="0.2">
      <c r="C234" s="561"/>
      <c r="D234" s="604"/>
      <c r="E234" s="309" t="s">
        <v>878</v>
      </c>
      <c r="F234" s="391">
        <v>9.9999999999999995E-7</v>
      </c>
      <c r="G234" s="309">
        <v>1E-3</v>
      </c>
      <c r="H234" s="392">
        <v>0</v>
      </c>
      <c r="I234" s="320">
        <f>D227*F234*G234*(1-H234)</f>
        <v>7.2000000000000009E-8</v>
      </c>
      <c r="J234" s="309" t="s">
        <v>291</v>
      </c>
      <c r="K234" s="363">
        <v>0</v>
      </c>
      <c r="L234" s="396">
        <f t="shared" si="39"/>
        <v>7.2000000000000009E-8</v>
      </c>
      <c r="M234" s="258"/>
      <c r="O234" s="311" t="str">
        <f t="shared" si="38"/>
        <v>-</v>
      </c>
      <c r="P234" s="311">
        <f t="shared" si="38"/>
        <v>7.2000000000000002E-5</v>
      </c>
      <c r="Q234" s="311" t="str">
        <f t="shared" si="38"/>
        <v>-</v>
      </c>
      <c r="R234" s="311" t="str">
        <f t="shared" si="38"/>
        <v>-</v>
      </c>
      <c r="S234" s="311" t="str">
        <f t="shared" si="38"/>
        <v>-</v>
      </c>
      <c r="T234" s="311" t="str">
        <f t="shared" si="38"/>
        <v>-</v>
      </c>
      <c r="U234" s="311" t="str">
        <f t="shared" si="38"/>
        <v>-</v>
      </c>
      <c r="V234" s="311" t="str">
        <f t="shared" si="38"/>
        <v>-</v>
      </c>
      <c r="W234" s="311" t="str">
        <f t="shared" si="38"/>
        <v>-</v>
      </c>
      <c r="X234" s="311" t="str">
        <f t="shared" si="38"/>
        <v>-</v>
      </c>
      <c r="Y234" s="311" t="str">
        <f t="shared" si="38"/>
        <v>-</v>
      </c>
      <c r="Z234" s="311" t="str">
        <f t="shared" si="38"/>
        <v>-</v>
      </c>
      <c r="AB234" s="311" t="str">
        <f>IF($E234=AB$3,#REF!*$F234,"-")</f>
        <v>-</v>
      </c>
      <c r="AC234" s="311" t="e">
        <f>IF($E234=AC$3,#REF!*$F234,"-")</f>
        <v>#REF!</v>
      </c>
      <c r="AD234" s="311" t="str">
        <f>IF($E234=AD$3,#REF!*$F234,"-")</f>
        <v>-</v>
      </c>
      <c r="AE234" s="311" t="str">
        <f>IF($E234=AE$3,#REF!*$F234,"-")</f>
        <v>-</v>
      </c>
      <c r="AF234" s="311" t="str">
        <f>IF($E234=AF$3,#REF!*$F234,"-")</f>
        <v>-</v>
      </c>
      <c r="AG234" s="311" t="str">
        <f>IF($E234=AG$3,#REF!*$F234,"-")</f>
        <v>-</v>
      </c>
      <c r="AH234" s="311" t="str">
        <f>IF($E234=AH$3,#REF!*$F234,"-")</f>
        <v>-</v>
      </c>
      <c r="AI234" s="311" t="str">
        <f>IF($E234=AI$3,#REF!*$F234,"-")</f>
        <v>-</v>
      </c>
      <c r="AJ234" s="311" t="str">
        <f>IF($E234=AJ$3,#REF!*$F234,"-")</f>
        <v>-</v>
      </c>
      <c r="AK234" s="311" t="str">
        <f>IF($E234=AK$3,#REF!*$F234,"-")</f>
        <v>-</v>
      </c>
      <c r="AL234" s="311" t="str">
        <f>IF($E234=AL$3,#REF!*$F234,"-")</f>
        <v>-</v>
      </c>
      <c r="AM234" s="311" t="str">
        <f>IF($E234=AM$3,#REF!*$F234,"-")</f>
        <v>-</v>
      </c>
    </row>
    <row r="235" spans="3:39" ht="14.25" x14ac:dyDescent="0.2">
      <c r="C235" s="561"/>
      <c r="D235" s="604"/>
      <c r="E235" s="309" t="s">
        <v>879</v>
      </c>
      <c r="F235" s="391">
        <v>9.9999999999999995E-7</v>
      </c>
      <c r="G235" s="309">
        <v>1E-3</v>
      </c>
      <c r="H235" s="392">
        <v>0</v>
      </c>
      <c r="I235" s="320">
        <f>D227*F235*G235*(1-H235)</f>
        <v>7.2000000000000009E-8</v>
      </c>
      <c r="J235" s="309" t="s">
        <v>291</v>
      </c>
      <c r="K235" s="363">
        <v>0</v>
      </c>
      <c r="L235" s="396">
        <f t="shared" si="39"/>
        <v>7.2000000000000009E-8</v>
      </c>
      <c r="M235" s="258"/>
      <c r="O235" s="311" t="str">
        <f t="shared" si="38"/>
        <v>-</v>
      </c>
      <c r="P235" s="311" t="str">
        <f t="shared" si="38"/>
        <v>-</v>
      </c>
      <c r="Q235" s="311">
        <f t="shared" si="38"/>
        <v>7.2000000000000002E-5</v>
      </c>
      <c r="R235" s="311" t="str">
        <f t="shared" si="38"/>
        <v>-</v>
      </c>
      <c r="S235" s="311" t="str">
        <f t="shared" si="38"/>
        <v>-</v>
      </c>
      <c r="T235" s="311" t="str">
        <f t="shared" si="38"/>
        <v>-</v>
      </c>
      <c r="U235" s="311" t="str">
        <f t="shared" si="38"/>
        <v>-</v>
      </c>
      <c r="V235" s="311" t="str">
        <f t="shared" si="38"/>
        <v>-</v>
      </c>
      <c r="W235" s="311" t="str">
        <f t="shared" si="38"/>
        <v>-</v>
      </c>
      <c r="X235" s="311" t="str">
        <f t="shared" si="38"/>
        <v>-</v>
      </c>
      <c r="Y235" s="311" t="str">
        <f t="shared" si="38"/>
        <v>-</v>
      </c>
      <c r="Z235" s="311" t="str">
        <f t="shared" si="38"/>
        <v>-</v>
      </c>
      <c r="AB235" s="311" t="str">
        <f>IF($E235=AB$3,#REF!*$F235,"-")</f>
        <v>-</v>
      </c>
      <c r="AC235" s="311" t="str">
        <f>IF($E235=AC$3,#REF!*$F235,"-")</f>
        <v>-</v>
      </c>
      <c r="AD235" s="311" t="e">
        <f>IF($E235=AD$3,#REF!*$F235,"-")</f>
        <v>#REF!</v>
      </c>
      <c r="AE235" s="311" t="str">
        <f>IF($E235=AE$3,#REF!*$F235,"-")</f>
        <v>-</v>
      </c>
      <c r="AF235" s="311" t="str">
        <f>IF($E235=AF$3,#REF!*$F235,"-")</f>
        <v>-</v>
      </c>
      <c r="AG235" s="311" t="str">
        <f>IF($E235=AG$3,#REF!*$F235,"-")</f>
        <v>-</v>
      </c>
      <c r="AH235" s="311" t="str">
        <f>IF($E235=AH$3,#REF!*$F235,"-")</f>
        <v>-</v>
      </c>
      <c r="AI235" s="311" t="str">
        <f>IF($E235=AI$3,#REF!*$F235,"-")</f>
        <v>-</v>
      </c>
      <c r="AJ235" s="311" t="str">
        <f>IF($E235=AJ$3,#REF!*$F235,"-")</f>
        <v>-</v>
      </c>
      <c r="AK235" s="311" t="str">
        <f>IF($E235=AK$3,#REF!*$F235,"-")</f>
        <v>-</v>
      </c>
      <c r="AL235" s="311" t="str">
        <f>IF($E235=AL$3,#REF!*$F235,"-")</f>
        <v>-</v>
      </c>
      <c r="AM235" s="311" t="str">
        <f>IF($E235=AM$3,#REF!*$F235,"-")</f>
        <v>-</v>
      </c>
    </row>
    <row r="236" spans="3:39" ht="14.25" x14ac:dyDescent="0.2">
      <c r="C236" s="561"/>
      <c r="D236" s="604"/>
      <c r="E236" s="309" t="s">
        <v>888</v>
      </c>
      <c r="F236" s="391">
        <v>9.9999999999999995E-7</v>
      </c>
      <c r="G236" s="309">
        <v>1E-3</v>
      </c>
      <c r="H236" s="392">
        <v>0</v>
      </c>
      <c r="I236" s="320">
        <f>D227*F236*G236*(1-H236)</f>
        <v>7.2000000000000009E-8</v>
      </c>
      <c r="J236" s="309" t="s">
        <v>291</v>
      </c>
      <c r="K236" s="363">
        <v>0</v>
      </c>
      <c r="L236" s="396">
        <f t="shared" si="39"/>
        <v>7.2000000000000009E-8</v>
      </c>
      <c r="M236" s="258"/>
      <c r="O236" s="311" t="str">
        <f t="shared" si="38"/>
        <v>-</v>
      </c>
      <c r="P236" s="311" t="str">
        <f t="shared" si="38"/>
        <v>-</v>
      </c>
      <c r="Q236" s="311" t="str">
        <f t="shared" si="38"/>
        <v>-</v>
      </c>
      <c r="R236" s="311" t="str">
        <f t="shared" si="38"/>
        <v>-</v>
      </c>
      <c r="S236" s="311" t="str">
        <f t="shared" si="38"/>
        <v>-</v>
      </c>
      <c r="T236" s="311" t="str">
        <f t="shared" si="38"/>
        <v>-</v>
      </c>
      <c r="U236" s="311" t="str">
        <f t="shared" si="38"/>
        <v>-</v>
      </c>
      <c r="V236" s="311" t="str">
        <f t="shared" si="38"/>
        <v>-</v>
      </c>
      <c r="W236" s="311" t="str">
        <f t="shared" si="38"/>
        <v>-</v>
      </c>
      <c r="X236" s="311" t="str">
        <f t="shared" si="38"/>
        <v>-</v>
      </c>
      <c r="Y236" s="311" t="str">
        <f t="shared" si="38"/>
        <v>-</v>
      </c>
      <c r="Z236" s="311">
        <f t="shared" si="38"/>
        <v>7.2000000000000002E-5</v>
      </c>
      <c r="AB236" s="311" t="str">
        <f>IF($E236=AB$3,#REF!*$F236,"-")</f>
        <v>-</v>
      </c>
      <c r="AC236" s="311" t="str">
        <f>IF($E236=AC$3,#REF!*$F236,"-")</f>
        <v>-</v>
      </c>
      <c r="AD236" s="311" t="str">
        <f>IF($E236=AD$3,#REF!*$F236,"-")</f>
        <v>-</v>
      </c>
      <c r="AE236" s="311" t="str">
        <f>IF($E236=AE$3,#REF!*$F236,"-")</f>
        <v>-</v>
      </c>
      <c r="AF236" s="311" t="str">
        <f>IF($E236=AF$3,#REF!*$F236,"-")</f>
        <v>-</v>
      </c>
      <c r="AG236" s="311" t="str">
        <f>IF($E236=AG$3,#REF!*$F236,"-")</f>
        <v>-</v>
      </c>
      <c r="AH236" s="311" t="str">
        <f>IF($E236=AH$3,#REF!*$F236,"-")</f>
        <v>-</v>
      </c>
      <c r="AI236" s="311" t="str">
        <f>IF($E236=AI$3,#REF!*$F236,"-")</f>
        <v>-</v>
      </c>
      <c r="AJ236" s="311" t="str">
        <f>IF($E236=AJ$3,#REF!*$F236,"-")</f>
        <v>-</v>
      </c>
      <c r="AK236" s="311" t="str">
        <f>IF($E236=AK$3,#REF!*$F236,"-")</f>
        <v>-</v>
      </c>
      <c r="AL236" s="311" t="str">
        <f>IF($E236=AL$3,#REF!*$F236,"-")</f>
        <v>-</v>
      </c>
      <c r="AM236" s="311" t="e">
        <f>IF($E236=AM$3,#REF!*$F236,"-")</f>
        <v>#REF!</v>
      </c>
    </row>
    <row r="237" spans="3:39" ht="14.25" x14ac:dyDescent="0.2">
      <c r="C237" s="561"/>
      <c r="D237" s="604"/>
      <c r="E237" s="309" t="s">
        <v>897</v>
      </c>
      <c r="F237" s="391">
        <v>9.9999999999999995E-7</v>
      </c>
      <c r="G237" s="309">
        <v>1E-3</v>
      </c>
      <c r="H237" s="392">
        <v>0</v>
      </c>
      <c r="I237" s="320">
        <f>D227*F237*G237*(1-H237)</f>
        <v>7.2000000000000009E-8</v>
      </c>
      <c r="J237" s="309" t="s">
        <v>291</v>
      </c>
      <c r="K237" s="363">
        <v>0</v>
      </c>
      <c r="L237" s="396">
        <f t="shared" si="39"/>
        <v>7.2000000000000009E-8</v>
      </c>
      <c r="M237" s="258"/>
      <c r="O237" s="311" t="str">
        <f t="shared" ref="O237:Z246" si="40">IF($E237=O$3,$D$227*$F237,"-")</f>
        <v>-</v>
      </c>
      <c r="P237" s="311" t="str">
        <f t="shared" si="40"/>
        <v>-</v>
      </c>
      <c r="Q237" s="311" t="str">
        <f t="shared" si="40"/>
        <v>-</v>
      </c>
      <c r="R237" s="311" t="str">
        <f t="shared" si="40"/>
        <v>-</v>
      </c>
      <c r="S237" s="311" t="str">
        <f t="shared" si="40"/>
        <v>-</v>
      </c>
      <c r="T237" s="311" t="str">
        <f t="shared" si="40"/>
        <v>-</v>
      </c>
      <c r="U237" s="311" t="str">
        <f t="shared" si="40"/>
        <v>-</v>
      </c>
      <c r="V237" s="311" t="str">
        <f t="shared" si="40"/>
        <v>-</v>
      </c>
      <c r="W237" s="311" t="str">
        <f t="shared" si="40"/>
        <v>-</v>
      </c>
      <c r="X237" s="311" t="str">
        <f t="shared" si="40"/>
        <v>-</v>
      </c>
      <c r="Y237" s="311" t="str">
        <f t="shared" si="40"/>
        <v>-</v>
      </c>
      <c r="Z237" s="311" t="str">
        <f t="shared" si="40"/>
        <v>-</v>
      </c>
      <c r="AB237" s="311" t="str">
        <f>IF($E237=AB$3,#REF!*$F237,"-")</f>
        <v>-</v>
      </c>
      <c r="AC237" s="311" t="str">
        <f>IF($E237=AC$3,#REF!*$F237,"-")</f>
        <v>-</v>
      </c>
      <c r="AD237" s="311" t="str">
        <f>IF($E237=AD$3,#REF!*$F237,"-")</f>
        <v>-</v>
      </c>
      <c r="AE237" s="311" t="str">
        <f>IF($E237=AE$3,#REF!*$F237,"-")</f>
        <v>-</v>
      </c>
      <c r="AF237" s="311" t="str">
        <f>IF($E237=AF$3,#REF!*$F237,"-")</f>
        <v>-</v>
      </c>
      <c r="AG237" s="311" t="str">
        <f>IF($E237=AG$3,#REF!*$F237,"-")</f>
        <v>-</v>
      </c>
      <c r="AH237" s="311" t="str">
        <f>IF($E237=AH$3,#REF!*$F237,"-")</f>
        <v>-</v>
      </c>
      <c r="AI237" s="311" t="str">
        <f>IF($E237=AI$3,#REF!*$F237,"-")</f>
        <v>-</v>
      </c>
      <c r="AJ237" s="311" t="str">
        <f>IF($E237=AJ$3,#REF!*$F237,"-")</f>
        <v>-</v>
      </c>
      <c r="AK237" s="311" t="str">
        <f>IF($E237=AK$3,#REF!*$F237,"-")</f>
        <v>-</v>
      </c>
      <c r="AL237" s="311" t="str">
        <f>IF($E237=AL$3,#REF!*$F237,"-")</f>
        <v>-</v>
      </c>
      <c r="AM237" s="311" t="str">
        <f>IF($E237=AM$3,#REF!*$F237,"-")</f>
        <v>-</v>
      </c>
    </row>
    <row r="238" spans="3:39" ht="14.25" x14ac:dyDescent="0.2">
      <c r="C238" s="561"/>
      <c r="D238" s="604"/>
      <c r="E238" s="309" t="s">
        <v>880</v>
      </c>
      <c r="F238" s="391">
        <v>1.9999999999999999E-6</v>
      </c>
      <c r="G238" s="309">
        <v>1E-3</v>
      </c>
      <c r="H238" s="392">
        <v>0</v>
      </c>
      <c r="I238" s="320">
        <f>D227*F238*G238*(1-H238)</f>
        <v>1.4400000000000002E-7</v>
      </c>
      <c r="J238" s="309" t="s">
        <v>291</v>
      </c>
      <c r="K238" s="363">
        <v>0</v>
      </c>
      <c r="L238" s="396">
        <f t="shared" si="39"/>
        <v>1.4400000000000002E-7</v>
      </c>
      <c r="M238" s="258"/>
      <c r="O238" s="311" t="str">
        <f t="shared" si="40"/>
        <v>-</v>
      </c>
      <c r="P238" s="311" t="str">
        <f t="shared" si="40"/>
        <v>-</v>
      </c>
      <c r="Q238" s="311" t="str">
        <f t="shared" si="40"/>
        <v>-</v>
      </c>
      <c r="R238" s="311">
        <f t="shared" si="40"/>
        <v>1.44E-4</v>
      </c>
      <c r="S238" s="311" t="str">
        <f t="shared" si="40"/>
        <v>-</v>
      </c>
      <c r="T238" s="311" t="str">
        <f t="shared" si="40"/>
        <v>-</v>
      </c>
      <c r="U238" s="311" t="str">
        <f t="shared" si="40"/>
        <v>-</v>
      </c>
      <c r="V238" s="311" t="str">
        <f t="shared" si="40"/>
        <v>-</v>
      </c>
      <c r="W238" s="311" t="str">
        <f t="shared" si="40"/>
        <v>-</v>
      </c>
      <c r="X238" s="311" t="str">
        <f t="shared" si="40"/>
        <v>-</v>
      </c>
      <c r="Y238" s="311" t="str">
        <f t="shared" si="40"/>
        <v>-</v>
      </c>
      <c r="Z238" s="311" t="str">
        <f t="shared" si="40"/>
        <v>-</v>
      </c>
      <c r="AB238" s="311" t="str">
        <f>IF($E238=AB$3,#REF!*$F238,"-")</f>
        <v>-</v>
      </c>
      <c r="AC238" s="311" t="str">
        <f>IF($E238=AC$3,#REF!*$F238,"-")</f>
        <v>-</v>
      </c>
      <c r="AD238" s="311" t="str">
        <f>IF($E238=AD$3,#REF!*$F238,"-")</f>
        <v>-</v>
      </c>
      <c r="AE238" s="311" t="e">
        <f>IF($E238=AE$3,#REF!*$F238,"-")</f>
        <v>#REF!</v>
      </c>
      <c r="AF238" s="311" t="str">
        <f>IF($E238=AF$3,#REF!*$F238,"-")</f>
        <v>-</v>
      </c>
      <c r="AG238" s="311" t="str">
        <f>IF($E238=AG$3,#REF!*$F238,"-")</f>
        <v>-</v>
      </c>
      <c r="AH238" s="311" t="str">
        <f>IF($E238=AH$3,#REF!*$F238,"-")</f>
        <v>-</v>
      </c>
      <c r="AI238" s="311" t="str">
        <f>IF($E238=AI$3,#REF!*$F238,"-")</f>
        <v>-</v>
      </c>
      <c r="AJ238" s="311" t="str">
        <f>IF($E238=AJ$3,#REF!*$F238,"-")</f>
        <v>-</v>
      </c>
      <c r="AK238" s="311" t="str">
        <f>IF($E238=AK$3,#REF!*$F238,"-")</f>
        <v>-</v>
      </c>
      <c r="AL238" s="311" t="str">
        <f>IF($E238=AL$3,#REF!*$F238,"-")</f>
        <v>-</v>
      </c>
      <c r="AM238" s="311" t="str">
        <f>IF($E238=AM$3,#REF!*$F238,"-")</f>
        <v>-</v>
      </c>
    </row>
    <row r="239" spans="3:39" ht="14.25" x14ac:dyDescent="0.2">
      <c r="C239" s="561"/>
      <c r="D239" s="604"/>
      <c r="E239" s="309" t="s">
        <v>898</v>
      </c>
      <c r="F239" s="391">
        <v>9.0000000000000002E-6</v>
      </c>
      <c r="G239" s="309">
        <v>1E-3</v>
      </c>
      <c r="H239" s="392">
        <v>0</v>
      </c>
      <c r="I239" s="320">
        <f>D227*F239*G239*(1-H239)</f>
        <v>6.4800000000000009E-7</v>
      </c>
      <c r="J239" s="309" t="s">
        <v>291</v>
      </c>
      <c r="K239" s="363">
        <v>0</v>
      </c>
      <c r="L239" s="396">
        <f t="shared" si="39"/>
        <v>6.4800000000000009E-7</v>
      </c>
      <c r="M239" s="258"/>
      <c r="O239" s="311" t="str">
        <f t="shared" si="40"/>
        <v>-</v>
      </c>
      <c r="P239" s="311" t="str">
        <f t="shared" si="40"/>
        <v>-</v>
      </c>
      <c r="Q239" s="311" t="str">
        <f t="shared" si="40"/>
        <v>-</v>
      </c>
      <c r="R239" s="311" t="str">
        <f t="shared" si="40"/>
        <v>-</v>
      </c>
      <c r="S239" s="311" t="str">
        <f t="shared" si="40"/>
        <v>-</v>
      </c>
      <c r="T239" s="311" t="str">
        <f t="shared" si="40"/>
        <v>-</v>
      </c>
      <c r="U239" s="311" t="str">
        <f t="shared" si="40"/>
        <v>-</v>
      </c>
      <c r="V239" s="311" t="str">
        <f t="shared" si="40"/>
        <v>-</v>
      </c>
      <c r="W239" s="311" t="str">
        <f t="shared" si="40"/>
        <v>-</v>
      </c>
      <c r="X239" s="311" t="str">
        <f t="shared" si="40"/>
        <v>-</v>
      </c>
      <c r="Y239" s="311" t="str">
        <f t="shared" si="40"/>
        <v>-</v>
      </c>
      <c r="Z239" s="311" t="str">
        <f t="shared" si="40"/>
        <v>-</v>
      </c>
      <c r="AB239" s="311" t="str">
        <f>IF($E239=AB$3,#REF!*$F239,"-")</f>
        <v>-</v>
      </c>
      <c r="AC239" s="311" t="str">
        <f>IF($E239=AC$3,#REF!*$F239,"-")</f>
        <v>-</v>
      </c>
      <c r="AD239" s="311" t="str">
        <f>IF($E239=AD$3,#REF!*$F239,"-")</f>
        <v>-</v>
      </c>
      <c r="AE239" s="311" t="str">
        <f>IF($E239=AE$3,#REF!*$F239,"-")</f>
        <v>-</v>
      </c>
      <c r="AF239" s="311" t="str">
        <f>IF($E239=AF$3,#REF!*$F239,"-")</f>
        <v>-</v>
      </c>
      <c r="AG239" s="311" t="str">
        <f>IF($E239=AG$3,#REF!*$F239,"-")</f>
        <v>-</v>
      </c>
      <c r="AH239" s="311" t="str">
        <f>IF($E239=AH$3,#REF!*$F239,"-")</f>
        <v>-</v>
      </c>
      <c r="AI239" s="311" t="str">
        <f>IF($E239=AI$3,#REF!*$F239,"-")</f>
        <v>-</v>
      </c>
      <c r="AJ239" s="311" t="str">
        <f>IF($E239=AJ$3,#REF!*$F239,"-")</f>
        <v>-</v>
      </c>
      <c r="AK239" s="311" t="str">
        <f>IF($E239=AK$3,#REF!*$F239,"-")</f>
        <v>-</v>
      </c>
      <c r="AL239" s="311" t="str">
        <f>IF($E239=AL$3,#REF!*$F239,"-")</f>
        <v>-</v>
      </c>
      <c r="AM239" s="311" t="str">
        <f>IF($E239=AM$3,#REF!*$F239,"-")</f>
        <v>-</v>
      </c>
    </row>
    <row r="240" spans="3:39" ht="14.25" x14ac:dyDescent="0.2">
      <c r="C240" s="561"/>
      <c r="D240" s="604"/>
      <c r="E240" s="309" t="s">
        <v>909</v>
      </c>
      <c r="F240" s="391">
        <v>5.0000000000000004E-8</v>
      </c>
      <c r="G240" s="309">
        <v>1E-3</v>
      </c>
      <c r="H240" s="392">
        <v>0</v>
      </c>
      <c r="I240" s="320">
        <f>D227*F240*G240*(1-H240)</f>
        <v>3.6000000000000004E-9</v>
      </c>
      <c r="J240" s="309" t="s">
        <v>291</v>
      </c>
      <c r="K240" s="363">
        <v>0</v>
      </c>
      <c r="L240" s="396">
        <f t="shared" si="39"/>
        <v>3.6000000000000004E-9</v>
      </c>
      <c r="M240" s="258"/>
      <c r="O240" s="311" t="str">
        <f t="shared" si="40"/>
        <v>-</v>
      </c>
      <c r="P240" s="311" t="str">
        <f t="shared" si="40"/>
        <v>-</v>
      </c>
      <c r="Q240" s="311" t="str">
        <f t="shared" si="40"/>
        <v>-</v>
      </c>
      <c r="R240" s="311" t="str">
        <f t="shared" si="40"/>
        <v>-</v>
      </c>
      <c r="S240" s="311" t="str">
        <f t="shared" si="40"/>
        <v>-</v>
      </c>
      <c r="T240" s="311" t="str">
        <f t="shared" si="40"/>
        <v>-</v>
      </c>
      <c r="U240" s="311" t="str">
        <f t="shared" si="40"/>
        <v>-</v>
      </c>
      <c r="V240" s="311" t="str">
        <f t="shared" si="40"/>
        <v>-</v>
      </c>
      <c r="W240" s="311" t="str">
        <f t="shared" si="40"/>
        <v>-</v>
      </c>
      <c r="X240" s="311" t="str">
        <f t="shared" si="40"/>
        <v>-</v>
      </c>
      <c r="Y240" s="311" t="str">
        <f t="shared" si="40"/>
        <v>-</v>
      </c>
      <c r="Z240" s="311" t="str">
        <f t="shared" si="40"/>
        <v>-</v>
      </c>
      <c r="AB240" s="311" t="str">
        <f>IF($E240=AB$3,#REF!*$F240,"-")</f>
        <v>-</v>
      </c>
      <c r="AC240" s="311" t="str">
        <f>IF($E240=AC$3,#REF!*$F240,"-")</f>
        <v>-</v>
      </c>
      <c r="AD240" s="311" t="str">
        <f>IF($E240=AD$3,#REF!*$F240,"-")</f>
        <v>-</v>
      </c>
      <c r="AE240" s="311" t="str">
        <f>IF($E240=AE$3,#REF!*$F240,"-")</f>
        <v>-</v>
      </c>
      <c r="AF240" s="311" t="str">
        <f>IF($E240=AF$3,#REF!*$F240,"-")</f>
        <v>-</v>
      </c>
      <c r="AG240" s="311" t="str">
        <f>IF($E240=AG$3,#REF!*$F240,"-")</f>
        <v>-</v>
      </c>
      <c r="AH240" s="311" t="str">
        <f>IF($E240=AH$3,#REF!*$F240,"-")</f>
        <v>-</v>
      </c>
      <c r="AI240" s="311" t="str">
        <f>IF($E240=AI$3,#REF!*$F240,"-")</f>
        <v>-</v>
      </c>
      <c r="AJ240" s="311" t="str">
        <f>IF($E240=AJ$3,#REF!*$F240,"-")</f>
        <v>-</v>
      </c>
      <c r="AK240" s="311" t="str">
        <f>IF($E240=AK$3,#REF!*$F240,"-")</f>
        <v>-</v>
      </c>
      <c r="AL240" s="311" t="str">
        <f>IF($E240=AL$3,#REF!*$F240,"-")</f>
        <v>-</v>
      </c>
      <c r="AM240" s="311" t="str">
        <f>IF($E240=AM$3,#REF!*$F240,"-")</f>
        <v>-</v>
      </c>
    </row>
    <row r="241" spans="3:39" ht="14.25" x14ac:dyDescent="0.2">
      <c r="C241" s="561"/>
      <c r="D241" s="604"/>
      <c r="E241" s="309" t="s">
        <v>910</v>
      </c>
      <c r="F241" s="391">
        <v>1.0000000000000001E-7</v>
      </c>
      <c r="G241" s="309">
        <v>1E-3</v>
      </c>
      <c r="H241" s="392">
        <v>0</v>
      </c>
      <c r="I241" s="320">
        <f>D227*F241*G241*(1-H241)</f>
        <v>7.2000000000000008E-9</v>
      </c>
      <c r="J241" s="309" t="s">
        <v>291</v>
      </c>
      <c r="K241" s="363">
        <v>0</v>
      </c>
      <c r="L241" s="396">
        <f t="shared" si="39"/>
        <v>7.2000000000000008E-9</v>
      </c>
      <c r="M241" s="258"/>
      <c r="O241" s="311" t="str">
        <f t="shared" si="40"/>
        <v>-</v>
      </c>
      <c r="P241" s="311" t="str">
        <f t="shared" si="40"/>
        <v>-</v>
      </c>
      <c r="Q241" s="311" t="str">
        <f t="shared" si="40"/>
        <v>-</v>
      </c>
      <c r="R241" s="311" t="str">
        <f t="shared" si="40"/>
        <v>-</v>
      </c>
      <c r="S241" s="311" t="str">
        <f t="shared" si="40"/>
        <v>-</v>
      </c>
      <c r="T241" s="311" t="str">
        <f t="shared" si="40"/>
        <v>-</v>
      </c>
      <c r="U241" s="311" t="str">
        <f t="shared" si="40"/>
        <v>-</v>
      </c>
      <c r="V241" s="311" t="str">
        <f t="shared" si="40"/>
        <v>-</v>
      </c>
      <c r="W241" s="311" t="str">
        <f t="shared" si="40"/>
        <v>-</v>
      </c>
      <c r="X241" s="311" t="str">
        <f t="shared" si="40"/>
        <v>-</v>
      </c>
      <c r="Y241" s="311" t="str">
        <f t="shared" si="40"/>
        <v>-</v>
      </c>
      <c r="Z241" s="311" t="str">
        <f t="shared" si="40"/>
        <v>-</v>
      </c>
      <c r="AB241" s="311" t="str">
        <f>IF($E241=AB$3,#REF!*$F241,"-")</f>
        <v>-</v>
      </c>
      <c r="AC241" s="311" t="str">
        <f>IF($E241=AC$3,#REF!*$F241,"-")</f>
        <v>-</v>
      </c>
      <c r="AD241" s="311" t="str">
        <f>IF($E241=AD$3,#REF!*$F241,"-")</f>
        <v>-</v>
      </c>
      <c r="AE241" s="311" t="str">
        <f>IF($E241=AE$3,#REF!*$F241,"-")</f>
        <v>-</v>
      </c>
      <c r="AF241" s="311" t="str">
        <f>IF($E241=AF$3,#REF!*$F241,"-")</f>
        <v>-</v>
      </c>
      <c r="AG241" s="311" t="str">
        <f>IF($E241=AG$3,#REF!*$F241,"-")</f>
        <v>-</v>
      </c>
      <c r="AH241" s="311" t="str">
        <f>IF($E241=AH$3,#REF!*$F241,"-")</f>
        <v>-</v>
      </c>
      <c r="AI241" s="311" t="str">
        <f>IF($E241=AI$3,#REF!*$F241,"-")</f>
        <v>-</v>
      </c>
      <c r="AJ241" s="311" t="str">
        <f>IF($E241=AJ$3,#REF!*$F241,"-")</f>
        <v>-</v>
      </c>
      <c r="AK241" s="311" t="str">
        <f>IF($E241=AK$3,#REF!*$F241,"-")</f>
        <v>-</v>
      </c>
      <c r="AL241" s="311" t="str">
        <f>IF($E241=AL$3,#REF!*$F241,"-")</f>
        <v>-</v>
      </c>
      <c r="AM241" s="311" t="str">
        <f>IF($E241=AM$3,#REF!*$F241,"-")</f>
        <v>-</v>
      </c>
    </row>
    <row r="242" spans="3:39" ht="14.25" x14ac:dyDescent="0.2">
      <c r="C242" s="561"/>
      <c r="D242" s="604"/>
      <c r="E242" s="309" t="s">
        <v>901</v>
      </c>
      <c r="F242" s="391">
        <v>9.9999999999999995E-7</v>
      </c>
      <c r="G242" s="309">
        <v>1E-3</v>
      </c>
      <c r="H242" s="392">
        <v>0</v>
      </c>
      <c r="I242" s="320">
        <f>D227*F242*G242*(1-H242)</f>
        <v>7.2000000000000009E-8</v>
      </c>
      <c r="J242" s="309" t="s">
        <v>291</v>
      </c>
      <c r="K242" s="363">
        <v>0</v>
      </c>
      <c r="L242" s="396">
        <f t="shared" si="39"/>
        <v>7.2000000000000009E-8</v>
      </c>
      <c r="M242" s="258"/>
      <c r="O242" s="311" t="str">
        <f t="shared" si="40"/>
        <v>-</v>
      </c>
      <c r="P242" s="311" t="str">
        <f t="shared" si="40"/>
        <v>-</v>
      </c>
      <c r="Q242" s="311" t="str">
        <f t="shared" si="40"/>
        <v>-</v>
      </c>
      <c r="R242" s="311" t="str">
        <f t="shared" si="40"/>
        <v>-</v>
      </c>
      <c r="S242" s="311" t="str">
        <f t="shared" si="40"/>
        <v>-</v>
      </c>
      <c r="T242" s="311" t="str">
        <f t="shared" si="40"/>
        <v>-</v>
      </c>
      <c r="U242" s="311" t="str">
        <f t="shared" si="40"/>
        <v>-</v>
      </c>
      <c r="V242" s="311" t="str">
        <f t="shared" si="40"/>
        <v>-</v>
      </c>
      <c r="W242" s="311" t="str">
        <f t="shared" si="40"/>
        <v>-</v>
      </c>
      <c r="X242" s="311" t="str">
        <f t="shared" si="40"/>
        <v>-</v>
      </c>
      <c r="Y242" s="311" t="str">
        <f t="shared" si="40"/>
        <v>-</v>
      </c>
      <c r="Z242" s="311" t="str">
        <f t="shared" si="40"/>
        <v>-</v>
      </c>
      <c r="AB242" s="311" t="str">
        <f>IF($E242=AB$3,#REF!*$F242,"-")</f>
        <v>-</v>
      </c>
      <c r="AC242" s="311" t="str">
        <f>IF($E242=AC$3,#REF!*$F242,"-")</f>
        <v>-</v>
      </c>
      <c r="AD242" s="311" t="str">
        <f>IF($E242=AD$3,#REF!*$F242,"-")</f>
        <v>-</v>
      </c>
      <c r="AE242" s="311" t="str">
        <f>IF($E242=AE$3,#REF!*$F242,"-")</f>
        <v>-</v>
      </c>
      <c r="AF242" s="311" t="str">
        <f>IF($E242=AF$3,#REF!*$F242,"-")</f>
        <v>-</v>
      </c>
      <c r="AG242" s="311" t="str">
        <f>IF($E242=AG$3,#REF!*$F242,"-")</f>
        <v>-</v>
      </c>
      <c r="AH242" s="311" t="str">
        <f>IF($E242=AH$3,#REF!*$F242,"-")</f>
        <v>-</v>
      </c>
      <c r="AI242" s="311" t="str">
        <f>IF($E242=AI$3,#REF!*$F242,"-")</f>
        <v>-</v>
      </c>
      <c r="AJ242" s="311" t="str">
        <f>IF($E242=AJ$3,#REF!*$F242,"-")</f>
        <v>-</v>
      </c>
      <c r="AK242" s="311" t="str">
        <f>IF($E242=AK$3,#REF!*$F242,"-")</f>
        <v>-</v>
      </c>
      <c r="AL242" s="311" t="str">
        <f>IF($E242=AL$3,#REF!*$F242,"-")</f>
        <v>-</v>
      </c>
      <c r="AM242" s="311" t="str">
        <f>IF($E242=AM$3,#REF!*$F242,"-")</f>
        <v>-</v>
      </c>
    </row>
    <row r="243" spans="3:39" ht="14.25" x14ac:dyDescent="0.2">
      <c r="C243" s="561"/>
      <c r="D243" s="604"/>
      <c r="E243" s="309" t="s">
        <v>881</v>
      </c>
      <c r="F243" s="391">
        <v>9.9999999999999995E-7</v>
      </c>
      <c r="G243" s="309">
        <v>1E-3</v>
      </c>
      <c r="H243" s="392">
        <v>0</v>
      </c>
      <c r="I243" s="320">
        <f>D227*F243*G243*(1-H243)</f>
        <v>7.2000000000000009E-8</v>
      </c>
      <c r="J243" s="309" t="s">
        <v>291</v>
      </c>
      <c r="K243" s="363">
        <v>0</v>
      </c>
      <c r="L243" s="396">
        <f t="shared" si="39"/>
        <v>7.2000000000000009E-8</v>
      </c>
      <c r="M243" s="258"/>
      <c r="O243" s="311" t="str">
        <f t="shared" si="40"/>
        <v>-</v>
      </c>
      <c r="P243" s="311" t="str">
        <f t="shared" si="40"/>
        <v>-</v>
      </c>
      <c r="Q243" s="311" t="str">
        <f t="shared" si="40"/>
        <v>-</v>
      </c>
      <c r="R243" s="311" t="str">
        <f t="shared" si="40"/>
        <v>-</v>
      </c>
      <c r="S243" s="311">
        <f t="shared" si="40"/>
        <v>7.2000000000000002E-5</v>
      </c>
      <c r="T243" s="311" t="str">
        <f t="shared" si="40"/>
        <v>-</v>
      </c>
      <c r="U243" s="311" t="str">
        <f t="shared" si="40"/>
        <v>-</v>
      </c>
      <c r="V243" s="311" t="str">
        <f t="shared" si="40"/>
        <v>-</v>
      </c>
      <c r="W243" s="311" t="str">
        <f t="shared" si="40"/>
        <v>-</v>
      </c>
      <c r="X243" s="311" t="str">
        <f t="shared" si="40"/>
        <v>-</v>
      </c>
      <c r="Y243" s="311" t="str">
        <f t="shared" si="40"/>
        <v>-</v>
      </c>
      <c r="Z243" s="311" t="str">
        <f t="shared" si="40"/>
        <v>-</v>
      </c>
      <c r="AB243" s="311" t="str">
        <f>IF($E243=AB$3,#REF!*$F243,"-")</f>
        <v>-</v>
      </c>
      <c r="AC243" s="311" t="str">
        <f>IF($E243=AC$3,#REF!*$F243,"-")</f>
        <v>-</v>
      </c>
      <c r="AD243" s="311" t="str">
        <f>IF($E243=AD$3,#REF!*$F243,"-")</f>
        <v>-</v>
      </c>
      <c r="AE243" s="311" t="str">
        <f>IF($E243=AE$3,#REF!*$F243,"-")</f>
        <v>-</v>
      </c>
      <c r="AF243" s="311" t="e">
        <f>IF($E243=AF$3,#REF!*$F243,"-")</f>
        <v>#REF!</v>
      </c>
      <c r="AG243" s="311" t="str">
        <f>IF($E243=AG$3,#REF!*$F243,"-")</f>
        <v>-</v>
      </c>
      <c r="AH243" s="311" t="str">
        <f>IF($E243=AH$3,#REF!*$F243,"-")</f>
        <v>-</v>
      </c>
      <c r="AI243" s="311" t="str">
        <f>IF($E243=AI$3,#REF!*$F243,"-")</f>
        <v>-</v>
      </c>
      <c r="AJ243" s="311" t="str">
        <f>IF($E243=AJ$3,#REF!*$F243,"-")</f>
        <v>-</v>
      </c>
      <c r="AK243" s="311" t="str">
        <f>IF($E243=AK$3,#REF!*$F243,"-")</f>
        <v>-</v>
      </c>
      <c r="AL243" s="311" t="str">
        <f>IF($E243=AL$3,#REF!*$F243,"-")</f>
        <v>-</v>
      </c>
      <c r="AM243" s="311" t="str">
        <f>IF($E243=AM$3,#REF!*$F243,"-")</f>
        <v>-</v>
      </c>
    </row>
    <row r="244" spans="3:39" ht="14.25" x14ac:dyDescent="0.2">
      <c r="C244" s="561"/>
      <c r="D244" s="604"/>
      <c r="E244" s="309" t="s">
        <v>950</v>
      </c>
      <c r="F244" s="391">
        <v>9.9999999999999995E-7</v>
      </c>
      <c r="G244" s="309">
        <v>1E-3</v>
      </c>
      <c r="H244" s="392">
        <v>0</v>
      </c>
      <c r="I244" s="320">
        <f>D227*F244*G244*(1-H244)</f>
        <v>7.2000000000000009E-8</v>
      </c>
      <c r="J244" s="309" t="s">
        <v>291</v>
      </c>
      <c r="K244" s="363">
        <v>0</v>
      </c>
      <c r="L244" s="396">
        <f t="shared" si="39"/>
        <v>7.2000000000000009E-8</v>
      </c>
      <c r="M244" s="258"/>
      <c r="O244" s="311" t="str">
        <f t="shared" si="40"/>
        <v>-</v>
      </c>
      <c r="P244" s="311" t="str">
        <f t="shared" si="40"/>
        <v>-</v>
      </c>
      <c r="Q244" s="311" t="str">
        <f t="shared" si="40"/>
        <v>-</v>
      </c>
      <c r="R244" s="311" t="str">
        <f t="shared" si="40"/>
        <v>-</v>
      </c>
      <c r="S244" s="311" t="str">
        <f t="shared" si="40"/>
        <v>-</v>
      </c>
      <c r="T244" s="311" t="str">
        <f t="shared" si="40"/>
        <v>-</v>
      </c>
      <c r="U244" s="311" t="str">
        <f t="shared" si="40"/>
        <v>-</v>
      </c>
      <c r="V244" s="311" t="str">
        <f t="shared" si="40"/>
        <v>-</v>
      </c>
      <c r="W244" s="311" t="str">
        <f t="shared" si="40"/>
        <v>-</v>
      </c>
      <c r="X244" s="311" t="str">
        <f t="shared" si="40"/>
        <v>-</v>
      </c>
      <c r="Y244" s="311" t="str">
        <f t="shared" si="40"/>
        <v>-</v>
      </c>
      <c r="Z244" s="311" t="str">
        <f t="shared" si="40"/>
        <v>-</v>
      </c>
      <c r="AB244" s="311" t="str">
        <f>IF($E244=AB$3,#REF!*$F244,"-")</f>
        <v>-</v>
      </c>
      <c r="AC244" s="311" t="str">
        <f>IF($E244=AC$3,#REF!*$F244,"-")</f>
        <v>-</v>
      </c>
      <c r="AD244" s="311" t="str">
        <f>IF($E244=AD$3,#REF!*$F244,"-")</f>
        <v>-</v>
      </c>
      <c r="AE244" s="311" t="str">
        <f>IF($E244=AE$3,#REF!*$F244,"-")</f>
        <v>-</v>
      </c>
      <c r="AF244" s="311" t="str">
        <f>IF($E244=AF$3,#REF!*$F244,"-")</f>
        <v>-</v>
      </c>
      <c r="AG244" s="311" t="str">
        <f>IF($E244=AG$3,#REF!*$F244,"-")</f>
        <v>-</v>
      </c>
      <c r="AH244" s="311" t="str">
        <f>IF($E244=AH$3,#REF!*$F244,"-")</f>
        <v>-</v>
      </c>
      <c r="AI244" s="311" t="str">
        <f>IF($E244=AI$3,#REF!*$F244,"-")</f>
        <v>-</v>
      </c>
      <c r="AJ244" s="311" t="str">
        <f>IF($E244=AJ$3,#REF!*$F244,"-")</f>
        <v>-</v>
      </c>
      <c r="AK244" s="311" t="str">
        <f>IF($E244=AK$3,#REF!*$F244,"-")</f>
        <v>-</v>
      </c>
      <c r="AL244" s="311" t="str">
        <f>IF($E244=AL$3,#REF!*$F244,"-")</f>
        <v>-</v>
      </c>
      <c r="AM244" s="311" t="str">
        <f>IF($E244=AM$3,#REF!*$F244,"-")</f>
        <v>-</v>
      </c>
    </row>
    <row r="245" spans="3:39" ht="14.25" x14ac:dyDescent="0.2">
      <c r="C245" s="561"/>
      <c r="D245" s="604"/>
      <c r="E245" s="309" t="s">
        <v>911</v>
      </c>
      <c r="F245" s="391">
        <v>3.0000000000000004E-8</v>
      </c>
      <c r="G245" s="309">
        <v>1E-3</v>
      </c>
      <c r="H245" s="392">
        <v>0</v>
      </c>
      <c r="I245" s="320">
        <f>D227*F245*G245*(1-H245)</f>
        <v>2.1600000000000004E-9</v>
      </c>
      <c r="J245" s="309" t="s">
        <v>291</v>
      </c>
      <c r="K245" s="363">
        <v>0</v>
      </c>
      <c r="L245" s="396">
        <f t="shared" si="39"/>
        <v>2.1600000000000004E-9</v>
      </c>
      <c r="M245" s="258"/>
      <c r="O245" s="311" t="str">
        <f t="shared" si="40"/>
        <v>-</v>
      </c>
      <c r="P245" s="311" t="str">
        <f t="shared" si="40"/>
        <v>-</v>
      </c>
      <c r="Q245" s="311" t="str">
        <f t="shared" si="40"/>
        <v>-</v>
      </c>
      <c r="R245" s="311" t="str">
        <f t="shared" si="40"/>
        <v>-</v>
      </c>
      <c r="S245" s="311" t="str">
        <f t="shared" si="40"/>
        <v>-</v>
      </c>
      <c r="T245" s="311" t="str">
        <f t="shared" si="40"/>
        <v>-</v>
      </c>
      <c r="U245" s="311" t="str">
        <f t="shared" si="40"/>
        <v>-</v>
      </c>
      <c r="V245" s="311" t="str">
        <f t="shared" si="40"/>
        <v>-</v>
      </c>
      <c r="W245" s="311" t="str">
        <f t="shared" si="40"/>
        <v>-</v>
      </c>
      <c r="X245" s="311" t="str">
        <f t="shared" si="40"/>
        <v>-</v>
      </c>
      <c r="Y245" s="311" t="str">
        <f t="shared" si="40"/>
        <v>-</v>
      </c>
      <c r="Z245" s="311" t="str">
        <f t="shared" si="40"/>
        <v>-</v>
      </c>
      <c r="AB245" s="311" t="str">
        <f>IF($E245=AB$3,#REF!*$F245,"-")</f>
        <v>-</v>
      </c>
      <c r="AC245" s="311" t="str">
        <f>IF($E245=AC$3,#REF!*$F245,"-")</f>
        <v>-</v>
      </c>
      <c r="AD245" s="311" t="str">
        <f>IF($E245=AD$3,#REF!*$F245,"-")</f>
        <v>-</v>
      </c>
      <c r="AE245" s="311" t="str">
        <f>IF($E245=AE$3,#REF!*$F245,"-")</f>
        <v>-</v>
      </c>
      <c r="AF245" s="311" t="str">
        <f>IF($E245=AF$3,#REF!*$F245,"-")</f>
        <v>-</v>
      </c>
      <c r="AG245" s="311" t="str">
        <f>IF($E245=AG$3,#REF!*$F245,"-")</f>
        <v>-</v>
      </c>
      <c r="AH245" s="311" t="str">
        <f>IF($E245=AH$3,#REF!*$F245,"-")</f>
        <v>-</v>
      </c>
      <c r="AI245" s="311" t="str">
        <f>IF($E245=AI$3,#REF!*$F245,"-")</f>
        <v>-</v>
      </c>
      <c r="AJ245" s="311" t="str">
        <f>IF($E245=AJ$3,#REF!*$F245,"-")</f>
        <v>-</v>
      </c>
      <c r="AK245" s="311" t="str">
        <f>IF($E245=AK$3,#REF!*$F245,"-")</f>
        <v>-</v>
      </c>
      <c r="AL245" s="311" t="str">
        <f>IF($E245=AL$3,#REF!*$F245,"-")</f>
        <v>-</v>
      </c>
      <c r="AM245" s="311" t="str">
        <f>IF($E245=AM$3,#REF!*$F245,"-")</f>
        <v>-</v>
      </c>
    </row>
    <row r="246" spans="3:39" ht="14.25" x14ac:dyDescent="0.2">
      <c r="C246" s="561"/>
      <c r="D246" s="604"/>
      <c r="E246" s="309" t="s">
        <v>882</v>
      </c>
      <c r="F246" s="391">
        <v>5.0000000000000004E-6</v>
      </c>
      <c r="G246" s="309">
        <v>1E-3</v>
      </c>
      <c r="H246" s="392">
        <v>0</v>
      </c>
      <c r="I246" s="320">
        <f>D227*F246*G246*(1-H246)</f>
        <v>3.6000000000000005E-7</v>
      </c>
      <c r="J246" s="309" t="s">
        <v>291</v>
      </c>
      <c r="K246" s="363">
        <v>0</v>
      </c>
      <c r="L246" s="396">
        <f t="shared" si="39"/>
        <v>3.6000000000000005E-7</v>
      </c>
      <c r="M246" s="258"/>
      <c r="O246" s="311" t="str">
        <f t="shared" si="40"/>
        <v>-</v>
      </c>
      <c r="P246" s="311" t="str">
        <f t="shared" si="40"/>
        <v>-</v>
      </c>
      <c r="Q246" s="311" t="str">
        <f t="shared" si="40"/>
        <v>-</v>
      </c>
      <c r="R246" s="311" t="str">
        <f t="shared" si="40"/>
        <v>-</v>
      </c>
      <c r="S246" s="311" t="str">
        <f t="shared" si="40"/>
        <v>-</v>
      </c>
      <c r="T246" s="311">
        <f t="shared" si="40"/>
        <v>3.6000000000000002E-4</v>
      </c>
      <c r="U246" s="311" t="str">
        <f t="shared" si="40"/>
        <v>-</v>
      </c>
      <c r="V246" s="311" t="str">
        <f t="shared" si="40"/>
        <v>-</v>
      </c>
      <c r="W246" s="311" t="str">
        <f t="shared" si="40"/>
        <v>-</v>
      </c>
      <c r="X246" s="311" t="str">
        <f t="shared" si="40"/>
        <v>-</v>
      </c>
      <c r="Y246" s="311" t="str">
        <f t="shared" si="40"/>
        <v>-</v>
      </c>
      <c r="Z246" s="311" t="str">
        <f t="shared" si="40"/>
        <v>-</v>
      </c>
      <c r="AB246" s="311" t="str">
        <f>IF($E246=AB$3,#REF!*$F246,"-")</f>
        <v>-</v>
      </c>
      <c r="AC246" s="311" t="str">
        <f>IF($E246=AC$3,#REF!*$F246,"-")</f>
        <v>-</v>
      </c>
      <c r="AD246" s="311" t="str">
        <f>IF($E246=AD$3,#REF!*$F246,"-")</f>
        <v>-</v>
      </c>
      <c r="AE246" s="311" t="str">
        <f>IF($E246=AE$3,#REF!*$F246,"-")</f>
        <v>-</v>
      </c>
      <c r="AF246" s="311" t="str">
        <f>IF($E246=AF$3,#REF!*$F246,"-")</f>
        <v>-</v>
      </c>
      <c r="AG246" s="311" t="e">
        <f>IF($E246=AG$3,#REF!*$F246,"-")</f>
        <v>#REF!</v>
      </c>
      <c r="AH246" s="311" t="str">
        <f>IF($E246=AH$3,#REF!*$F246,"-")</f>
        <v>-</v>
      </c>
      <c r="AI246" s="311" t="str">
        <f>IF($E246=AI$3,#REF!*$F246,"-")</f>
        <v>-</v>
      </c>
      <c r="AJ246" s="311" t="str">
        <f>IF($E246=AJ$3,#REF!*$F246,"-")</f>
        <v>-</v>
      </c>
      <c r="AK246" s="311" t="str">
        <f>IF($E246=AK$3,#REF!*$F246,"-")</f>
        <v>-</v>
      </c>
      <c r="AL246" s="311" t="str">
        <f>IF($E246=AL$3,#REF!*$F246,"-")</f>
        <v>-</v>
      </c>
      <c r="AM246" s="311" t="str">
        <f>IF($E246=AM$3,#REF!*$F246,"-")</f>
        <v>-</v>
      </c>
    </row>
    <row r="247" spans="3:39" ht="14.25" x14ac:dyDescent="0.2">
      <c r="C247" s="561"/>
      <c r="D247" s="604"/>
      <c r="E247" s="309" t="s">
        <v>902</v>
      </c>
      <c r="F247" s="391">
        <v>9.9999999999999995E-7</v>
      </c>
      <c r="G247" s="309">
        <v>1E-3</v>
      </c>
      <c r="H247" s="392">
        <v>0</v>
      </c>
      <c r="I247" s="320">
        <f>D227*F247*G247*(1-H247)</f>
        <v>7.2000000000000009E-8</v>
      </c>
      <c r="J247" s="309" t="s">
        <v>291</v>
      </c>
      <c r="K247" s="363">
        <v>0</v>
      </c>
      <c r="L247" s="396">
        <f t="shared" si="39"/>
        <v>7.2000000000000009E-8</v>
      </c>
      <c r="M247" s="258"/>
      <c r="O247" s="311" t="str">
        <f t="shared" ref="O247:Z261" si="41">IF($E247=O$3,$D$227*$F247,"-")</f>
        <v>-</v>
      </c>
      <c r="P247" s="311" t="str">
        <f t="shared" si="41"/>
        <v>-</v>
      </c>
      <c r="Q247" s="311" t="str">
        <f t="shared" si="41"/>
        <v>-</v>
      </c>
      <c r="R247" s="311" t="str">
        <f t="shared" si="41"/>
        <v>-</v>
      </c>
      <c r="S247" s="311" t="str">
        <f t="shared" si="41"/>
        <v>-</v>
      </c>
      <c r="T247" s="311" t="str">
        <f t="shared" si="41"/>
        <v>-</v>
      </c>
      <c r="U247" s="311" t="str">
        <f t="shared" si="41"/>
        <v>-</v>
      </c>
      <c r="V247" s="311" t="str">
        <f t="shared" si="41"/>
        <v>-</v>
      </c>
      <c r="W247" s="311" t="str">
        <f t="shared" si="41"/>
        <v>-</v>
      </c>
      <c r="X247" s="311" t="str">
        <f t="shared" si="41"/>
        <v>-</v>
      </c>
      <c r="Y247" s="311" t="str">
        <f t="shared" si="41"/>
        <v>-</v>
      </c>
      <c r="Z247" s="311" t="str">
        <f t="shared" si="41"/>
        <v>-</v>
      </c>
      <c r="AB247" s="311" t="str">
        <f>IF($E247=AB$3,#REF!*$F247,"-")</f>
        <v>-</v>
      </c>
      <c r="AC247" s="311" t="str">
        <f>IF($E247=AC$3,#REF!*$F247,"-")</f>
        <v>-</v>
      </c>
      <c r="AD247" s="311" t="str">
        <f>IF($E247=AD$3,#REF!*$F247,"-")</f>
        <v>-</v>
      </c>
      <c r="AE247" s="311" t="str">
        <f>IF($E247=AE$3,#REF!*$F247,"-")</f>
        <v>-</v>
      </c>
      <c r="AF247" s="311" t="str">
        <f>IF($E247=AF$3,#REF!*$F247,"-")</f>
        <v>-</v>
      </c>
      <c r="AG247" s="311" t="str">
        <f>IF($E247=AG$3,#REF!*$F247,"-")</f>
        <v>-</v>
      </c>
      <c r="AH247" s="311" t="str">
        <f>IF($E247=AH$3,#REF!*$F247,"-")</f>
        <v>-</v>
      </c>
      <c r="AI247" s="311" t="str">
        <f>IF($E247=AI$3,#REF!*$F247,"-")</f>
        <v>-</v>
      </c>
      <c r="AJ247" s="311" t="str">
        <f>IF($E247=AJ$3,#REF!*$F247,"-")</f>
        <v>-</v>
      </c>
      <c r="AK247" s="311" t="str">
        <f>IF($E247=AK$3,#REF!*$F247,"-")</f>
        <v>-</v>
      </c>
      <c r="AL247" s="311" t="str">
        <f>IF($E247=AL$3,#REF!*$F247,"-")</f>
        <v>-</v>
      </c>
      <c r="AM247" s="311" t="str">
        <f>IF($E247=AM$3,#REF!*$F247,"-")</f>
        <v>-</v>
      </c>
    </row>
    <row r="248" spans="3:39" ht="14.25" x14ac:dyDescent="0.2">
      <c r="C248" s="561"/>
      <c r="D248" s="604"/>
      <c r="E248" s="309" t="s">
        <v>883</v>
      </c>
      <c r="F248" s="391">
        <v>1.0000000000000001E-7</v>
      </c>
      <c r="G248" s="309">
        <v>1E-3</v>
      </c>
      <c r="H248" s="392">
        <v>0</v>
      </c>
      <c r="I248" s="320">
        <f>D227*F248*G248*(1-H248)</f>
        <v>7.2000000000000008E-9</v>
      </c>
      <c r="J248" s="309" t="s">
        <v>291</v>
      </c>
      <c r="K248" s="363">
        <v>0</v>
      </c>
      <c r="L248" s="396">
        <f t="shared" si="39"/>
        <v>7.2000000000000008E-9</v>
      </c>
      <c r="M248" s="258"/>
      <c r="O248" s="311" t="str">
        <f t="shared" si="41"/>
        <v>-</v>
      </c>
      <c r="P248" s="311" t="str">
        <f t="shared" si="41"/>
        <v>-</v>
      </c>
      <c r="Q248" s="311" t="str">
        <f t="shared" si="41"/>
        <v>-</v>
      </c>
      <c r="R248" s="311" t="str">
        <f t="shared" si="41"/>
        <v>-</v>
      </c>
      <c r="S248" s="311" t="str">
        <f t="shared" si="41"/>
        <v>-</v>
      </c>
      <c r="T248" s="311" t="str">
        <f t="shared" si="41"/>
        <v>-</v>
      </c>
      <c r="U248" s="311">
        <f t="shared" si="41"/>
        <v>7.2000000000000005E-6</v>
      </c>
      <c r="V248" s="311" t="str">
        <f t="shared" si="41"/>
        <v>-</v>
      </c>
      <c r="W248" s="311" t="str">
        <f t="shared" si="41"/>
        <v>-</v>
      </c>
      <c r="X248" s="311" t="str">
        <f t="shared" si="41"/>
        <v>-</v>
      </c>
      <c r="Y248" s="311" t="str">
        <f t="shared" si="41"/>
        <v>-</v>
      </c>
      <c r="Z248" s="311" t="str">
        <f t="shared" si="41"/>
        <v>-</v>
      </c>
      <c r="AB248" s="311" t="str">
        <f>IF($E248=AB$3,#REF!*$F248,"-")</f>
        <v>-</v>
      </c>
      <c r="AC248" s="311" t="str">
        <f>IF($E248=AC$3,#REF!*$F248,"-")</f>
        <v>-</v>
      </c>
      <c r="AD248" s="311" t="str">
        <f>IF($E248=AD$3,#REF!*$F248,"-")</f>
        <v>-</v>
      </c>
      <c r="AE248" s="311" t="str">
        <f>IF($E248=AE$3,#REF!*$F248,"-")</f>
        <v>-</v>
      </c>
      <c r="AF248" s="311" t="str">
        <f>IF($E248=AF$3,#REF!*$F248,"-")</f>
        <v>-</v>
      </c>
      <c r="AG248" s="311" t="str">
        <f>IF($E248=AG$3,#REF!*$F248,"-")</f>
        <v>-</v>
      </c>
      <c r="AH248" s="311" t="e">
        <f>IF($E248=AH$3,#REF!*$F248,"-")</f>
        <v>#REF!</v>
      </c>
      <c r="AI248" s="311" t="str">
        <f>IF($E248=AI$3,#REF!*$F248,"-")</f>
        <v>-</v>
      </c>
      <c r="AJ248" s="311" t="str">
        <f>IF($E248=AJ$3,#REF!*$F248,"-")</f>
        <v>-</v>
      </c>
      <c r="AK248" s="311" t="str">
        <f>IF($E248=AK$3,#REF!*$F248,"-")</f>
        <v>-</v>
      </c>
      <c r="AL248" s="311" t="str">
        <f>IF($E248=AL$3,#REF!*$F248,"-")</f>
        <v>-</v>
      </c>
      <c r="AM248" s="311" t="str">
        <f>IF($E248=AM$3,#REF!*$F248,"-")</f>
        <v>-</v>
      </c>
    </row>
    <row r="249" spans="3:39" ht="14.25" x14ac:dyDescent="0.2">
      <c r="C249" s="561"/>
      <c r="D249" s="604"/>
      <c r="E249" s="309" t="s">
        <v>903</v>
      </c>
      <c r="F249" s="391">
        <v>1.9999999999999999E-6</v>
      </c>
      <c r="G249" s="309">
        <v>1E-3</v>
      </c>
      <c r="H249" s="392">
        <v>0</v>
      </c>
      <c r="I249" s="320">
        <f>D227*F249*G249*(1-H249)</f>
        <v>1.4400000000000002E-7</v>
      </c>
      <c r="J249" s="309" t="s">
        <v>291</v>
      </c>
      <c r="K249" s="363">
        <v>0</v>
      </c>
      <c r="L249" s="396">
        <f t="shared" si="39"/>
        <v>1.4400000000000002E-7</v>
      </c>
      <c r="M249" s="258"/>
      <c r="O249" s="311" t="str">
        <f t="shared" si="41"/>
        <v>-</v>
      </c>
      <c r="P249" s="311" t="str">
        <f t="shared" si="41"/>
        <v>-</v>
      </c>
      <c r="Q249" s="311" t="str">
        <f t="shared" si="41"/>
        <v>-</v>
      </c>
      <c r="R249" s="311" t="str">
        <f t="shared" si="41"/>
        <v>-</v>
      </c>
      <c r="S249" s="311" t="str">
        <f t="shared" si="41"/>
        <v>-</v>
      </c>
      <c r="T249" s="311" t="str">
        <f t="shared" si="41"/>
        <v>-</v>
      </c>
      <c r="U249" s="311" t="str">
        <f t="shared" si="41"/>
        <v>-</v>
      </c>
      <c r="V249" s="311" t="str">
        <f t="shared" si="41"/>
        <v>-</v>
      </c>
      <c r="W249" s="311" t="str">
        <f t="shared" si="41"/>
        <v>-</v>
      </c>
      <c r="X249" s="311" t="str">
        <f t="shared" si="41"/>
        <v>-</v>
      </c>
      <c r="Y249" s="311" t="str">
        <f t="shared" si="41"/>
        <v>-</v>
      </c>
      <c r="Z249" s="311" t="str">
        <f t="shared" si="41"/>
        <v>-</v>
      </c>
      <c r="AB249" s="311" t="str">
        <f>IF($E249=AB$3,#REF!*$F249,"-")</f>
        <v>-</v>
      </c>
      <c r="AC249" s="311" t="str">
        <f>IF($E249=AC$3,#REF!*$F249,"-")</f>
        <v>-</v>
      </c>
      <c r="AD249" s="311" t="str">
        <f>IF($E249=AD$3,#REF!*$F249,"-")</f>
        <v>-</v>
      </c>
      <c r="AE249" s="311" t="str">
        <f>IF($E249=AE$3,#REF!*$F249,"-")</f>
        <v>-</v>
      </c>
      <c r="AF249" s="311" t="str">
        <f>IF($E249=AF$3,#REF!*$F249,"-")</f>
        <v>-</v>
      </c>
      <c r="AG249" s="311" t="str">
        <f>IF($E249=AG$3,#REF!*$F249,"-")</f>
        <v>-</v>
      </c>
      <c r="AH249" s="311" t="str">
        <f>IF($E249=AH$3,#REF!*$F249,"-")</f>
        <v>-</v>
      </c>
      <c r="AI249" s="311" t="str">
        <f>IF($E249=AI$3,#REF!*$F249,"-")</f>
        <v>-</v>
      </c>
      <c r="AJ249" s="311" t="str">
        <f>IF($E249=AJ$3,#REF!*$F249,"-")</f>
        <v>-</v>
      </c>
      <c r="AK249" s="311" t="str">
        <f>IF($E249=AK$3,#REF!*$F249,"-")</f>
        <v>-</v>
      </c>
      <c r="AL249" s="311" t="str">
        <f>IF($E249=AL$3,#REF!*$F249,"-")</f>
        <v>-</v>
      </c>
      <c r="AM249" s="311" t="str">
        <f>IF($E249=AM$3,#REF!*$F249,"-")</f>
        <v>-</v>
      </c>
    </row>
    <row r="250" spans="3:39" ht="14.25" x14ac:dyDescent="0.2">
      <c r="C250" s="561"/>
      <c r="D250" s="604"/>
      <c r="E250" s="309" t="s">
        <v>904</v>
      </c>
      <c r="F250" s="391">
        <v>9.9999999999999995E-7</v>
      </c>
      <c r="G250" s="309">
        <v>1E-3</v>
      </c>
      <c r="H250" s="392">
        <v>0</v>
      </c>
      <c r="I250" s="320">
        <f>D227*F250*G250*(1-H250)</f>
        <v>7.2000000000000009E-8</v>
      </c>
      <c r="J250" s="309" t="s">
        <v>291</v>
      </c>
      <c r="K250" s="363">
        <v>0</v>
      </c>
      <c r="L250" s="396">
        <f t="shared" si="39"/>
        <v>7.2000000000000009E-8</v>
      </c>
      <c r="M250" s="258"/>
      <c r="O250" s="311" t="str">
        <f t="shared" si="41"/>
        <v>-</v>
      </c>
      <c r="P250" s="311" t="str">
        <f t="shared" si="41"/>
        <v>-</v>
      </c>
      <c r="Q250" s="311" t="str">
        <f t="shared" si="41"/>
        <v>-</v>
      </c>
      <c r="R250" s="311" t="str">
        <f t="shared" si="41"/>
        <v>-</v>
      </c>
      <c r="S250" s="311" t="str">
        <f t="shared" si="41"/>
        <v>-</v>
      </c>
      <c r="T250" s="311" t="str">
        <f t="shared" si="41"/>
        <v>-</v>
      </c>
      <c r="U250" s="311" t="str">
        <f t="shared" si="41"/>
        <v>-</v>
      </c>
      <c r="V250" s="311" t="str">
        <f t="shared" si="41"/>
        <v>-</v>
      </c>
      <c r="W250" s="311" t="str">
        <f t="shared" si="41"/>
        <v>-</v>
      </c>
      <c r="X250" s="311" t="str">
        <f t="shared" si="41"/>
        <v>-</v>
      </c>
      <c r="Y250" s="311" t="str">
        <f t="shared" si="41"/>
        <v>-</v>
      </c>
      <c r="Z250" s="311" t="str">
        <f t="shared" si="41"/>
        <v>-</v>
      </c>
      <c r="AB250" s="311" t="str">
        <f>IF($E250=AB$3,#REF!*$F250,"-")</f>
        <v>-</v>
      </c>
      <c r="AC250" s="311" t="str">
        <f>IF($E250=AC$3,#REF!*$F250,"-")</f>
        <v>-</v>
      </c>
      <c r="AD250" s="311" t="str">
        <f>IF($E250=AD$3,#REF!*$F250,"-")</f>
        <v>-</v>
      </c>
      <c r="AE250" s="311" t="str">
        <f>IF($E250=AE$3,#REF!*$F250,"-")</f>
        <v>-</v>
      </c>
      <c r="AF250" s="311" t="str">
        <f>IF($E250=AF$3,#REF!*$F250,"-")</f>
        <v>-</v>
      </c>
      <c r="AG250" s="311" t="str">
        <f>IF($E250=AG$3,#REF!*$F250,"-")</f>
        <v>-</v>
      </c>
      <c r="AH250" s="311" t="str">
        <f>IF($E250=AH$3,#REF!*$F250,"-")</f>
        <v>-</v>
      </c>
      <c r="AI250" s="311" t="str">
        <f>IF($E250=AI$3,#REF!*$F250,"-")</f>
        <v>-</v>
      </c>
      <c r="AJ250" s="311" t="str">
        <f>IF($E250=AJ$3,#REF!*$F250,"-")</f>
        <v>-</v>
      </c>
      <c r="AK250" s="311" t="str">
        <f>IF($E250=AK$3,#REF!*$F250,"-")</f>
        <v>-</v>
      </c>
      <c r="AL250" s="311" t="str">
        <f>IF($E250=AL$3,#REF!*$F250,"-")</f>
        <v>-</v>
      </c>
      <c r="AM250" s="311" t="str">
        <f>IF($E250=AM$3,#REF!*$F250,"-")</f>
        <v>-</v>
      </c>
    </row>
    <row r="251" spans="3:39" ht="14.25" x14ac:dyDescent="0.2">
      <c r="C251" s="561"/>
      <c r="D251" s="604"/>
      <c r="E251" s="309" t="s">
        <v>884</v>
      </c>
      <c r="F251" s="391">
        <v>1.9999999999999999E-6</v>
      </c>
      <c r="G251" s="309">
        <v>1E-3</v>
      </c>
      <c r="H251" s="392">
        <v>0</v>
      </c>
      <c r="I251" s="320">
        <f>D227*F251*G251*(1-H251)</f>
        <v>1.4400000000000002E-7</v>
      </c>
      <c r="J251" s="309" t="s">
        <v>291</v>
      </c>
      <c r="K251" s="363">
        <v>0</v>
      </c>
      <c r="L251" s="396">
        <f t="shared" si="39"/>
        <v>1.4400000000000002E-7</v>
      </c>
      <c r="M251" s="258"/>
      <c r="O251" s="311" t="str">
        <f t="shared" si="41"/>
        <v>-</v>
      </c>
      <c r="P251" s="311" t="str">
        <f t="shared" si="41"/>
        <v>-</v>
      </c>
      <c r="Q251" s="311" t="str">
        <f t="shared" si="41"/>
        <v>-</v>
      </c>
      <c r="R251" s="311" t="str">
        <f t="shared" si="41"/>
        <v>-</v>
      </c>
      <c r="S251" s="311" t="str">
        <f t="shared" si="41"/>
        <v>-</v>
      </c>
      <c r="T251" s="311" t="str">
        <f t="shared" si="41"/>
        <v>-</v>
      </c>
      <c r="U251" s="311" t="str">
        <f t="shared" si="41"/>
        <v>-</v>
      </c>
      <c r="V251" s="311">
        <f t="shared" si="41"/>
        <v>1.44E-4</v>
      </c>
      <c r="W251" s="311" t="str">
        <f t="shared" si="41"/>
        <v>-</v>
      </c>
      <c r="X251" s="311" t="str">
        <f t="shared" si="41"/>
        <v>-</v>
      </c>
      <c r="Y251" s="311" t="str">
        <f t="shared" si="41"/>
        <v>-</v>
      </c>
      <c r="Z251" s="311" t="str">
        <f t="shared" si="41"/>
        <v>-</v>
      </c>
      <c r="AB251" s="311" t="str">
        <f>IF($E251=AB$3,#REF!*$F251,"-")</f>
        <v>-</v>
      </c>
      <c r="AC251" s="311" t="str">
        <f>IF($E251=AC$3,#REF!*$F251,"-")</f>
        <v>-</v>
      </c>
      <c r="AD251" s="311" t="str">
        <f>IF($E251=AD$3,#REF!*$F251,"-")</f>
        <v>-</v>
      </c>
      <c r="AE251" s="311" t="str">
        <f>IF($E251=AE$3,#REF!*$F251,"-")</f>
        <v>-</v>
      </c>
      <c r="AF251" s="311" t="str">
        <f>IF($E251=AF$3,#REF!*$F251,"-")</f>
        <v>-</v>
      </c>
      <c r="AG251" s="311" t="str">
        <f>IF($E251=AG$3,#REF!*$F251,"-")</f>
        <v>-</v>
      </c>
      <c r="AH251" s="311" t="str">
        <f>IF($E251=AH$3,#REF!*$F251,"-")</f>
        <v>-</v>
      </c>
      <c r="AI251" s="311" t="e">
        <f>IF($E251=AI$3,#REF!*$F251,"-")</f>
        <v>#REF!</v>
      </c>
      <c r="AJ251" s="311" t="str">
        <f>IF($E251=AJ$3,#REF!*$F251,"-")</f>
        <v>-</v>
      </c>
      <c r="AK251" s="311" t="str">
        <f>IF($E251=AK$3,#REF!*$F251,"-")</f>
        <v>-</v>
      </c>
      <c r="AL251" s="311" t="str">
        <f>IF($E251=AL$3,#REF!*$F251,"-")</f>
        <v>-</v>
      </c>
      <c r="AM251" s="311" t="str">
        <f>IF($E251=AM$3,#REF!*$F251,"-")</f>
        <v>-</v>
      </c>
    </row>
    <row r="252" spans="3:39" ht="14.25" x14ac:dyDescent="0.2">
      <c r="C252" s="561"/>
      <c r="D252" s="604"/>
      <c r="E252" s="309" t="s">
        <v>906</v>
      </c>
      <c r="F252" s="391">
        <v>9.9999999999999995E-7</v>
      </c>
      <c r="G252" s="309">
        <v>1E-3</v>
      </c>
      <c r="H252" s="392">
        <v>0</v>
      </c>
      <c r="I252" s="320">
        <f>D227*F252*G252*(1-H252)</f>
        <v>7.2000000000000009E-8</v>
      </c>
      <c r="J252" s="309" t="s">
        <v>291</v>
      </c>
      <c r="K252" s="363">
        <v>0</v>
      </c>
      <c r="L252" s="396">
        <f t="shared" si="39"/>
        <v>7.2000000000000009E-8</v>
      </c>
      <c r="M252" s="258"/>
      <c r="O252" s="311" t="str">
        <f t="shared" si="41"/>
        <v>-</v>
      </c>
      <c r="P252" s="311" t="str">
        <f t="shared" si="41"/>
        <v>-</v>
      </c>
      <c r="Q252" s="311" t="str">
        <f t="shared" si="41"/>
        <v>-</v>
      </c>
      <c r="R252" s="311" t="str">
        <f t="shared" si="41"/>
        <v>-</v>
      </c>
      <c r="S252" s="311" t="str">
        <f t="shared" si="41"/>
        <v>-</v>
      </c>
      <c r="T252" s="311" t="str">
        <f t="shared" si="41"/>
        <v>-</v>
      </c>
      <c r="U252" s="311" t="str">
        <f t="shared" si="41"/>
        <v>-</v>
      </c>
      <c r="V252" s="311" t="str">
        <f t="shared" si="41"/>
        <v>-</v>
      </c>
      <c r="W252" s="311" t="str">
        <f t="shared" si="41"/>
        <v>-</v>
      </c>
      <c r="X252" s="311" t="str">
        <f t="shared" si="41"/>
        <v>-</v>
      </c>
      <c r="Y252" s="311" t="str">
        <f t="shared" si="41"/>
        <v>-</v>
      </c>
      <c r="Z252" s="311" t="str">
        <f t="shared" si="41"/>
        <v>-</v>
      </c>
      <c r="AB252" s="311" t="str">
        <f>IF($E252=AB$3,#REF!*$F252,"-")</f>
        <v>-</v>
      </c>
      <c r="AC252" s="311" t="str">
        <f>IF($E252=AC$3,#REF!*$F252,"-")</f>
        <v>-</v>
      </c>
      <c r="AD252" s="311" t="str">
        <f>IF($E252=AD$3,#REF!*$F252,"-")</f>
        <v>-</v>
      </c>
      <c r="AE252" s="311" t="str">
        <f>IF($E252=AE$3,#REF!*$F252,"-")</f>
        <v>-</v>
      </c>
      <c r="AF252" s="311" t="str">
        <f>IF($E252=AF$3,#REF!*$F252,"-")</f>
        <v>-</v>
      </c>
      <c r="AG252" s="311" t="str">
        <f>IF($E252=AG$3,#REF!*$F252,"-")</f>
        <v>-</v>
      </c>
      <c r="AH252" s="311" t="str">
        <f>IF($E252=AH$3,#REF!*$F252,"-")</f>
        <v>-</v>
      </c>
      <c r="AI252" s="311" t="str">
        <f>IF($E252=AI$3,#REF!*$F252,"-")</f>
        <v>-</v>
      </c>
      <c r="AJ252" s="311" t="str">
        <f>IF($E252=AJ$3,#REF!*$F252,"-")</f>
        <v>-</v>
      </c>
      <c r="AK252" s="311" t="str">
        <f>IF($E252=AK$3,#REF!*$F252,"-")</f>
        <v>-</v>
      </c>
      <c r="AL252" s="311" t="str">
        <f>IF($E252=AL$3,#REF!*$F252,"-")</f>
        <v>-</v>
      </c>
      <c r="AM252" s="311" t="str">
        <f>IF($E252=AM$3,#REF!*$F252,"-")</f>
        <v>-</v>
      </c>
    </row>
    <row r="253" spans="3:39" ht="14.25" x14ac:dyDescent="0.2">
      <c r="C253" s="561"/>
      <c r="D253" s="604"/>
      <c r="E253" s="309" t="s">
        <v>907</v>
      </c>
      <c r="F253" s="391">
        <v>9.9999999999999995E-7</v>
      </c>
      <c r="G253" s="309">
        <v>1E-3</v>
      </c>
      <c r="H253" s="392">
        <v>0</v>
      </c>
      <c r="I253" s="320">
        <f>D227*F253*G253*(1-H253)</f>
        <v>7.2000000000000009E-8</v>
      </c>
      <c r="J253" s="309" t="s">
        <v>291</v>
      </c>
      <c r="K253" s="363">
        <v>0</v>
      </c>
      <c r="L253" s="396">
        <f t="shared" si="39"/>
        <v>7.2000000000000009E-8</v>
      </c>
      <c r="M253" s="258"/>
      <c r="O253" s="311" t="str">
        <f t="shared" si="41"/>
        <v>-</v>
      </c>
      <c r="P253" s="311" t="str">
        <f t="shared" si="41"/>
        <v>-</v>
      </c>
      <c r="Q253" s="311" t="str">
        <f t="shared" si="41"/>
        <v>-</v>
      </c>
      <c r="R253" s="311" t="str">
        <f t="shared" si="41"/>
        <v>-</v>
      </c>
      <c r="S253" s="311" t="str">
        <f t="shared" si="41"/>
        <v>-</v>
      </c>
      <c r="T253" s="311" t="str">
        <f t="shared" si="41"/>
        <v>-</v>
      </c>
      <c r="U253" s="311" t="str">
        <f t="shared" si="41"/>
        <v>-</v>
      </c>
      <c r="V253" s="311" t="str">
        <f t="shared" si="41"/>
        <v>-</v>
      </c>
      <c r="W253" s="311" t="str">
        <f t="shared" si="41"/>
        <v>-</v>
      </c>
      <c r="X253" s="311" t="str">
        <f t="shared" si="41"/>
        <v>-</v>
      </c>
      <c r="Y253" s="311" t="str">
        <f t="shared" si="41"/>
        <v>-</v>
      </c>
      <c r="Z253" s="311" t="str">
        <f t="shared" si="41"/>
        <v>-</v>
      </c>
      <c r="AB253" s="311" t="str">
        <f>IF($E253=AB$3,#REF!*$F253,"-")</f>
        <v>-</v>
      </c>
      <c r="AC253" s="311" t="str">
        <f>IF($E253=AC$3,#REF!*$F253,"-")</f>
        <v>-</v>
      </c>
      <c r="AD253" s="311" t="str">
        <f>IF($E253=AD$3,#REF!*$F253,"-")</f>
        <v>-</v>
      </c>
      <c r="AE253" s="311" t="str">
        <f>IF($E253=AE$3,#REF!*$F253,"-")</f>
        <v>-</v>
      </c>
      <c r="AF253" s="311" t="str">
        <f>IF($E253=AF$3,#REF!*$F253,"-")</f>
        <v>-</v>
      </c>
      <c r="AG253" s="311" t="str">
        <f>IF($E253=AG$3,#REF!*$F253,"-")</f>
        <v>-</v>
      </c>
      <c r="AH253" s="311" t="str">
        <f>IF($E253=AH$3,#REF!*$F253,"-")</f>
        <v>-</v>
      </c>
      <c r="AI253" s="311" t="str">
        <f>IF($E253=AI$3,#REF!*$F253,"-")</f>
        <v>-</v>
      </c>
      <c r="AJ253" s="311" t="str">
        <f>IF($E253=AJ$3,#REF!*$F253,"-")</f>
        <v>-</v>
      </c>
      <c r="AK253" s="311" t="str">
        <f>IF($E253=AK$3,#REF!*$F253,"-")</f>
        <v>-</v>
      </c>
      <c r="AL253" s="311" t="str">
        <f>IF($E253=AL$3,#REF!*$F253,"-")</f>
        <v>-</v>
      </c>
      <c r="AM253" s="311" t="str">
        <f>IF($E253=AM$3,#REF!*$F253,"-")</f>
        <v>-</v>
      </c>
    </row>
    <row r="254" spans="3:39" ht="14.25" x14ac:dyDescent="0.2">
      <c r="C254" s="561"/>
      <c r="D254" s="604"/>
      <c r="E254" s="309" t="s">
        <v>908</v>
      </c>
      <c r="F254" s="391">
        <v>9.9999999999999995E-7</v>
      </c>
      <c r="G254" s="309">
        <v>1E-3</v>
      </c>
      <c r="H254" s="392">
        <v>0</v>
      </c>
      <c r="I254" s="320">
        <f>D227*F254*G254*(1-H254)</f>
        <v>7.2000000000000009E-8</v>
      </c>
      <c r="J254" s="309" t="s">
        <v>291</v>
      </c>
      <c r="K254" s="363">
        <v>0</v>
      </c>
      <c r="L254" s="396">
        <f t="shared" si="39"/>
        <v>7.2000000000000009E-8</v>
      </c>
      <c r="M254" s="258"/>
      <c r="O254" s="311" t="str">
        <f t="shared" si="41"/>
        <v>-</v>
      </c>
      <c r="P254" s="311" t="str">
        <f t="shared" si="41"/>
        <v>-</v>
      </c>
      <c r="Q254" s="311" t="str">
        <f t="shared" si="41"/>
        <v>-</v>
      </c>
      <c r="R254" s="311" t="str">
        <f t="shared" si="41"/>
        <v>-</v>
      </c>
      <c r="S254" s="311" t="str">
        <f t="shared" si="41"/>
        <v>-</v>
      </c>
      <c r="T254" s="311" t="str">
        <f t="shared" si="41"/>
        <v>-</v>
      </c>
      <c r="U254" s="311" t="str">
        <f t="shared" si="41"/>
        <v>-</v>
      </c>
      <c r="V254" s="311" t="str">
        <f t="shared" si="41"/>
        <v>-</v>
      </c>
      <c r="W254" s="311" t="str">
        <f t="shared" si="41"/>
        <v>-</v>
      </c>
      <c r="X254" s="311" t="str">
        <f t="shared" si="41"/>
        <v>-</v>
      </c>
      <c r="Y254" s="311" t="str">
        <f t="shared" si="41"/>
        <v>-</v>
      </c>
      <c r="Z254" s="311" t="str">
        <f t="shared" si="41"/>
        <v>-</v>
      </c>
      <c r="AB254" s="311" t="str">
        <f>IF($E254=AB$3,#REF!*$F254,"-")</f>
        <v>-</v>
      </c>
      <c r="AC254" s="311" t="str">
        <f>IF($E254=AC$3,#REF!*$F254,"-")</f>
        <v>-</v>
      </c>
      <c r="AD254" s="311" t="str">
        <f>IF($E254=AD$3,#REF!*$F254,"-")</f>
        <v>-</v>
      </c>
      <c r="AE254" s="311" t="str">
        <f>IF($E254=AE$3,#REF!*$F254,"-")</f>
        <v>-</v>
      </c>
      <c r="AF254" s="311" t="str">
        <f>IF($E254=AF$3,#REF!*$F254,"-")</f>
        <v>-</v>
      </c>
      <c r="AG254" s="311" t="str">
        <f>IF($E254=AG$3,#REF!*$F254,"-")</f>
        <v>-</v>
      </c>
      <c r="AH254" s="311" t="str">
        <f>IF($E254=AH$3,#REF!*$F254,"-")</f>
        <v>-</v>
      </c>
      <c r="AI254" s="311" t="str">
        <f>IF($E254=AI$3,#REF!*$F254,"-")</f>
        <v>-</v>
      </c>
      <c r="AJ254" s="311" t="str">
        <f>IF($E254=AJ$3,#REF!*$F254,"-")</f>
        <v>-</v>
      </c>
      <c r="AK254" s="311" t="str">
        <f>IF($E254=AK$3,#REF!*$F254,"-")</f>
        <v>-</v>
      </c>
      <c r="AL254" s="311" t="str">
        <f>IF($E254=AL$3,#REF!*$F254,"-")</f>
        <v>-</v>
      </c>
      <c r="AM254" s="311" t="str">
        <f>IF($E254=AM$3,#REF!*$F254,"-")</f>
        <v>-</v>
      </c>
    </row>
    <row r="255" spans="3:39" ht="14.25" x14ac:dyDescent="0.2">
      <c r="C255" s="561"/>
      <c r="D255" s="604"/>
      <c r="E255" s="309" t="s">
        <v>887</v>
      </c>
      <c r="F255" s="391">
        <v>5.0000000000000003E-10</v>
      </c>
      <c r="G255" s="309">
        <v>1E-3</v>
      </c>
      <c r="H255" s="392">
        <v>0</v>
      </c>
      <c r="I255" s="320">
        <f>D227*F255*G255*(1-H255)</f>
        <v>3.6000000000000005E-11</v>
      </c>
      <c r="J255" s="309" t="s">
        <v>291</v>
      </c>
      <c r="K255" s="363">
        <v>0</v>
      </c>
      <c r="L255" s="396">
        <f t="shared" si="39"/>
        <v>3.6000000000000005E-11</v>
      </c>
      <c r="M255" s="258"/>
      <c r="O255" s="311" t="str">
        <f t="shared" si="41"/>
        <v>-</v>
      </c>
      <c r="P255" s="311" t="str">
        <f t="shared" si="41"/>
        <v>-</v>
      </c>
      <c r="Q255" s="311" t="str">
        <f t="shared" si="41"/>
        <v>-</v>
      </c>
      <c r="R255" s="311" t="str">
        <f t="shared" si="41"/>
        <v>-</v>
      </c>
      <c r="S255" s="311" t="str">
        <f t="shared" si="41"/>
        <v>-</v>
      </c>
      <c r="T255" s="311" t="str">
        <f t="shared" si="41"/>
        <v>-</v>
      </c>
      <c r="U255" s="311" t="str">
        <f t="shared" si="41"/>
        <v>-</v>
      </c>
      <c r="V255" s="311" t="str">
        <f t="shared" si="41"/>
        <v>-</v>
      </c>
      <c r="W255" s="311" t="str">
        <f t="shared" si="41"/>
        <v>-</v>
      </c>
      <c r="X255" s="311" t="str">
        <f t="shared" si="41"/>
        <v>-</v>
      </c>
      <c r="Y255" s="311">
        <f t="shared" si="41"/>
        <v>3.6000000000000005E-8</v>
      </c>
      <c r="Z255" s="311" t="str">
        <f t="shared" si="41"/>
        <v>-</v>
      </c>
      <c r="AB255" s="311" t="str">
        <f>IF($E255=AB$3,#REF!*$F255,"-")</f>
        <v>-</v>
      </c>
      <c r="AC255" s="311" t="str">
        <f>IF($E255=AC$3,#REF!*$F255,"-")</f>
        <v>-</v>
      </c>
      <c r="AD255" s="311" t="str">
        <f>IF($E255=AD$3,#REF!*$F255,"-")</f>
        <v>-</v>
      </c>
      <c r="AE255" s="311" t="str">
        <f>IF($E255=AE$3,#REF!*$F255,"-")</f>
        <v>-</v>
      </c>
      <c r="AF255" s="311" t="str">
        <f>IF($E255=AF$3,#REF!*$F255,"-")</f>
        <v>-</v>
      </c>
      <c r="AG255" s="311" t="str">
        <f>IF($E255=AG$3,#REF!*$F255,"-")</f>
        <v>-</v>
      </c>
      <c r="AH255" s="311" t="str">
        <f>IF($E255=AH$3,#REF!*$F255,"-")</f>
        <v>-</v>
      </c>
      <c r="AI255" s="311" t="str">
        <f>IF($E255=AI$3,#REF!*$F255,"-")</f>
        <v>-</v>
      </c>
      <c r="AJ255" s="311" t="str">
        <f>IF($E255=AJ$3,#REF!*$F255,"-")</f>
        <v>-</v>
      </c>
      <c r="AK255" s="311" t="str">
        <f>IF($E255=AK$3,#REF!*$F255,"-")</f>
        <v>-</v>
      </c>
      <c r="AL255" s="311" t="e">
        <f>IF($E255=AL$3,#REF!*$F255,"-")</f>
        <v>#REF!</v>
      </c>
      <c r="AM255" s="311" t="str">
        <f>IF($E255=AM$3,#REF!*$F255,"-")</f>
        <v>-</v>
      </c>
    </row>
    <row r="256" spans="3:39" ht="14.25" x14ac:dyDescent="0.2">
      <c r="C256" s="561"/>
      <c r="D256" s="604"/>
      <c r="E256" s="309" t="s">
        <v>905</v>
      </c>
      <c r="F256" s="391">
        <v>5.0000000000000003E-10</v>
      </c>
      <c r="G256" s="309">
        <v>1E-3</v>
      </c>
      <c r="H256" s="392">
        <v>0</v>
      </c>
      <c r="I256" s="320">
        <f>D227*F256*G256*(1-H256)</f>
        <v>3.6000000000000005E-11</v>
      </c>
      <c r="J256" s="309" t="s">
        <v>291</v>
      </c>
      <c r="K256" s="363">
        <v>0</v>
      </c>
      <c r="L256" s="396">
        <f t="shared" si="39"/>
        <v>3.6000000000000005E-11</v>
      </c>
      <c r="M256" s="258"/>
      <c r="O256" s="311" t="str">
        <f t="shared" si="41"/>
        <v>-</v>
      </c>
      <c r="P256" s="311" t="str">
        <f t="shared" si="41"/>
        <v>-</v>
      </c>
      <c r="Q256" s="311" t="str">
        <f t="shared" si="41"/>
        <v>-</v>
      </c>
      <c r="R256" s="311" t="str">
        <f t="shared" si="41"/>
        <v>-</v>
      </c>
      <c r="S256" s="311" t="str">
        <f t="shared" si="41"/>
        <v>-</v>
      </c>
      <c r="T256" s="311" t="str">
        <f t="shared" si="41"/>
        <v>-</v>
      </c>
      <c r="U256" s="311" t="str">
        <f t="shared" si="41"/>
        <v>-</v>
      </c>
      <c r="V256" s="311" t="str">
        <f t="shared" si="41"/>
        <v>-</v>
      </c>
      <c r="W256" s="311" t="str">
        <f t="shared" si="41"/>
        <v>-</v>
      </c>
      <c r="X256" s="311" t="str">
        <f t="shared" si="41"/>
        <v>-</v>
      </c>
      <c r="Y256" s="311" t="str">
        <f t="shared" si="41"/>
        <v>-</v>
      </c>
      <c r="Z256" s="311" t="str">
        <f t="shared" si="41"/>
        <v>-</v>
      </c>
      <c r="AB256" s="311" t="str">
        <f>IF($E256=AB$3,#REF!*$F256,"-")</f>
        <v>-</v>
      </c>
      <c r="AC256" s="311" t="str">
        <f>IF($E256=AC$3,#REF!*$F256,"-")</f>
        <v>-</v>
      </c>
      <c r="AD256" s="311" t="str">
        <f>IF($E256=AD$3,#REF!*$F256,"-")</f>
        <v>-</v>
      </c>
      <c r="AE256" s="311" t="str">
        <f>IF($E256=AE$3,#REF!*$F256,"-")</f>
        <v>-</v>
      </c>
      <c r="AF256" s="311" t="str">
        <f>IF($E256=AF$3,#REF!*$F256,"-")</f>
        <v>-</v>
      </c>
      <c r="AG256" s="311" t="str">
        <f>IF($E256=AG$3,#REF!*$F256,"-")</f>
        <v>-</v>
      </c>
      <c r="AH256" s="311" t="str">
        <f>IF($E256=AH$3,#REF!*$F256,"-")</f>
        <v>-</v>
      </c>
      <c r="AI256" s="311" t="str">
        <f>IF($E256=AI$3,#REF!*$F256,"-")</f>
        <v>-</v>
      </c>
      <c r="AJ256" s="311" t="str">
        <f>IF($E256=AJ$3,#REF!*$F256,"-")</f>
        <v>-</v>
      </c>
      <c r="AK256" s="311" t="str">
        <f>IF($E256=AK$3,#REF!*$F256,"-")</f>
        <v>-</v>
      </c>
      <c r="AL256" s="311" t="str">
        <f>IF($E256=AL$3,#REF!*$F256,"-")</f>
        <v>-</v>
      </c>
      <c r="AM256" s="311" t="str">
        <f>IF($E256=AM$3,#REF!*$F256,"-")</f>
        <v>-</v>
      </c>
    </row>
    <row r="257" spans="3:39" ht="14.25" x14ac:dyDescent="0.2">
      <c r="C257" s="561"/>
      <c r="D257" s="604"/>
      <c r="E257" s="309" t="s">
        <v>912</v>
      </c>
      <c r="F257" s="391">
        <v>3.0000000000000001E-5</v>
      </c>
      <c r="G257" s="309">
        <v>1E-3</v>
      </c>
      <c r="H257" s="392">
        <v>0</v>
      </c>
      <c r="I257" s="320">
        <f>D227*F257*G257*(1-H257)</f>
        <v>2.1600000000000001E-6</v>
      </c>
      <c r="J257" s="309" t="s">
        <v>291</v>
      </c>
      <c r="K257" s="363">
        <v>0</v>
      </c>
      <c r="L257" s="396">
        <f t="shared" si="39"/>
        <v>2.1600000000000001E-6</v>
      </c>
      <c r="M257" s="258"/>
      <c r="O257" s="311" t="str">
        <f t="shared" si="41"/>
        <v>-</v>
      </c>
      <c r="P257" s="311" t="str">
        <f t="shared" si="41"/>
        <v>-</v>
      </c>
      <c r="Q257" s="311" t="str">
        <f t="shared" si="41"/>
        <v>-</v>
      </c>
      <c r="R257" s="311" t="str">
        <f t="shared" si="41"/>
        <v>-</v>
      </c>
      <c r="S257" s="311" t="str">
        <f t="shared" si="41"/>
        <v>-</v>
      </c>
      <c r="T257" s="311" t="str">
        <f t="shared" si="41"/>
        <v>-</v>
      </c>
      <c r="U257" s="311" t="str">
        <f t="shared" si="41"/>
        <v>-</v>
      </c>
      <c r="V257" s="311" t="str">
        <f t="shared" si="41"/>
        <v>-</v>
      </c>
      <c r="W257" s="311" t="str">
        <f t="shared" si="41"/>
        <v>-</v>
      </c>
      <c r="X257" s="311" t="str">
        <f t="shared" si="41"/>
        <v>-</v>
      </c>
      <c r="Y257" s="311" t="str">
        <f t="shared" si="41"/>
        <v>-</v>
      </c>
      <c r="Z257" s="311" t="str">
        <f t="shared" si="41"/>
        <v>-</v>
      </c>
      <c r="AB257" s="311" t="str">
        <f>IF($E257=AB$3,#REF!*$F257,"-")</f>
        <v>-</v>
      </c>
      <c r="AC257" s="311" t="str">
        <f>IF($E257=AC$3,#REF!*$F257,"-")</f>
        <v>-</v>
      </c>
      <c r="AD257" s="311" t="str">
        <f>IF($E257=AD$3,#REF!*$F257,"-")</f>
        <v>-</v>
      </c>
      <c r="AE257" s="311" t="str">
        <f>IF($E257=AE$3,#REF!*$F257,"-")</f>
        <v>-</v>
      </c>
      <c r="AF257" s="311" t="str">
        <f>IF($E257=AF$3,#REF!*$F257,"-")</f>
        <v>-</v>
      </c>
      <c r="AG257" s="311" t="str">
        <f>IF($E257=AG$3,#REF!*$F257,"-")</f>
        <v>-</v>
      </c>
      <c r="AH257" s="311" t="str">
        <f>IF($E257=AH$3,#REF!*$F257,"-")</f>
        <v>-</v>
      </c>
      <c r="AI257" s="311" t="str">
        <f>IF($E257=AI$3,#REF!*$F257,"-")</f>
        <v>-</v>
      </c>
      <c r="AJ257" s="311" t="str">
        <f>IF($E257=AJ$3,#REF!*$F257,"-")</f>
        <v>-</v>
      </c>
      <c r="AK257" s="311" t="str">
        <f>IF($E257=AK$3,#REF!*$F257,"-")</f>
        <v>-</v>
      </c>
      <c r="AL257" s="311" t="str">
        <f>IF($E257=AL$3,#REF!*$F257,"-")</f>
        <v>-</v>
      </c>
      <c r="AM257" s="311" t="str">
        <f>IF($E257=AM$3,#REF!*$F257,"-")</f>
        <v>-</v>
      </c>
    </row>
    <row r="258" spans="3:39" ht="14.25" x14ac:dyDescent="0.2">
      <c r="C258" s="561"/>
      <c r="D258" s="604"/>
      <c r="E258" s="309" t="s">
        <v>913</v>
      </c>
      <c r="F258" s="391">
        <v>1.0000000000000001E-5</v>
      </c>
      <c r="G258" s="309">
        <v>1E-3</v>
      </c>
      <c r="H258" s="392">
        <v>0</v>
      </c>
      <c r="I258" s="320">
        <f>D227*F258*G258*(1-H258)</f>
        <v>7.2000000000000009E-7</v>
      </c>
      <c r="J258" s="309" t="s">
        <v>291</v>
      </c>
      <c r="K258" s="363">
        <v>0</v>
      </c>
      <c r="L258" s="396">
        <f t="shared" si="39"/>
        <v>7.2000000000000009E-7</v>
      </c>
      <c r="M258" s="258"/>
      <c r="O258" s="311" t="str">
        <f t="shared" si="41"/>
        <v>-</v>
      </c>
      <c r="P258" s="311" t="str">
        <f t="shared" si="41"/>
        <v>-</v>
      </c>
      <c r="Q258" s="311" t="str">
        <f t="shared" si="41"/>
        <v>-</v>
      </c>
      <c r="R258" s="311" t="str">
        <f t="shared" si="41"/>
        <v>-</v>
      </c>
      <c r="S258" s="311" t="str">
        <f t="shared" si="41"/>
        <v>-</v>
      </c>
      <c r="T258" s="311" t="str">
        <f t="shared" si="41"/>
        <v>-</v>
      </c>
      <c r="U258" s="311" t="str">
        <f t="shared" si="41"/>
        <v>-</v>
      </c>
      <c r="V258" s="311" t="str">
        <f t="shared" si="41"/>
        <v>-</v>
      </c>
      <c r="W258" s="311" t="str">
        <f t="shared" si="41"/>
        <v>-</v>
      </c>
      <c r="X258" s="311" t="str">
        <f t="shared" si="41"/>
        <v>-</v>
      </c>
      <c r="Y258" s="311" t="str">
        <f t="shared" si="41"/>
        <v>-</v>
      </c>
      <c r="Z258" s="311" t="str">
        <f t="shared" si="41"/>
        <v>-</v>
      </c>
      <c r="AB258" s="311" t="str">
        <f>IF($E258=AB$3,#REF!*$F258,"-")</f>
        <v>-</v>
      </c>
      <c r="AC258" s="311" t="str">
        <f>IF($E258=AC$3,#REF!*$F258,"-")</f>
        <v>-</v>
      </c>
      <c r="AD258" s="311" t="str">
        <f>IF($E258=AD$3,#REF!*$F258,"-")</f>
        <v>-</v>
      </c>
      <c r="AE258" s="311" t="str">
        <f>IF($E258=AE$3,#REF!*$F258,"-")</f>
        <v>-</v>
      </c>
      <c r="AF258" s="311" t="str">
        <f>IF($E258=AF$3,#REF!*$F258,"-")</f>
        <v>-</v>
      </c>
      <c r="AG258" s="311" t="str">
        <f>IF($E258=AG$3,#REF!*$F258,"-")</f>
        <v>-</v>
      </c>
      <c r="AH258" s="311" t="str">
        <f>IF($E258=AH$3,#REF!*$F258,"-")</f>
        <v>-</v>
      </c>
      <c r="AI258" s="311" t="str">
        <f>IF($E258=AI$3,#REF!*$F258,"-")</f>
        <v>-</v>
      </c>
      <c r="AJ258" s="311" t="str">
        <f>IF($E258=AJ$3,#REF!*$F258,"-")</f>
        <v>-</v>
      </c>
      <c r="AK258" s="311" t="str">
        <f>IF($E258=AK$3,#REF!*$F258,"-")</f>
        <v>-</v>
      </c>
      <c r="AL258" s="311" t="str">
        <f>IF($E258=AL$3,#REF!*$F258,"-")</f>
        <v>-</v>
      </c>
      <c r="AM258" s="311" t="str">
        <f>IF($E258=AM$3,#REF!*$F258,"-")</f>
        <v>-</v>
      </c>
    </row>
    <row r="259" spans="3:39" ht="14.25" x14ac:dyDescent="0.2">
      <c r="C259" s="561"/>
      <c r="D259" s="604"/>
      <c r="E259" s="309" t="s">
        <v>914</v>
      </c>
      <c r="F259" s="391">
        <v>3.0000000000000001E-5</v>
      </c>
      <c r="G259" s="309">
        <v>1E-3</v>
      </c>
      <c r="H259" s="392">
        <v>0</v>
      </c>
      <c r="I259" s="320">
        <f>D227*F259*G259*(1-H259)</f>
        <v>2.1600000000000001E-6</v>
      </c>
      <c r="J259" s="309" t="s">
        <v>291</v>
      </c>
      <c r="K259" s="363">
        <v>0</v>
      </c>
      <c r="L259" s="396">
        <f t="shared" si="39"/>
        <v>2.1600000000000001E-6</v>
      </c>
      <c r="M259" s="258"/>
      <c r="O259" s="311" t="str">
        <f t="shared" si="41"/>
        <v>-</v>
      </c>
      <c r="P259" s="311" t="str">
        <f t="shared" si="41"/>
        <v>-</v>
      </c>
      <c r="Q259" s="311" t="str">
        <f t="shared" si="41"/>
        <v>-</v>
      </c>
      <c r="R259" s="311" t="str">
        <f t="shared" si="41"/>
        <v>-</v>
      </c>
      <c r="S259" s="311" t="str">
        <f t="shared" si="41"/>
        <v>-</v>
      </c>
      <c r="T259" s="311" t="str">
        <f t="shared" si="41"/>
        <v>-</v>
      </c>
      <c r="U259" s="311" t="str">
        <f t="shared" si="41"/>
        <v>-</v>
      </c>
      <c r="V259" s="311" t="str">
        <f t="shared" si="41"/>
        <v>-</v>
      </c>
      <c r="W259" s="311" t="str">
        <f t="shared" si="41"/>
        <v>-</v>
      </c>
      <c r="X259" s="311" t="str">
        <f t="shared" si="41"/>
        <v>-</v>
      </c>
      <c r="Y259" s="311" t="str">
        <f t="shared" si="41"/>
        <v>-</v>
      </c>
      <c r="Z259" s="311" t="str">
        <f t="shared" si="41"/>
        <v>-</v>
      </c>
      <c r="AB259" s="311" t="str">
        <f>IF($E259=AB$3,#REF!*$F259,"-")</f>
        <v>-</v>
      </c>
      <c r="AC259" s="311" t="str">
        <f>IF($E259=AC$3,#REF!*$F259,"-")</f>
        <v>-</v>
      </c>
      <c r="AD259" s="311" t="str">
        <f>IF($E259=AD$3,#REF!*$F259,"-")</f>
        <v>-</v>
      </c>
      <c r="AE259" s="311" t="str">
        <f>IF($E259=AE$3,#REF!*$F259,"-")</f>
        <v>-</v>
      </c>
      <c r="AF259" s="311" t="str">
        <f>IF($E259=AF$3,#REF!*$F259,"-")</f>
        <v>-</v>
      </c>
      <c r="AG259" s="311" t="str">
        <f>IF($E259=AG$3,#REF!*$F259,"-")</f>
        <v>-</v>
      </c>
      <c r="AH259" s="311" t="str">
        <f>IF($E259=AH$3,#REF!*$F259,"-")</f>
        <v>-</v>
      </c>
      <c r="AI259" s="311" t="str">
        <f>IF($E259=AI$3,#REF!*$F259,"-")</f>
        <v>-</v>
      </c>
      <c r="AJ259" s="311" t="str">
        <f>IF($E259=AJ$3,#REF!*$F259,"-")</f>
        <v>-</v>
      </c>
      <c r="AK259" s="311" t="str">
        <f>IF($E259=AK$3,#REF!*$F259,"-")</f>
        <v>-</v>
      </c>
      <c r="AL259" s="311" t="str">
        <f>IF($E259=AL$3,#REF!*$F259,"-")</f>
        <v>-</v>
      </c>
      <c r="AM259" s="311" t="str">
        <f>IF($E259=AM$3,#REF!*$F259,"-")</f>
        <v>-</v>
      </c>
    </row>
    <row r="260" spans="3:39" ht="14.25" x14ac:dyDescent="0.2">
      <c r="C260" s="561"/>
      <c r="D260" s="604"/>
      <c r="E260" s="309" t="s">
        <v>915</v>
      </c>
      <c r="F260" s="391">
        <v>3.0000000000000003E-4</v>
      </c>
      <c r="G260" s="309">
        <v>1E-3</v>
      </c>
      <c r="H260" s="392">
        <v>0</v>
      </c>
      <c r="I260" s="320">
        <f>D227*F260*G260*(1-H260)</f>
        <v>2.1600000000000003E-5</v>
      </c>
      <c r="J260" s="309" t="s">
        <v>291</v>
      </c>
      <c r="K260" s="363">
        <v>0</v>
      </c>
      <c r="L260" s="396">
        <f t="shared" si="39"/>
        <v>2.1600000000000003E-5</v>
      </c>
      <c r="M260" s="258"/>
      <c r="O260" s="311" t="str">
        <f t="shared" si="41"/>
        <v>-</v>
      </c>
      <c r="P260" s="311" t="str">
        <f t="shared" si="41"/>
        <v>-</v>
      </c>
      <c r="Q260" s="311" t="str">
        <f t="shared" si="41"/>
        <v>-</v>
      </c>
      <c r="R260" s="311" t="str">
        <f t="shared" si="41"/>
        <v>-</v>
      </c>
      <c r="S260" s="311" t="str">
        <f t="shared" si="41"/>
        <v>-</v>
      </c>
      <c r="T260" s="311" t="str">
        <f t="shared" si="41"/>
        <v>-</v>
      </c>
      <c r="U260" s="311" t="str">
        <f t="shared" si="41"/>
        <v>-</v>
      </c>
      <c r="V260" s="311" t="str">
        <f t="shared" si="41"/>
        <v>-</v>
      </c>
      <c r="W260" s="311" t="str">
        <f t="shared" si="41"/>
        <v>-</v>
      </c>
      <c r="X260" s="311" t="str">
        <f t="shared" si="41"/>
        <v>-</v>
      </c>
      <c r="Y260" s="311" t="str">
        <f t="shared" si="41"/>
        <v>-</v>
      </c>
      <c r="Z260" s="311" t="str">
        <f t="shared" si="41"/>
        <v>-</v>
      </c>
      <c r="AB260" s="311" t="str">
        <f>IF($E260=AB$3,#REF!*$F260,"-")</f>
        <v>-</v>
      </c>
      <c r="AC260" s="311" t="str">
        <f>IF($E260=AC$3,#REF!*$F260,"-")</f>
        <v>-</v>
      </c>
      <c r="AD260" s="311" t="str">
        <f>IF($E260=AD$3,#REF!*$F260,"-")</f>
        <v>-</v>
      </c>
      <c r="AE260" s="311" t="str">
        <f>IF($E260=AE$3,#REF!*$F260,"-")</f>
        <v>-</v>
      </c>
      <c r="AF260" s="311" t="str">
        <f>IF($E260=AF$3,#REF!*$F260,"-")</f>
        <v>-</v>
      </c>
      <c r="AG260" s="311" t="str">
        <f>IF($E260=AG$3,#REF!*$F260,"-")</f>
        <v>-</v>
      </c>
      <c r="AH260" s="311" t="str">
        <f>IF($E260=AH$3,#REF!*$F260,"-")</f>
        <v>-</v>
      </c>
      <c r="AI260" s="311" t="str">
        <f>IF($E260=AI$3,#REF!*$F260,"-")</f>
        <v>-</v>
      </c>
      <c r="AJ260" s="311" t="str">
        <f>IF($E260=AJ$3,#REF!*$F260,"-")</f>
        <v>-</v>
      </c>
      <c r="AK260" s="311" t="str">
        <f>IF($E260=AK$3,#REF!*$F260,"-")</f>
        <v>-</v>
      </c>
      <c r="AL260" s="311" t="str">
        <f>IF($E260=AL$3,#REF!*$F260,"-")</f>
        <v>-</v>
      </c>
      <c r="AM260" s="311" t="str">
        <f>IF($E260=AM$3,#REF!*$F260,"-")</f>
        <v>-</v>
      </c>
    </row>
    <row r="261" spans="3:39" ht="14.25" x14ac:dyDescent="0.2">
      <c r="C261" s="554"/>
      <c r="D261" s="605"/>
      <c r="E261" s="309" t="s">
        <v>916</v>
      </c>
      <c r="F261" s="391">
        <v>1.0000000000000001E-5</v>
      </c>
      <c r="G261" s="309">
        <v>1E-3</v>
      </c>
      <c r="H261" s="392">
        <v>0</v>
      </c>
      <c r="I261" s="320">
        <f>D227*F261*G261*(1-H261)</f>
        <v>7.2000000000000009E-7</v>
      </c>
      <c r="J261" s="309" t="s">
        <v>291</v>
      </c>
      <c r="K261" s="363">
        <v>0</v>
      </c>
      <c r="L261" s="396">
        <f t="shared" si="39"/>
        <v>7.2000000000000009E-7</v>
      </c>
      <c r="M261" s="258"/>
      <c r="O261" s="311" t="str">
        <f t="shared" si="41"/>
        <v>-</v>
      </c>
      <c r="P261" s="311" t="str">
        <f t="shared" si="41"/>
        <v>-</v>
      </c>
      <c r="Q261" s="311" t="str">
        <f t="shared" si="41"/>
        <v>-</v>
      </c>
      <c r="R261" s="311" t="str">
        <f t="shared" si="41"/>
        <v>-</v>
      </c>
      <c r="S261" s="311" t="str">
        <f t="shared" si="41"/>
        <v>-</v>
      </c>
      <c r="T261" s="311" t="str">
        <f t="shared" si="41"/>
        <v>-</v>
      </c>
      <c r="U261" s="311" t="str">
        <f t="shared" si="41"/>
        <v>-</v>
      </c>
      <c r="V261" s="311" t="str">
        <f t="shared" si="41"/>
        <v>-</v>
      </c>
      <c r="W261" s="311" t="str">
        <f t="shared" si="41"/>
        <v>-</v>
      </c>
      <c r="X261" s="311" t="str">
        <f t="shared" si="41"/>
        <v>-</v>
      </c>
      <c r="Y261" s="311" t="str">
        <f t="shared" si="41"/>
        <v>-</v>
      </c>
      <c r="Z261" s="311" t="str">
        <f t="shared" si="41"/>
        <v>-</v>
      </c>
      <c r="AB261" s="311" t="str">
        <f>IF($E261=AB$3,#REF!*$F261,"-")</f>
        <v>-</v>
      </c>
      <c r="AC261" s="311" t="str">
        <f>IF($E261=AC$3,#REF!*$F261,"-")</f>
        <v>-</v>
      </c>
      <c r="AD261" s="311" t="str">
        <f>IF($E261=AD$3,#REF!*$F261,"-")</f>
        <v>-</v>
      </c>
      <c r="AE261" s="311" t="str">
        <f>IF($E261=AE$3,#REF!*$F261,"-")</f>
        <v>-</v>
      </c>
      <c r="AF261" s="311" t="str">
        <f>IF($E261=AF$3,#REF!*$F261,"-")</f>
        <v>-</v>
      </c>
      <c r="AG261" s="311" t="str">
        <f>IF($E261=AG$3,#REF!*$F261,"-")</f>
        <v>-</v>
      </c>
      <c r="AH261" s="311" t="str">
        <f>IF($E261=AH$3,#REF!*$F261,"-")</f>
        <v>-</v>
      </c>
      <c r="AI261" s="311" t="str">
        <f>IF($E261=AI$3,#REF!*$F261,"-")</f>
        <v>-</v>
      </c>
      <c r="AJ261" s="311" t="str">
        <f>IF($E261=AJ$3,#REF!*$F261,"-")</f>
        <v>-</v>
      </c>
      <c r="AK261" s="311" t="str">
        <f>IF($E261=AK$3,#REF!*$F261,"-")</f>
        <v>-</v>
      </c>
      <c r="AL261" s="311" t="str">
        <f>IF($E261=AL$3,#REF!*$F261,"-")</f>
        <v>-</v>
      </c>
      <c r="AM261" s="311" t="str">
        <f>IF($E261=AM$3,#REF!*$F261,"-")</f>
        <v>-</v>
      </c>
    </row>
    <row r="262" spans="3:39" ht="14.25" x14ac:dyDescent="0.2">
      <c r="C262" s="596" t="s">
        <v>955</v>
      </c>
      <c r="D262" s="560">
        <v>792</v>
      </c>
      <c r="E262" s="361" t="s">
        <v>944</v>
      </c>
      <c r="F262" s="391">
        <v>0.99958151900000003</v>
      </c>
      <c r="G262" s="309">
        <v>1E-3</v>
      </c>
      <c r="H262" s="392">
        <v>0</v>
      </c>
      <c r="I262" s="320">
        <f>D262*F262*G262*(1-H262)</f>
        <v>0.79166856304800004</v>
      </c>
      <c r="J262" s="309" t="s">
        <v>291</v>
      </c>
      <c r="K262" s="363">
        <v>0</v>
      </c>
      <c r="L262" s="396">
        <f>I262*(1-K262)</f>
        <v>0.79166856304800004</v>
      </c>
      <c r="M262" s="258"/>
      <c r="O262" s="311" t="str">
        <f t="shared" ref="O262:Z271" si="42">IF($E262=O$3,$D$262*$F262,"-")</f>
        <v>-</v>
      </c>
      <c r="P262" s="311" t="str">
        <f t="shared" si="42"/>
        <v>-</v>
      </c>
      <c r="Q262" s="311" t="str">
        <f t="shared" si="42"/>
        <v>-</v>
      </c>
      <c r="R262" s="311" t="str">
        <f t="shared" si="42"/>
        <v>-</v>
      </c>
      <c r="S262" s="311" t="str">
        <f t="shared" si="42"/>
        <v>-</v>
      </c>
      <c r="T262" s="311" t="str">
        <f t="shared" si="42"/>
        <v>-</v>
      </c>
      <c r="U262" s="311" t="str">
        <f t="shared" si="42"/>
        <v>-</v>
      </c>
      <c r="V262" s="311" t="str">
        <f t="shared" si="42"/>
        <v>-</v>
      </c>
      <c r="W262" s="311" t="str">
        <f t="shared" si="42"/>
        <v>-</v>
      </c>
      <c r="X262" s="311" t="str">
        <f t="shared" si="42"/>
        <v>-</v>
      </c>
      <c r="Y262" s="311" t="str">
        <f t="shared" si="42"/>
        <v>-</v>
      </c>
      <c r="Z262" s="311" t="str">
        <f t="shared" si="42"/>
        <v>-</v>
      </c>
      <c r="AB262" s="311" t="str">
        <f>IF($E262=AB$3,#REF!*$F262,"-")</f>
        <v>-</v>
      </c>
      <c r="AC262" s="311" t="str">
        <f>IF($E262=AC$3,#REF!*$F262,"-")</f>
        <v>-</v>
      </c>
      <c r="AD262" s="311" t="str">
        <f>IF($E262=AD$3,#REF!*$F262,"-")</f>
        <v>-</v>
      </c>
      <c r="AE262" s="311" t="str">
        <f>IF($E262=AE$3,#REF!*$F262,"-")</f>
        <v>-</v>
      </c>
      <c r="AF262" s="311" t="str">
        <f>IF($E262=AF$3,#REF!*$F262,"-")</f>
        <v>-</v>
      </c>
      <c r="AG262" s="311" t="str">
        <f>IF($E262=AG$3,#REF!*$F262,"-")</f>
        <v>-</v>
      </c>
      <c r="AH262" s="311" t="str">
        <f>IF($E262=AH$3,#REF!*$F262,"-")</f>
        <v>-</v>
      </c>
      <c r="AI262" s="311" t="str">
        <f>IF($E262=AI$3,#REF!*$F262,"-")</f>
        <v>-</v>
      </c>
      <c r="AJ262" s="311" t="str">
        <f>IF($E262=AJ$3,#REF!*$F262,"-")</f>
        <v>-</v>
      </c>
      <c r="AK262" s="311" t="str">
        <f>IF($E262=AK$3,#REF!*$F262,"-")</f>
        <v>-</v>
      </c>
      <c r="AL262" s="311" t="str">
        <f>IF($E262=AL$3,#REF!*$F262,"-")</f>
        <v>-</v>
      </c>
      <c r="AM262" s="311" t="str">
        <f>IF($E262=AM$3,#REF!*$F262,"-")</f>
        <v>-</v>
      </c>
    </row>
    <row r="263" spans="3:39" ht="15" customHeight="1" x14ac:dyDescent="0.2">
      <c r="C263" s="597"/>
      <c r="D263" s="561"/>
      <c r="E263" s="309" t="s">
        <v>892</v>
      </c>
      <c r="F263" s="391">
        <v>9.9999999999999995E-7</v>
      </c>
      <c r="G263" s="309">
        <v>1E-3</v>
      </c>
      <c r="H263" s="392">
        <v>0</v>
      </c>
      <c r="I263" s="320">
        <f>D262*F263*G263*(1-H263)</f>
        <v>7.92E-7</v>
      </c>
      <c r="J263" s="309" t="s">
        <v>291</v>
      </c>
      <c r="K263" s="363">
        <v>0</v>
      </c>
      <c r="L263" s="396">
        <f t="shared" ref="L263:L296" si="43">I263*(1-K263)</f>
        <v>7.92E-7</v>
      </c>
      <c r="M263" s="258"/>
      <c r="O263" s="311" t="str">
        <f t="shared" si="42"/>
        <v>-</v>
      </c>
      <c r="P263" s="311" t="str">
        <f t="shared" si="42"/>
        <v>-</v>
      </c>
      <c r="Q263" s="311" t="str">
        <f t="shared" si="42"/>
        <v>-</v>
      </c>
      <c r="R263" s="311" t="str">
        <f t="shared" si="42"/>
        <v>-</v>
      </c>
      <c r="S263" s="311" t="str">
        <f t="shared" si="42"/>
        <v>-</v>
      </c>
      <c r="T263" s="311" t="str">
        <f t="shared" si="42"/>
        <v>-</v>
      </c>
      <c r="U263" s="311" t="str">
        <f t="shared" si="42"/>
        <v>-</v>
      </c>
      <c r="V263" s="311" t="str">
        <f t="shared" si="42"/>
        <v>-</v>
      </c>
      <c r="W263" s="311" t="str">
        <f t="shared" si="42"/>
        <v>-</v>
      </c>
      <c r="X263" s="311" t="str">
        <f t="shared" si="42"/>
        <v>-</v>
      </c>
      <c r="Y263" s="311" t="str">
        <f t="shared" si="42"/>
        <v>-</v>
      </c>
      <c r="Z263" s="311" t="str">
        <f t="shared" si="42"/>
        <v>-</v>
      </c>
      <c r="AB263" s="311" t="str">
        <f>IF($E263=AB$3,#REF!*$F263,"-")</f>
        <v>-</v>
      </c>
      <c r="AC263" s="311" t="str">
        <f>IF($E263=AC$3,#REF!*$F263,"-")</f>
        <v>-</v>
      </c>
      <c r="AD263" s="311" t="str">
        <f>IF($E263=AD$3,#REF!*$F263,"-")</f>
        <v>-</v>
      </c>
      <c r="AE263" s="311" t="str">
        <f>IF($E263=AE$3,#REF!*$F263,"-")</f>
        <v>-</v>
      </c>
      <c r="AF263" s="311" t="str">
        <f>IF($E263=AF$3,#REF!*$F263,"-")</f>
        <v>-</v>
      </c>
      <c r="AG263" s="311" t="str">
        <f>IF($E263=AG$3,#REF!*$F263,"-")</f>
        <v>-</v>
      </c>
      <c r="AH263" s="311" t="str">
        <f>IF($E263=AH$3,#REF!*$F263,"-")</f>
        <v>-</v>
      </c>
      <c r="AI263" s="311" t="str">
        <f>IF($E263=AI$3,#REF!*$F263,"-")</f>
        <v>-</v>
      </c>
      <c r="AJ263" s="311" t="str">
        <f>IF($E263=AJ$3,#REF!*$F263,"-")</f>
        <v>-</v>
      </c>
      <c r="AK263" s="311" t="str">
        <f>IF($E263=AK$3,#REF!*$F263,"-")</f>
        <v>-</v>
      </c>
      <c r="AL263" s="311" t="str">
        <f>IF($E263=AL$3,#REF!*$F263,"-")</f>
        <v>-</v>
      </c>
      <c r="AM263" s="311" t="str">
        <f>IF($E263=AM$3,#REF!*$F263,"-")</f>
        <v>-</v>
      </c>
    </row>
    <row r="264" spans="3:39" ht="14.25" customHeight="1" x14ac:dyDescent="0.2">
      <c r="C264" s="597"/>
      <c r="D264" s="561"/>
      <c r="E264" s="309" t="s">
        <v>877</v>
      </c>
      <c r="F264" s="391">
        <v>3.0000000000000001E-6</v>
      </c>
      <c r="G264" s="309">
        <v>1E-3</v>
      </c>
      <c r="H264" s="392">
        <v>0</v>
      </c>
      <c r="I264" s="320">
        <f>D262*F264*G264*(1-H264)</f>
        <v>2.3760000000000002E-6</v>
      </c>
      <c r="J264" s="309" t="s">
        <v>291</v>
      </c>
      <c r="K264" s="363">
        <v>0</v>
      </c>
      <c r="L264" s="396">
        <f t="shared" si="43"/>
        <v>2.3760000000000002E-6</v>
      </c>
      <c r="M264" s="258"/>
      <c r="O264" s="311">
        <f t="shared" si="42"/>
        <v>2.3760000000000001E-3</v>
      </c>
      <c r="P264" s="311" t="str">
        <f t="shared" si="42"/>
        <v>-</v>
      </c>
      <c r="Q264" s="311" t="str">
        <f t="shared" si="42"/>
        <v>-</v>
      </c>
      <c r="R264" s="311" t="str">
        <f t="shared" si="42"/>
        <v>-</v>
      </c>
      <c r="S264" s="311" t="str">
        <f t="shared" si="42"/>
        <v>-</v>
      </c>
      <c r="T264" s="311" t="str">
        <f t="shared" si="42"/>
        <v>-</v>
      </c>
      <c r="U264" s="311" t="str">
        <f t="shared" si="42"/>
        <v>-</v>
      </c>
      <c r="V264" s="311" t="str">
        <f t="shared" si="42"/>
        <v>-</v>
      </c>
      <c r="W264" s="311" t="str">
        <f t="shared" si="42"/>
        <v>-</v>
      </c>
      <c r="X264" s="311" t="str">
        <f t="shared" si="42"/>
        <v>-</v>
      </c>
      <c r="Y264" s="311" t="str">
        <f t="shared" si="42"/>
        <v>-</v>
      </c>
      <c r="Z264" s="311" t="str">
        <f t="shared" si="42"/>
        <v>-</v>
      </c>
      <c r="AB264" s="311" t="e">
        <f>IF($E264=AB$3,#REF!*$F264,"-")</f>
        <v>#REF!</v>
      </c>
      <c r="AC264" s="311" t="str">
        <f>IF($E264=AC$3,#REF!*$F264,"-")</f>
        <v>-</v>
      </c>
      <c r="AD264" s="311" t="str">
        <f>IF($E264=AD$3,#REF!*$F264,"-")</f>
        <v>-</v>
      </c>
      <c r="AE264" s="311" t="str">
        <f>IF($E264=AE$3,#REF!*$F264,"-")</f>
        <v>-</v>
      </c>
      <c r="AF264" s="311" t="str">
        <f>IF($E264=AF$3,#REF!*$F264,"-")</f>
        <v>-</v>
      </c>
      <c r="AG264" s="311" t="str">
        <f>IF($E264=AG$3,#REF!*$F264,"-")</f>
        <v>-</v>
      </c>
      <c r="AH264" s="311" t="str">
        <f>IF($E264=AH$3,#REF!*$F264,"-")</f>
        <v>-</v>
      </c>
      <c r="AI264" s="311" t="str">
        <f>IF($E264=AI$3,#REF!*$F264,"-")</f>
        <v>-</v>
      </c>
      <c r="AJ264" s="311" t="str">
        <f>IF($E264=AJ$3,#REF!*$F264,"-")</f>
        <v>-</v>
      </c>
      <c r="AK264" s="311" t="str">
        <f>IF($E264=AK$3,#REF!*$F264,"-")</f>
        <v>-</v>
      </c>
      <c r="AL264" s="311" t="str">
        <f>IF($E264=AL$3,#REF!*$F264,"-")</f>
        <v>-</v>
      </c>
      <c r="AM264" s="311" t="str">
        <f>IF($E264=AM$3,#REF!*$F264,"-")</f>
        <v>-</v>
      </c>
    </row>
    <row r="265" spans="3:39" ht="14.25" customHeight="1" x14ac:dyDescent="0.2">
      <c r="C265" s="597"/>
      <c r="D265" s="561"/>
      <c r="E265" s="309" t="s">
        <v>893</v>
      </c>
      <c r="F265" s="391">
        <v>9.9999999999999995E-7</v>
      </c>
      <c r="G265" s="309">
        <v>1E-3</v>
      </c>
      <c r="H265" s="392">
        <v>0</v>
      </c>
      <c r="I265" s="320">
        <f>D262*F265*G265*(1-H265)</f>
        <v>7.92E-7</v>
      </c>
      <c r="J265" s="309" t="s">
        <v>291</v>
      </c>
      <c r="K265" s="363">
        <v>0</v>
      </c>
      <c r="L265" s="396">
        <f t="shared" si="43"/>
        <v>7.92E-7</v>
      </c>
      <c r="M265" s="258"/>
      <c r="O265" s="311" t="str">
        <f t="shared" si="42"/>
        <v>-</v>
      </c>
      <c r="P265" s="311" t="str">
        <f t="shared" si="42"/>
        <v>-</v>
      </c>
      <c r="Q265" s="311" t="str">
        <f t="shared" si="42"/>
        <v>-</v>
      </c>
      <c r="R265" s="311" t="str">
        <f t="shared" si="42"/>
        <v>-</v>
      </c>
      <c r="S265" s="311" t="str">
        <f t="shared" si="42"/>
        <v>-</v>
      </c>
      <c r="T265" s="311" t="str">
        <f t="shared" si="42"/>
        <v>-</v>
      </c>
      <c r="U265" s="311" t="str">
        <f t="shared" si="42"/>
        <v>-</v>
      </c>
      <c r="V265" s="311" t="str">
        <f t="shared" si="42"/>
        <v>-</v>
      </c>
      <c r="W265" s="311" t="str">
        <f t="shared" si="42"/>
        <v>-</v>
      </c>
      <c r="X265" s="311" t="str">
        <f t="shared" si="42"/>
        <v>-</v>
      </c>
      <c r="Y265" s="311" t="str">
        <f t="shared" si="42"/>
        <v>-</v>
      </c>
      <c r="Z265" s="311" t="str">
        <f t="shared" si="42"/>
        <v>-</v>
      </c>
      <c r="AB265" s="311" t="str">
        <f>IF($E265=AB$3,#REF!*$F265,"-")</f>
        <v>-</v>
      </c>
      <c r="AC265" s="311" t="str">
        <f>IF($E265=AC$3,#REF!*$F265,"-")</f>
        <v>-</v>
      </c>
      <c r="AD265" s="311" t="str">
        <f>IF($E265=AD$3,#REF!*$F265,"-")</f>
        <v>-</v>
      </c>
      <c r="AE265" s="311" t="str">
        <f>IF($E265=AE$3,#REF!*$F265,"-")</f>
        <v>-</v>
      </c>
      <c r="AF265" s="311" t="str">
        <f>IF($E265=AF$3,#REF!*$F265,"-")</f>
        <v>-</v>
      </c>
      <c r="AG265" s="311" t="str">
        <f>IF($E265=AG$3,#REF!*$F265,"-")</f>
        <v>-</v>
      </c>
      <c r="AH265" s="311" t="str">
        <f>IF($E265=AH$3,#REF!*$F265,"-")</f>
        <v>-</v>
      </c>
      <c r="AI265" s="311" t="str">
        <f>IF($E265=AI$3,#REF!*$F265,"-")</f>
        <v>-</v>
      </c>
      <c r="AJ265" s="311" t="str">
        <f>IF($E265=AJ$3,#REF!*$F265,"-")</f>
        <v>-</v>
      </c>
      <c r="AK265" s="311" t="str">
        <f>IF($E265=AK$3,#REF!*$F265,"-")</f>
        <v>-</v>
      </c>
      <c r="AL265" s="311" t="str">
        <f>IF($E265=AL$3,#REF!*$F265,"-")</f>
        <v>-</v>
      </c>
      <c r="AM265" s="311" t="str">
        <f>IF($E265=AM$3,#REF!*$F265,"-")</f>
        <v>-</v>
      </c>
    </row>
    <row r="266" spans="3:39" ht="14.25" customHeight="1" x14ac:dyDescent="0.2">
      <c r="C266" s="597"/>
      <c r="D266" s="561"/>
      <c r="E266" s="309" t="s">
        <v>894</v>
      </c>
      <c r="F266" s="391">
        <v>1.0000000000000001E-7</v>
      </c>
      <c r="G266" s="309">
        <v>1E-3</v>
      </c>
      <c r="H266" s="392">
        <v>0</v>
      </c>
      <c r="I266" s="320">
        <f>D262*F266*G266*(1-H266)</f>
        <v>7.9200000000000008E-8</v>
      </c>
      <c r="J266" s="309" t="s">
        <v>291</v>
      </c>
      <c r="K266" s="363">
        <v>0</v>
      </c>
      <c r="L266" s="396">
        <f t="shared" si="43"/>
        <v>7.9200000000000008E-8</v>
      </c>
      <c r="M266" s="258"/>
      <c r="O266" s="311" t="str">
        <f t="shared" si="42"/>
        <v>-</v>
      </c>
      <c r="P266" s="311" t="str">
        <f t="shared" si="42"/>
        <v>-</v>
      </c>
      <c r="Q266" s="311" t="str">
        <f t="shared" si="42"/>
        <v>-</v>
      </c>
      <c r="R266" s="311" t="str">
        <f t="shared" si="42"/>
        <v>-</v>
      </c>
      <c r="S266" s="311" t="str">
        <f t="shared" si="42"/>
        <v>-</v>
      </c>
      <c r="T266" s="311" t="str">
        <f t="shared" si="42"/>
        <v>-</v>
      </c>
      <c r="U266" s="311" t="str">
        <f t="shared" si="42"/>
        <v>-</v>
      </c>
      <c r="V266" s="311" t="str">
        <f t="shared" si="42"/>
        <v>-</v>
      </c>
      <c r="W266" s="311" t="str">
        <f t="shared" si="42"/>
        <v>-</v>
      </c>
      <c r="X266" s="311" t="str">
        <f t="shared" si="42"/>
        <v>-</v>
      </c>
      <c r="Y266" s="311" t="str">
        <f t="shared" si="42"/>
        <v>-</v>
      </c>
      <c r="Z266" s="311" t="str">
        <f t="shared" si="42"/>
        <v>-</v>
      </c>
      <c r="AB266" s="311" t="str">
        <f>IF($E266=AB$3,#REF!*$F266,"-")</f>
        <v>-</v>
      </c>
      <c r="AC266" s="311" t="str">
        <f>IF($E266=AC$3,#REF!*$F266,"-")</f>
        <v>-</v>
      </c>
      <c r="AD266" s="311" t="str">
        <f>IF($E266=AD$3,#REF!*$F266,"-")</f>
        <v>-</v>
      </c>
      <c r="AE266" s="311" t="str">
        <f>IF($E266=AE$3,#REF!*$F266,"-")</f>
        <v>-</v>
      </c>
      <c r="AF266" s="311" t="str">
        <f>IF($E266=AF$3,#REF!*$F266,"-")</f>
        <v>-</v>
      </c>
      <c r="AG266" s="311" t="str">
        <f>IF($E266=AG$3,#REF!*$F266,"-")</f>
        <v>-</v>
      </c>
      <c r="AH266" s="311" t="str">
        <f>IF($E266=AH$3,#REF!*$F266,"-")</f>
        <v>-</v>
      </c>
      <c r="AI266" s="311" t="str">
        <f>IF($E266=AI$3,#REF!*$F266,"-")</f>
        <v>-</v>
      </c>
      <c r="AJ266" s="311" t="str">
        <f>IF($E266=AJ$3,#REF!*$F266,"-")</f>
        <v>-</v>
      </c>
      <c r="AK266" s="311" t="str">
        <f>IF($E266=AK$3,#REF!*$F266,"-")</f>
        <v>-</v>
      </c>
      <c r="AL266" s="311" t="str">
        <f>IF($E266=AL$3,#REF!*$F266,"-")</f>
        <v>-</v>
      </c>
      <c r="AM266" s="311" t="str">
        <f>IF($E266=AM$3,#REF!*$F266,"-")</f>
        <v>-</v>
      </c>
    </row>
    <row r="267" spans="3:39" ht="14.25" customHeight="1" x14ac:dyDescent="0.2">
      <c r="C267" s="597"/>
      <c r="D267" s="561"/>
      <c r="E267" s="309" t="s">
        <v>895</v>
      </c>
      <c r="F267" s="391">
        <v>1.0000000000000001E-7</v>
      </c>
      <c r="G267" s="309">
        <v>1E-3</v>
      </c>
      <c r="H267" s="392">
        <v>0</v>
      </c>
      <c r="I267" s="320">
        <f>D262*F267*G267*(1-H267)</f>
        <v>7.9200000000000008E-8</v>
      </c>
      <c r="J267" s="309" t="s">
        <v>291</v>
      </c>
      <c r="K267" s="363">
        <v>0</v>
      </c>
      <c r="L267" s="396">
        <f t="shared" si="43"/>
        <v>7.9200000000000008E-8</v>
      </c>
      <c r="M267" s="258"/>
      <c r="O267" s="311" t="str">
        <f t="shared" si="42"/>
        <v>-</v>
      </c>
      <c r="P267" s="311" t="str">
        <f t="shared" si="42"/>
        <v>-</v>
      </c>
      <c r="Q267" s="311" t="str">
        <f t="shared" si="42"/>
        <v>-</v>
      </c>
      <c r="R267" s="311" t="str">
        <f t="shared" si="42"/>
        <v>-</v>
      </c>
      <c r="S267" s="311" t="str">
        <f t="shared" si="42"/>
        <v>-</v>
      </c>
      <c r="T267" s="311" t="str">
        <f t="shared" si="42"/>
        <v>-</v>
      </c>
      <c r="U267" s="311" t="str">
        <f t="shared" si="42"/>
        <v>-</v>
      </c>
      <c r="V267" s="311" t="str">
        <f t="shared" si="42"/>
        <v>-</v>
      </c>
      <c r="W267" s="311" t="str">
        <f t="shared" si="42"/>
        <v>-</v>
      </c>
      <c r="X267" s="311" t="str">
        <f t="shared" si="42"/>
        <v>-</v>
      </c>
      <c r="Y267" s="311" t="str">
        <f t="shared" si="42"/>
        <v>-</v>
      </c>
      <c r="Z267" s="311" t="str">
        <f t="shared" si="42"/>
        <v>-</v>
      </c>
      <c r="AB267" s="311" t="str">
        <f>IF($E267=AB$3,#REF!*$F267,"-")</f>
        <v>-</v>
      </c>
      <c r="AC267" s="311" t="str">
        <f>IF($E267=AC$3,#REF!*$F267,"-")</f>
        <v>-</v>
      </c>
      <c r="AD267" s="311" t="str">
        <f>IF($E267=AD$3,#REF!*$F267,"-")</f>
        <v>-</v>
      </c>
      <c r="AE267" s="311" t="str">
        <f>IF($E267=AE$3,#REF!*$F267,"-")</f>
        <v>-</v>
      </c>
      <c r="AF267" s="311" t="str">
        <f>IF($E267=AF$3,#REF!*$F267,"-")</f>
        <v>-</v>
      </c>
      <c r="AG267" s="311" t="str">
        <f>IF($E267=AG$3,#REF!*$F267,"-")</f>
        <v>-</v>
      </c>
      <c r="AH267" s="311" t="str">
        <f>IF($E267=AH$3,#REF!*$F267,"-")</f>
        <v>-</v>
      </c>
      <c r="AI267" s="311" t="str">
        <f>IF($E267=AI$3,#REF!*$F267,"-")</f>
        <v>-</v>
      </c>
      <c r="AJ267" s="311" t="str">
        <f>IF($E267=AJ$3,#REF!*$F267,"-")</f>
        <v>-</v>
      </c>
      <c r="AK267" s="311" t="str">
        <f>IF($E267=AK$3,#REF!*$F267,"-")</f>
        <v>-</v>
      </c>
      <c r="AL267" s="311" t="str">
        <f>IF($E267=AL$3,#REF!*$F267,"-")</f>
        <v>-</v>
      </c>
      <c r="AM267" s="311" t="str">
        <f>IF($E267=AM$3,#REF!*$F267,"-")</f>
        <v>-</v>
      </c>
    </row>
    <row r="268" spans="3:39" ht="14.25" customHeight="1" x14ac:dyDescent="0.2">
      <c r="C268" s="597"/>
      <c r="D268" s="561"/>
      <c r="E268" s="309" t="s">
        <v>896</v>
      </c>
      <c r="F268" s="391">
        <v>9.9999999999999995E-7</v>
      </c>
      <c r="G268" s="309">
        <v>1E-3</v>
      </c>
      <c r="H268" s="392">
        <v>0</v>
      </c>
      <c r="I268" s="320">
        <f>D262*F268*G268*(1-H268)</f>
        <v>7.92E-7</v>
      </c>
      <c r="J268" s="309" t="s">
        <v>291</v>
      </c>
      <c r="K268" s="363">
        <v>0</v>
      </c>
      <c r="L268" s="396">
        <f t="shared" si="43"/>
        <v>7.92E-7</v>
      </c>
      <c r="M268" s="258"/>
      <c r="O268" s="311" t="str">
        <f t="shared" si="42"/>
        <v>-</v>
      </c>
      <c r="P268" s="311" t="str">
        <f t="shared" si="42"/>
        <v>-</v>
      </c>
      <c r="Q268" s="311" t="str">
        <f t="shared" si="42"/>
        <v>-</v>
      </c>
      <c r="R268" s="311" t="str">
        <f t="shared" si="42"/>
        <v>-</v>
      </c>
      <c r="S268" s="311" t="str">
        <f t="shared" si="42"/>
        <v>-</v>
      </c>
      <c r="T268" s="311" t="str">
        <f t="shared" si="42"/>
        <v>-</v>
      </c>
      <c r="U268" s="311" t="str">
        <f t="shared" si="42"/>
        <v>-</v>
      </c>
      <c r="V268" s="311" t="str">
        <f t="shared" si="42"/>
        <v>-</v>
      </c>
      <c r="W268" s="311" t="str">
        <f t="shared" si="42"/>
        <v>-</v>
      </c>
      <c r="X268" s="311" t="str">
        <f t="shared" si="42"/>
        <v>-</v>
      </c>
      <c r="Y268" s="311" t="str">
        <f t="shared" si="42"/>
        <v>-</v>
      </c>
      <c r="Z268" s="311" t="str">
        <f t="shared" si="42"/>
        <v>-</v>
      </c>
      <c r="AB268" s="311" t="str">
        <f>IF($E268=AB$3,#REF!*$F268,"-")</f>
        <v>-</v>
      </c>
      <c r="AC268" s="311" t="str">
        <f>IF($E268=AC$3,#REF!*$F268,"-")</f>
        <v>-</v>
      </c>
      <c r="AD268" s="311" t="str">
        <f>IF($E268=AD$3,#REF!*$F268,"-")</f>
        <v>-</v>
      </c>
      <c r="AE268" s="311" t="str">
        <f>IF($E268=AE$3,#REF!*$F268,"-")</f>
        <v>-</v>
      </c>
      <c r="AF268" s="311" t="str">
        <f>IF($E268=AF$3,#REF!*$F268,"-")</f>
        <v>-</v>
      </c>
      <c r="AG268" s="311" t="str">
        <f>IF($E268=AG$3,#REF!*$F268,"-")</f>
        <v>-</v>
      </c>
      <c r="AH268" s="311" t="str">
        <f>IF($E268=AH$3,#REF!*$F268,"-")</f>
        <v>-</v>
      </c>
      <c r="AI268" s="311" t="str">
        <f>IF($E268=AI$3,#REF!*$F268,"-")</f>
        <v>-</v>
      </c>
      <c r="AJ268" s="311" t="str">
        <f>IF($E268=AJ$3,#REF!*$F268,"-")</f>
        <v>-</v>
      </c>
      <c r="AK268" s="311" t="str">
        <f>IF($E268=AK$3,#REF!*$F268,"-")</f>
        <v>-</v>
      </c>
      <c r="AL268" s="311" t="str">
        <f>IF($E268=AL$3,#REF!*$F268,"-")</f>
        <v>-</v>
      </c>
      <c r="AM268" s="311" t="str">
        <f>IF($E268=AM$3,#REF!*$F268,"-")</f>
        <v>-</v>
      </c>
    </row>
    <row r="269" spans="3:39" ht="14.25" customHeight="1" x14ac:dyDescent="0.2">
      <c r="C269" s="597"/>
      <c r="D269" s="561"/>
      <c r="E269" s="309" t="s">
        <v>878</v>
      </c>
      <c r="F269" s="391">
        <v>9.9999999999999995E-7</v>
      </c>
      <c r="G269" s="309">
        <v>1E-3</v>
      </c>
      <c r="H269" s="392">
        <v>0</v>
      </c>
      <c r="I269" s="320">
        <f>D262*F269*G269*(1-H269)</f>
        <v>7.92E-7</v>
      </c>
      <c r="J269" s="309" t="s">
        <v>291</v>
      </c>
      <c r="K269" s="363">
        <v>0</v>
      </c>
      <c r="L269" s="396">
        <f t="shared" si="43"/>
        <v>7.92E-7</v>
      </c>
      <c r="M269" s="258"/>
      <c r="O269" s="311" t="str">
        <f t="shared" si="42"/>
        <v>-</v>
      </c>
      <c r="P269" s="311">
        <f t="shared" si="42"/>
        <v>7.9199999999999995E-4</v>
      </c>
      <c r="Q269" s="311" t="str">
        <f t="shared" si="42"/>
        <v>-</v>
      </c>
      <c r="R269" s="311" t="str">
        <f t="shared" si="42"/>
        <v>-</v>
      </c>
      <c r="S269" s="311" t="str">
        <f t="shared" si="42"/>
        <v>-</v>
      </c>
      <c r="T269" s="311" t="str">
        <f t="shared" si="42"/>
        <v>-</v>
      </c>
      <c r="U269" s="311" t="str">
        <f t="shared" si="42"/>
        <v>-</v>
      </c>
      <c r="V269" s="311" t="str">
        <f t="shared" si="42"/>
        <v>-</v>
      </c>
      <c r="W269" s="311" t="str">
        <f t="shared" si="42"/>
        <v>-</v>
      </c>
      <c r="X269" s="311" t="str">
        <f t="shared" si="42"/>
        <v>-</v>
      </c>
      <c r="Y269" s="311" t="str">
        <f t="shared" si="42"/>
        <v>-</v>
      </c>
      <c r="Z269" s="311" t="str">
        <f t="shared" si="42"/>
        <v>-</v>
      </c>
      <c r="AB269" s="311" t="str">
        <f>IF($E269=AB$3,#REF!*$F269,"-")</f>
        <v>-</v>
      </c>
      <c r="AC269" s="311" t="e">
        <f>IF($E269=AC$3,#REF!*$F269,"-")</f>
        <v>#REF!</v>
      </c>
      <c r="AD269" s="311" t="str">
        <f>IF($E269=AD$3,#REF!*$F269,"-")</f>
        <v>-</v>
      </c>
      <c r="AE269" s="311" t="str">
        <f>IF($E269=AE$3,#REF!*$F269,"-")</f>
        <v>-</v>
      </c>
      <c r="AF269" s="311" t="str">
        <f>IF($E269=AF$3,#REF!*$F269,"-")</f>
        <v>-</v>
      </c>
      <c r="AG269" s="311" t="str">
        <f>IF($E269=AG$3,#REF!*$F269,"-")</f>
        <v>-</v>
      </c>
      <c r="AH269" s="311" t="str">
        <f>IF($E269=AH$3,#REF!*$F269,"-")</f>
        <v>-</v>
      </c>
      <c r="AI269" s="311" t="str">
        <f>IF($E269=AI$3,#REF!*$F269,"-")</f>
        <v>-</v>
      </c>
      <c r="AJ269" s="311" t="str">
        <f>IF($E269=AJ$3,#REF!*$F269,"-")</f>
        <v>-</v>
      </c>
      <c r="AK269" s="311" t="str">
        <f>IF($E269=AK$3,#REF!*$F269,"-")</f>
        <v>-</v>
      </c>
      <c r="AL269" s="311" t="str">
        <f>IF($E269=AL$3,#REF!*$F269,"-")</f>
        <v>-</v>
      </c>
      <c r="AM269" s="311" t="str">
        <f>IF($E269=AM$3,#REF!*$F269,"-")</f>
        <v>-</v>
      </c>
    </row>
    <row r="270" spans="3:39" ht="14.25" customHeight="1" x14ac:dyDescent="0.2">
      <c r="C270" s="597"/>
      <c r="D270" s="561"/>
      <c r="E270" s="309" t="s">
        <v>879</v>
      </c>
      <c r="F270" s="391">
        <v>9.9999999999999995E-7</v>
      </c>
      <c r="G270" s="309">
        <v>1E-3</v>
      </c>
      <c r="H270" s="392">
        <v>0</v>
      </c>
      <c r="I270" s="320">
        <f>D262*F270*G270*(1-H270)</f>
        <v>7.92E-7</v>
      </c>
      <c r="J270" s="309" t="s">
        <v>291</v>
      </c>
      <c r="K270" s="363">
        <v>0</v>
      </c>
      <c r="L270" s="396">
        <f t="shared" si="43"/>
        <v>7.92E-7</v>
      </c>
      <c r="M270" s="258"/>
      <c r="O270" s="311" t="str">
        <f t="shared" si="42"/>
        <v>-</v>
      </c>
      <c r="P270" s="311" t="str">
        <f t="shared" si="42"/>
        <v>-</v>
      </c>
      <c r="Q270" s="311">
        <f t="shared" si="42"/>
        <v>7.9199999999999995E-4</v>
      </c>
      <c r="R270" s="311" t="str">
        <f t="shared" si="42"/>
        <v>-</v>
      </c>
      <c r="S270" s="311" t="str">
        <f t="shared" si="42"/>
        <v>-</v>
      </c>
      <c r="T270" s="311" t="str">
        <f t="shared" si="42"/>
        <v>-</v>
      </c>
      <c r="U270" s="311" t="str">
        <f t="shared" si="42"/>
        <v>-</v>
      </c>
      <c r="V270" s="311" t="str">
        <f t="shared" si="42"/>
        <v>-</v>
      </c>
      <c r="W270" s="311" t="str">
        <f t="shared" si="42"/>
        <v>-</v>
      </c>
      <c r="X270" s="311" t="str">
        <f t="shared" si="42"/>
        <v>-</v>
      </c>
      <c r="Y270" s="311" t="str">
        <f t="shared" si="42"/>
        <v>-</v>
      </c>
      <c r="Z270" s="311" t="str">
        <f t="shared" si="42"/>
        <v>-</v>
      </c>
      <c r="AB270" s="311" t="str">
        <f>IF($E270=AB$3,#REF!*$F270,"-")</f>
        <v>-</v>
      </c>
      <c r="AC270" s="311" t="str">
        <f>IF($E270=AC$3,#REF!*$F270,"-")</f>
        <v>-</v>
      </c>
      <c r="AD270" s="311" t="e">
        <f>IF($E270=AD$3,#REF!*$F270,"-")</f>
        <v>#REF!</v>
      </c>
      <c r="AE270" s="311" t="str">
        <f>IF($E270=AE$3,#REF!*$F270,"-")</f>
        <v>-</v>
      </c>
      <c r="AF270" s="311" t="str">
        <f>IF($E270=AF$3,#REF!*$F270,"-")</f>
        <v>-</v>
      </c>
      <c r="AG270" s="311" t="str">
        <f>IF($E270=AG$3,#REF!*$F270,"-")</f>
        <v>-</v>
      </c>
      <c r="AH270" s="311" t="str">
        <f>IF($E270=AH$3,#REF!*$F270,"-")</f>
        <v>-</v>
      </c>
      <c r="AI270" s="311" t="str">
        <f>IF($E270=AI$3,#REF!*$F270,"-")</f>
        <v>-</v>
      </c>
      <c r="AJ270" s="311" t="str">
        <f>IF($E270=AJ$3,#REF!*$F270,"-")</f>
        <v>-</v>
      </c>
      <c r="AK270" s="311" t="str">
        <f>IF($E270=AK$3,#REF!*$F270,"-")</f>
        <v>-</v>
      </c>
      <c r="AL270" s="311" t="str">
        <f>IF($E270=AL$3,#REF!*$F270,"-")</f>
        <v>-</v>
      </c>
      <c r="AM270" s="311" t="str">
        <f>IF($E270=AM$3,#REF!*$F270,"-")</f>
        <v>-</v>
      </c>
    </row>
    <row r="271" spans="3:39" ht="14.25" customHeight="1" x14ac:dyDescent="0.2">
      <c r="C271" s="597"/>
      <c r="D271" s="561"/>
      <c r="E271" s="309" t="s">
        <v>888</v>
      </c>
      <c r="F271" s="391">
        <v>9.9999999999999995E-7</v>
      </c>
      <c r="G271" s="309">
        <v>1E-3</v>
      </c>
      <c r="H271" s="392">
        <v>0</v>
      </c>
      <c r="I271" s="320">
        <f>D262*F271*G271*(1-H271)</f>
        <v>7.92E-7</v>
      </c>
      <c r="J271" s="309" t="s">
        <v>291</v>
      </c>
      <c r="K271" s="363">
        <v>0</v>
      </c>
      <c r="L271" s="396">
        <f t="shared" si="43"/>
        <v>7.92E-7</v>
      </c>
      <c r="M271" s="258"/>
      <c r="O271" s="311" t="str">
        <f t="shared" si="42"/>
        <v>-</v>
      </c>
      <c r="P271" s="311" t="str">
        <f t="shared" si="42"/>
        <v>-</v>
      </c>
      <c r="Q271" s="311" t="str">
        <f t="shared" si="42"/>
        <v>-</v>
      </c>
      <c r="R271" s="311" t="str">
        <f t="shared" si="42"/>
        <v>-</v>
      </c>
      <c r="S271" s="311" t="str">
        <f t="shared" si="42"/>
        <v>-</v>
      </c>
      <c r="T271" s="311" t="str">
        <f t="shared" si="42"/>
        <v>-</v>
      </c>
      <c r="U271" s="311" t="str">
        <f t="shared" si="42"/>
        <v>-</v>
      </c>
      <c r="V271" s="311" t="str">
        <f t="shared" si="42"/>
        <v>-</v>
      </c>
      <c r="W271" s="311" t="str">
        <f t="shared" si="42"/>
        <v>-</v>
      </c>
      <c r="X271" s="311" t="str">
        <f t="shared" si="42"/>
        <v>-</v>
      </c>
      <c r="Y271" s="311" t="str">
        <f t="shared" si="42"/>
        <v>-</v>
      </c>
      <c r="Z271" s="311">
        <f t="shared" si="42"/>
        <v>7.9199999999999995E-4</v>
      </c>
      <c r="AB271" s="311" t="str">
        <f>IF($E271=AB$3,#REF!*$F271,"-")</f>
        <v>-</v>
      </c>
      <c r="AC271" s="311" t="str">
        <f>IF($E271=AC$3,#REF!*$F271,"-")</f>
        <v>-</v>
      </c>
      <c r="AD271" s="311" t="str">
        <f>IF($E271=AD$3,#REF!*$F271,"-")</f>
        <v>-</v>
      </c>
      <c r="AE271" s="311" t="str">
        <f>IF($E271=AE$3,#REF!*$F271,"-")</f>
        <v>-</v>
      </c>
      <c r="AF271" s="311" t="str">
        <f>IF($E271=AF$3,#REF!*$F271,"-")</f>
        <v>-</v>
      </c>
      <c r="AG271" s="311" t="str">
        <f>IF($E271=AG$3,#REF!*$F271,"-")</f>
        <v>-</v>
      </c>
      <c r="AH271" s="311" t="str">
        <f>IF($E271=AH$3,#REF!*$F271,"-")</f>
        <v>-</v>
      </c>
      <c r="AI271" s="311" t="str">
        <f>IF($E271=AI$3,#REF!*$F271,"-")</f>
        <v>-</v>
      </c>
      <c r="AJ271" s="311" t="str">
        <f>IF($E271=AJ$3,#REF!*$F271,"-")</f>
        <v>-</v>
      </c>
      <c r="AK271" s="311" t="str">
        <f>IF($E271=AK$3,#REF!*$F271,"-")</f>
        <v>-</v>
      </c>
      <c r="AL271" s="311" t="str">
        <f>IF($E271=AL$3,#REF!*$F271,"-")</f>
        <v>-</v>
      </c>
      <c r="AM271" s="311" t="e">
        <f>IF($E271=AM$3,#REF!*$F271,"-")</f>
        <v>#REF!</v>
      </c>
    </row>
    <row r="272" spans="3:39" ht="14.25" customHeight="1" x14ac:dyDescent="0.2">
      <c r="C272" s="597"/>
      <c r="D272" s="561"/>
      <c r="E272" s="309" t="s">
        <v>897</v>
      </c>
      <c r="F272" s="391">
        <v>9.9999999999999995E-7</v>
      </c>
      <c r="G272" s="309">
        <v>1E-3</v>
      </c>
      <c r="H272" s="392">
        <v>0</v>
      </c>
      <c r="I272" s="320">
        <f>D262*F272*G272*(1-H272)</f>
        <v>7.92E-7</v>
      </c>
      <c r="J272" s="309" t="s">
        <v>291</v>
      </c>
      <c r="K272" s="363">
        <v>0</v>
      </c>
      <c r="L272" s="396">
        <f t="shared" si="43"/>
        <v>7.92E-7</v>
      </c>
      <c r="M272" s="258"/>
      <c r="O272" s="311" t="str">
        <f t="shared" ref="O272:Z281" si="44">IF($E272=O$3,$D$262*$F272,"-")</f>
        <v>-</v>
      </c>
      <c r="P272" s="311" t="str">
        <f t="shared" si="44"/>
        <v>-</v>
      </c>
      <c r="Q272" s="311" t="str">
        <f t="shared" si="44"/>
        <v>-</v>
      </c>
      <c r="R272" s="311" t="str">
        <f t="shared" si="44"/>
        <v>-</v>
      </c>
      <c r="S272" s="311" t="str">
        <f t="shared" si="44"/>
        <v>-</v>
      </c>
      <c r="T272" s="311" t="str">
        <f t="shared" si="44"/>
        <v>-</v>
      </c>
      <c r="U272" s="311" t="str">
        <f t="shared" si="44"/>
        <v>-</v>
      </c>
      <c r="V272" s="311" t="str">
        <f t="shared" si="44"/>
        <v>-</v>
      </c>
      <c r="W272" s="311" t="str">
        <f t="shared" si="44"/>
        <v>-</v>
      </c>
      <c r="X272" s="311" t="str">
        <f t="shared" si="44"/>
        <v>-</v>
      </c>
      <c r="Y272" s="311" t="str">
        <f t="shared" si="44"/>
        <v>-</v>
      </c>
      <c r="Z272" s="311" t="str">
        <f t="shared" si="44"/>
        <v>-</v>
      </c>
      <c r="AB272" s="311" t="str">
        <f>IF($E272=AB$3,#REF!*$F272,"-")</f>
        <v>-</v>
      </c>
      <c r="AC272" s="311" t="str">
        <f>IF($E272=AC$3,#REF!*$F272,"-")</f>
        <v>-</v>
      </c>
      <c r="AD272" s="311" t="str">
        <f>IF($E272=AD$3,#REF!*$F272,"-")</f>
        <v>-</v>
      </c>
      <c r="AE272" s="311" t="str">
        <f>IF($E272=AE$3,#REF!*$F272,"-")</f>
        <v>-</v>
      </c>
      <c r="AF272" s="311" t="str">
        <f>IF($E272=AF$3,#REF!*$F272,"-")</f>
        <v>-</v>
      </c>
      <c r="AG272" s="311" t="str">
        <f>IF($E272=AG$3,#REF!*$F272,"-")</f>
        <v>-</v>
      </c>
      <c r="AH272" s="311" t="str">
        <f>IF($E272=AH$3,#REF!*$F272,"-")</f>
        <v>-</v>
      </c>
      <c r="AI272" s="311" t="str">
        <f>IF($E272=AI$3,#REF!*$F272,"-")</f>
        <v>-</v>
      </c>
      <c r="AJ272" s="311" t="str">
        <f>IF($E272=AJ$3,#REF!*$F272,"-")</f>
        <v>-</v>
      </c>
      <c r="AK272" s="311" t="str">
        <f>IF($E272=AK$3,#REF!*$F272,"-")</f>
        <v>-</v>
      </c>
      <c r="AL272" s="311" t="str">
        <f>IF($E272=AL$3,#REF!*$F272,"-")</f>
        <v>-</v>
      </c>
      <c r="AM272" s="311" t="str">
        <f>IF($E272=AM$3,#REF!*$F272,"-")</f>
        <v>-</v>
      </c>
    </row>
    <row r="273" spans="3:39" ht="14.25" customHeight="1" x14ac:dyDescent="0.2">
      <c r="C273" s="597"/>
      <c r="D273" s="561"/>
      <c r="E273" s="309" t="s">
        <v>880</v>
      </c>
      <c r="F273" s="391">
        <v>1.9999999999999999E-6</v>
      </c>
      <c r="G273" s="309">
        <v>1E-3</v>
      </c>
      <c r="H273" s="392">
        <v>0</v>
      </c>
      <c r="I273" s="320">
        <f>D262*F273*G273*(1-H273)</f>
        <v>1.584E-6</v>
      </c>
      <c r="J273" s="309" t="s">
        <v>291</v>
      </c>
      <c r="K273" s="363">
        <v>0</v>
      </c>
      <c r="L273" s="396">
        <f t="shared" si="43"/>
        <v>1.584E-6</v>
      </c>
      <c r="M273" s="258"/>
      <c r="O273" s="311" t="str">
        <f t="shared" si="44"/>
        <v>-</v>
      </c>
      <c r="P273" s="311" t="str">
        <f t="shared" si="44"/>
        <v>-</v>
      </c>
      <c r="Q273" s="311" t="str">
        <f t="shared" si="44"/>
        <v>-</v>
      </c>
      <c r="R273" s="311">
        <f t="shared" si="44"/>
        <v>1.5839999999999999E-3</v>
      </c>
      <c r="S273" s="311" t="str">
        <f t="shared" si="44"/>
        <v>-</v>
      </c>
      <c r="T273" s="311" t="str">
        <f t="shared" si="44"/>
        <v>-</v>
      </c>
      <c r="U273" s="311" t="str">
        <f t="shared" si="44"/>
        <v>-</v>
      </c>
      <c r="V273" s="311" t="str">
        <f t="shared" si="44"/>
        <v>-</v>
      </c>
      <c r="W273" s="311" t="str">
        <f t="shared" si="44"/>
        <v>-</v>
      </c>
      <c r="X273" s="311" t="str">
        <f t="shared" si="44"/>
        <v>-</v>
      </c>
      <c r="Y273" s="311" t="str">
        <f t="shared" si="44"/>
        <v>-</v>
      </c>
      <c r="Z273" s="311" t="str">
        <f t="shared" si="44"/>
        <v>-</v>
      </c>
      <c r="AB273" s="311" t="str">
        <f>IF($E273=AB$3,#REF!*$F273,"-")</f>
        <v>-</v>
      </c>
      <c r="AC273" s="311" t="str">
        <f>IF($E273=AC$3,#REF!*$F273,"-")</f>
        <v>-</v>
      </c>
      <c r="AD273" s="311" t="str">
        <f>IF($E273=AD$3,#REF!*$F273,"-")</f>
        <v>-</v>
      </c>
      <c r="AE273" s="311" t="e">
        <f>IF($E273=AE$3,#REF!*$F273,"-")</f>
        <v>#REF!</v>
      </c>
      <c r="AF273" s="311" t="str">
        <f>IF($E273=AF$3,#REF!*$F273,"-")</f>
        <v>-</v>
      </c>
      <c r="AG273" s="311" t="str">
        <f>IF($E273=AG$3,#REF!*$F273,"-")</f>
        <v>-</v>
      </c>
      <c r="AH273" s="311" t="str">
        <f>IF($E273=AH$3,#REF!*$F273,"-")</f>
        <v>-</v>
      </c>
      <c r="AI273" s="311" t="str">
        <f>IF($E273=AI$3,#REF!*$F273,"-")</f>
        <v>-</v>
      </c>
      <c r="AJ273" s="311" t="str">
        <f>IF($E273=AJ$3,#REF!*$F273,"-")</f>
        <v>-</v>
      </c>
      <c r="AK273" s="311" t="str">
        <f>IF($E273=AK$3,#REF!*$F273,"-")</f>
        <v>-</v>
      </c>
      <c r="AL273" s="311" t="str">
        <f>IF($E273=AL$3,#REF!*$F273,"-")</f>
        <v>-</v>
      </c>
      <c r="AM273" s="311" t="str">
        <f>IF($E273=AM$3,#REF!*$F273,"-")</f>
        <v>-</v>
      </c>
    </row>
    <row r="274" spans="3:39" ht="14.25" customHeight="1" x14ac:dyDescent="0.2">
      <c r="C274" s="597"/>
      <c r="D274" s="561"/>
      <c r="E274" s="309" t="s">
        <v>898</v>
      </c>
      <c r="F274" s="391">
        <v>9.0000000000000002E-6</v>
      </c>
      <c r="G274" s="309">
        <v>1E-3</v>
      </c>
      <c r="H274" s="392">
        <v>0</v>
      </c>
      <c r="I274" s="320">
        <f>D262*F274*G274*(1-H274)</f>
        <v>7.1280000000000002E-6</v>
      </c>
      <c r="J274" s="309" t="s">
        <v>291</v>
      </c>
      <c r="K274" s="363">
        <v>0</v>
      </c>
      <c r="L274" s="396">
        <f t="shared" si="43"/>
        <v>7.1280000000000002E-6</v>
      </c>
      <c r="M274" s="258"/>
      <c r="O274" s="311" t="str">
        <f t="shared" si="44"/>
        <v>-</v>
      </c>
      <c r="P274" s="311" t="str">
        <f t="shared" si="44"/>
        <v>-</v>
      </c>
      <c r="Q274" s="311" t="str">
        <f t="shared" si="44"/>
        <v>-</v>
      </c>
      <c r="R274" s="311" t="str">
        <f t="shared" si="44"/>
        <v>-</v>
      </c>
      <c r="S274" s="311" t="str">
        <f t="shared" si="44"/>
        <v>-</v>
      </c>
      <c r="T274" s="311" t="str">
        <f t="shared" si="44"/>
        <v>-</v>
      </c>
      <c r="U274" s="311" t="str">
        <f t="shared" si="44"/>
        <v>-</v>
      </c>
      <c r="V274" s="311" t="str">
        <f t="shared" si="44"/>
        <v>-</v>
      </c>
      <c r="W274" s="311" t="str">
        <f t="shared" si="44"/>
        <v>-</v>
      </c>
      <c r="X274" s="311" t="str">
        <f t="shared" si="44"/>
        <v>-</v>
      </c>
      <c r="Y274" s="311" t="str">
        <f t="shared" si="44"/>
        <v>-</v>
      </c>
      <c r="Z274" s="311" t="str">
        <f t="shared" si="44"/>
        <v>-</v>
      </c>
      <c r="AB274" s="311" t="str">
        <f>IF($E274=AB$3,#REF!*$F274,"-")</f>
        <v>-</v>
      </c>
      <c r="AC274" s="311" t="str">
        <f>IF($E274=AC$3,#REF!*$F274,"-")</f>
        <v>-</v>
      </c>
      <c r="AD274" s="311" t="str">
        <f>IF($E274=AD$3,#REF!*$F274,"-")</f>
        <v>-</v>
      </c>
      <c r="AE274" s="311" t="str">
        <f>IF($E274=AE$3,#REF!*$F274,"-")</f>
        <v>-</v>
      </c>
      <c r="AF274" s="311" t="str">
        <f>IF($E274=AF$3,#REF!*$F274,"-")</f>
        <v>-</v>
      </c>
      <c r="AG274" s="311" t="str">
        <f>IF($E274=AG$3,#REF!*$F274,"-")</f>
        <v>-</v>
      </c>
      <c r="AH274" s="311" t="str">
        <f>IF($E274=AH$3,#REF!*$F274,"-")</f>
        <v>-</v>
      </c>
      <c r="AI274" s="311" t="str">
        <f>IF($E274=AI$3,#REF!*$F274,"-")</f>
        <v>-</v>
      </c>
      <c r="AJ274" s="311" t="str">
        <f>IF($E274=AJ$3,#REF!*$F274,"-")</f>
        <v>-</v>
      </c>
      <c r="AK274" s="311" t="str">
        <f>IF($E274=AK$3,#REF!*$F274,"-")</f>
        <v>-</v>
      </c>
      <c r="AL274" s="311" t="str">
        <f>IF($E274=AL$3,#REF!*$F274,"-")</f>
        <v>-</v>
      </c>
      <c r="AM274" s="311" t="str">
        <f>IF($E274=AM$3,#REF!*$F274,"-")</f>
        <v>-</v>
      </c>
    </row>
    <row r="275" spans="3:39" ht="14.25" customHeight="1" x14ac:dyDescent="0.2">
      <c r="C275" s="597"/>
      <c r="D275" s="561"/>
      <c r="E275" s="309" t="s">
        <v>909</v>
      </c>
      <c r="F275" s="391">
        <v>5.0000000000000004E-8</v>
      </c>
      <c r="G275" s="309">
        <v>1E-3</v>
      </c>
      <c r="H275" s="392">
        <v>0</v>
      </c>
      <c r="I275" s="320">
        <f>D262*F275*G275*(1-H275)</f>
        <v>3.9600000000000004E-8</v>
      </c>
      <c r="J275" s="309" t="s">
        <v>291</v>
      </c>
      <c r="K275" s="363">
        <v>0</v>
      </c>
      <c r="L275" s="396">
        <f t="shared" si="43"/>
        <v>3.9600000000000004E-8</v>
      </c>
      <c r="M275" s="258"/>
      <c r="O275" s="311" t="str">
        <f t="shared" si="44"/>
        <v>-</v>
      </c>
      <c r="P275" s="311" t="str">
        <f t="shared" si="44"/>
        <v>-</v>
      </c>
      <c r="Q275" s="311" t="str">
        <f t="shared" si="44"/>
        <v>-</v>
      </c>
      <c r="R275" s="311" t="str">
        <f t="shared" si="44"/>
        <v>-</v>
      </c>
      <c r="S275" s="311" t="str">
        <f t="shared" si="44"/>
        <v>-</v>
      </c>
      <c r="T275" s="311" t="str">
        <f t="shared" si="44"/>
        <v>-</v>
      </c>
      <c r="U275" s="311" t="str">
        <f t="shared" si="44"/>
        <v>-</v>
      </c>
      <c r="V275" s="311" t="str">
        <f t="shared" si="44"/>
        <v>-</v>
      </c>
      <c r="W275" s="311" t="str">
        <f t="shared" si="44"/>
        <v>-</v>
      </c>
      <c r="X275" s="311" t="str">
        <f t="shared" si="44"/>
        <v>-</v>
      </c>
      <c r="Y275" s="311" t="str">
        <f t="shared" si="44"/>
        <v>-</v>
      </c>
      <c r="Z275" s="311" t="str">
        <f t="shared" si="44"/>
        <v>-</v>
      </c>
      <c r="AB275" s="311" t="str">
        <f>IF($E275=AB$3,#REF!*$F275,"-")</f>
        <v>-</v>
      </c>
      <c r="AC275" s="311" t="str">
        <f>IF($E275=AC$3,#REF!*$F275,"-")</f>
        <v>-</v>
      </c>
      <c r="AD275" s="311" t="str">
        <f>IF($E275=AD$3,#REF!*$F275,"-")</f>
        <v>-</v>
      </c>
      <c r="AE275" s="311" t="str">
        <f>IF($E275=AE$3,#REF!*$F275,"-")</f>
        <v>-</v>
      </c>
      <c r="AF275" s="311" t="str">
        <f>IF($E275=AF$3,#REF!*$F275,"-")</f>
        <v>-</v>
      </c>
      <c r="AG275" s="311" t="str">
        <f>IF($E275=AG$3,#REF!*$F275,"-")</f>
        <v>-</v>
      </c>
      <c r="AH275" s="311" t="str">
        <f>IF($E275=AH$3,#REF!*$F275,"-")</f>
        <v>-</v>
      </c>
      <c r="AI275" s="311" t="str">
        <f>IF($E275=AI$3,#REF!*$F275,"-")</f>
        <v>-</v>
      </c>
      <c r="AJ275" s="311" t="str">
        <f>IF($E275=AJ$3,#REF!*$F275,"-")</f>
        <v>-</v>
      </c>
      <c r="AK275" s="311" t="str">
        <f>IF($E275=AK$3,#REF!*$F275,"-")</f>
        <v>-</v>
      </c>
      <c r="AL275" s="311" t="str">
        <f>IF($E275=AL$3,#REF!*$F275,"-")</f>
        <v>-</v>
      </c>
      <c r="AM275" s="311" t="str">
        <f>IF($E275=AM$3,#REF!*$F275,"-")</f>
        <v>-</v>
      </c>
    </row>
    <row r="276" spans="3:39" ht="14.25" customHeight="1" x14ac:dyDescent="0.2">
      <c r="C276" s="597"/>
      <c r="D276" s="561"/>
      <c r="E276" s="309" t="s">
        <v>910</v>
      </c>
      <c r="F276" s="391">
        <v>1.0000000000000001E-7</v>
      </c>
      <c r="G276" s="309">
        <v>1E-3</v>
      </c>
      <c r="H276" s="392">
        <v>0</v>
      </c>
      <c r="I276" s="320">
        <f>D262*F276*G276*(1-H276)</f>
        <v>7.9200000000000008E-8</v>
      </c>
      <c r="J276" s="309" t="s">
        <v>291</v>
      </c>
      <c r="K276" s="363">
        <v>0</v>
      </c>
      <c r="L276" s="396">
        <f t="shared" si="43"/>
        <v>7.9200000000000008E-8</v>
      </c>
      <c r="M276" s="258"/>
      <c r="O276" s="311" t="str">
        <f t="shared" si="44"/>
        <v>-</v>
      </c>
      <c r="P276" s="311" t="str">
        <f t="shared" si="44"/>
        <v>-</v>
      </c>
      <c r="Q276" s="311" t="str">
        <f t="shared" si="44"/>
        <v>-</v>
      </c>
      <c r="R276" s="311" t="str">
        <f t="shared" si="44"/>
        <v>-</v>
      </c>
      <c r="S276" s="311" t="str">
        <f t="shared" si="44"/>
        <v>-</v>
      </c>
      <c r="T276" s="311" t="str">
        <f t="shared" si="44"/>
        <v>-</v>
      </c>
      <c r="U276" s="311" t="str">
        <f t="shared" si="44"/>
        <v>-</v>
      </c>
      <c r="V276" s="311" t="str">
        <f t="shared" si="44"/>
        <v>-</v>
      </c>
      <c r="W276" s="311" t="str">
        <f t="shared" si="44"/>
        <v>-</v>
      </c>
      <c r="X276" s="311" t="str">
        <f t="shared" si="44"/>
        <v>-</v>
      </c>
      <c r="Y276" s="311" t="str">
        <f t="shared" si="44"/>
        <v>-</v>
      </c>
      <c r="Z276" s="311" t="str">
        <f t="shared" si="44"/>
        <v>-</v>
      </c>
      <c r="AB276" s="311" t="str">
        <f>IF($E276=AB$3,#REF!*$F276,"-")</f>
        <v>-</v>
      </c>
      <c r="AC276" s="311" t="str">
        <f>IF($E276=AC$3,#REF!*$F276,"-")</f>
        <v>-</v>
      </c>
      <c r="AD276" s="311" t="str">
        <f>IF($E276=AD$3,#REF!*$F276,"-")</f>
        <v>-</v>
      </c>
      <c r="AE276" s="311" t="str">
        <f>IF($E276=AE$3,#REF!*$F276,"-")</f>
        <v>-</v>
      </c>
      <c r="AF276" s="311" t="str">
        <f>IF($E276=AF$3,#REF!*$F276,"-")</f>
        <v>-</v>
      </c>
      <c r="AG276" s="311" t="str">
        <f>IF($E276=AG$3,#REF!*$F276,"-")</f>
        <v>-</v>
      </c>
      <c r="AH276" s="311" t="str">
        <f>IF($E276=AH$3,#REF!*$F276,"-")</f>
        <v>-</v>
      </c>
      <c r="AI276" s="311" t="str">
        <f>IF($E276=AI$3,#REF!*$F276,"-")</f>
        <v>-</v>
      </c>
      <c r="AJ276" s="311" t="str">
        <f>IF($E276=AJ$3,#REF!*$F276,"-")</f>
        <v>-</v>
      </c>
      <c r="AK276" s="311" t="str">
        <f>IF($E276=AK$3,#REF!*$F276,"-")</f>
        <v>-</v>
      </c>
      <c r="AL276" s="311" t="str">
        <f>IF($E276=AL$3,#REF!*$F276,"-")</f>
        <v>-</v>
      </c>
      <c r="AM276" s="311" t="str">
        <f>IF($E276=AM$3,#REF!*$F276,"-")</f>
        <v>-</v>
      </c>
    </row>
    <row r="277" spans="3:39" ht="14.25" customHeight="1" x14ac:dyDescent="0.2">
      <c r="C277" s="597"/>
      <c r="D277" s="561"/>
      <c r="E277" s="309" t="s">
        <v>901</v>
      </c>
      <c r="F277" s="391">
        <v>9.9999999999999995E-7</v>
      </c>
      <c r="G277" s="309">
        <v>1E-3</v>
      </c>
      <c r="H277" s="392">
        <v>0</v>
      </c>
      <c r="I277" s="320">
        <f>D262*F277*G277*(1-H277)</f>
        <v>7.92E-7</v>
      </c>
      <c r="J277" s="309" t="s">
        <v>291</v>
      </c>
      <c r="K277" s="363">
        <v>0</v>
      </c>
      <c r="L277" s="396">
        <f t="shared" si="43"/>
        <v>7.92E-7</v>
      </c>
      <c r="M277" s="258"/>
      <c r="O277" s="311" t="str">
        <f t="shared" si="44"/>
        <v>-</v>
      </c>
      <c r="P277" s="311" t="str">
        <f t="shared" si="44"/>
        <v>-</v>
      </c>
      <c r="Q277" s="311" t="str">
        <f t="shared" si="44"/>
        <v>-</v>
      </c>
      <c r="R277" s="311" t="str">
        <f t="shared" si="44"/>
        <v>-</v>
      </c>
      <c r="S277" s="311" t="str">
        <f t="shared" si="44"/>
        <v>-</v>
      </c>
      <c r="T277" s="311" t="str">
        <f t="shared" si="44"/>
        <v>-</v>
      </c>
      <c r="U277" s="311" t="str">
        <f t="shared" si="44"/>
        <v>-</v>
      </c>
      <c r="V277" s="311" t="str">
        <f t="shared" si="44"/>
        <v>-</v>
      </c>
      <c r="W277" s="311" t="str">
        <f t="shared" si="44"/>
        <v>-</v>
      </c>
      <c r="X277" s="311" t="str">
        <f t="shared" si="44"/>
        <v>-</v>
      </c>
      <c r="Y277" s="311" t="str">
        <f t="shared" si="44"/>
        <v>-</v>
      </c>
      <c r="Z277" s="311" t="str">
        <f t="shared" si="44"/>
        <v>-</v>
      </c>
      <c r="AB277" s="311" t="str">
        <f>IF($E277=AB$3,#REF!*$F277,"-")</f>
        <v>-</v>
      </c>
      <c r="AC277" s="311" t="str">
        <f>IF($E277=AC$3,#REF!*$F277,"-")</f>
        <v>-</v>
      </c>
      <c r="AD277" s="311" t="str">
        <f>IF($E277=AD$3,#REF!*$F277,"-")</f>
        <v>-</v>
      </c>
      <c r="AE277" s="311" t="str">
        <f>IF($E277=AE$3,#REF!*$F277,"-")</f>
        <v>-</v>
      </c>
      <c r="AF277" s="311" t="str">
        <f>IF($E277=AF$3,#REF!*$F277,"-")</f>
        <v>-</v>
      </c>
      <c r="AG277" s="311" t="str">
        <f>IF($E277=AG$3,#REF!*$F277,"-")</f>
        <v>-</v>
      </c>
      <c r="AH277" s="311" t="str">
        <f>IF($E277=AH$3,#REF!*$F277,"-")</f>
        <v>-</v>
      </c>
      <c r="AI277" s="311" t="str">
        <f>IF($E277=AI$3,#REF!*$F277,"-")</f>
        <v>-</v>
      </c>
      <c r="AJ277" s="311" t="str">
        <f>IF($E277=AJ$3,#REF!*$F277,"-")</f>
        <v>-</v>
      </c>
      <c r="AK277" s="311" t="str">
        <f>IF($E277=AK$3,#REF!*$F277,"-")</f>
        <v>-</v>
      </c>
      <c r="AL277" s="311" t="str">
        <f>IF($E277=AL$3,#REF!*$F277,"-")</f>
        <v>-</v>
      </c>
      <c r="AM277" s="311" t="str">
        <f>IF($E277=AM$3,#REF!*$F277,"-")</f>
        <v>-</v>
      </c>
    </row>
    <row r="278" spans="3:39" ht="14.25" customHeight="1" x14ac:dyDescent="0.2">
      <c r="C278" s="597"/>
      <c r="D278" s="561"/>
      <c r="E278" s="309" t="s">
        <v>881</v>
      </c>
      <c r="F278" s="391">
        <v>9.9999999999999995E-7</v>
      </c>
      <c r="G278" s="309">
        <v>1E-3</v>
      </c>
      <c r="H278" s="392">
        <v>0</v>
      </c>
      <c r="I278" s="320">
        <f>D262*F278*G278*(1-H278)</f>
        <v>7.92E-7</v>
      </c>
      <c r="J278" s="309" t="s">
        <v>291</v>
      </c>
      <c r="K278" s="363">
        <v>0</v>
      </c>
      <c r="L278" s="396">
        <f t="shared" si="43"/>
        <v>7.92E-7</v>
      </c>
      <c r="M278" s="258"/>
      <c r="O278" s="311" t="str">
        <f t="shared" si="44"/>
        <v>-</v>
      </c>
      <c r="P278" s="311" t="str">
        <f t="shared" si="44"/>
        <v>-</v>
      </c>
      <c r="Q278" s="311" t="str">
        <f t="shared" si="44"/>
        <v>-</v>
      </c>
      <c r="R278" s="311" t="str">
        <f t="shared" si="44"/>
        <v>-</v>
      </c>
      <c r="S278" s="311">
        <f t="shared" si="44"/>
        <v>7.9199999999999995E-4</v>
      </c>
      <c r="T278" s="311" t="str">
        <f t="shared" si="44"/>
        <v>-</v>
      </c>
      <c r="U278" s="311" t="str">
        <f t="shared" si="44"/>
        <v>-</v>
      </c>
      <c r="V278" s="311" t="str">
        <f t="shared" si="44"/>
        <v>-</v>
      </c>
      <c r="W278" s="311" t="str">
        <f t="shared" si="44"/>
        <v>-</v>
      </c>
      <c r="X278" s="311" t="str">
        <f t="shared" si="44"/>
        <v>-</v>
      </c>
      <c r="Y278" s="311" t="str">
        <f t="shared" si="44"/>
        <v>-</v>
      </c>
      <c r="Z278" s="311" t="str">
        <f t="shared" si="44"/>
        <v>-</v>
      </c>
      <c r="AB278" s="311" t="str">
        <f>IF($E278=AB$3,#REF!*$F278,"-")</f>
        <v>-</v>
      </c>
      <c r="AC278" s="311" t="str">
        <f>IF($E278=AC$3,#REF!*$F278,"-")</f>
        <v>-</v>
      </c>
      <c r="AD278" s="311" t="str">
        <f>IF($E278=AD$3,#REF!*$F278,"-")</f>
        <v>-</v>
      </c>
      <c r="AE278" s="311" t="str">
        <f>IF($E278=AE$3,#REF!*$F278,"-")</f>
        <v>-</v>
      </c>
      <c r="AF278" s="311" t="e">
        <f>IF($E278=AF$3,#REF!*$F278,"-")</f>
        <v>#REF!</v>
      </c>
      <c r="AG278" s="311" t="str">
        <f>IF($E278=AG$3,#REF!*$F278,"-")</f>
        <v>-</v>
      </c>
      <c r="AH278" s="311" t="str">
        <f>IF($E278=AH$3,#REF!*$F278,"-")</f>
        <v>-</v>
      </c>
      <c r="AI278" s="311" t="str">
        <f>IF($E278=AI$3,#REF!*$F278,"-")</f>
        <v>-</v>
      </c>
      <c r="AJ278" s="311" t="str">
        <f>IF($E278=AJ$3,#REF!*$F278,"-")</f>
        <v>-</v>
      </c>
      <c r="AK278" s="311" t="str">
        <f>IF($E278=AK$3,#REF!*$F278,"-")</f>
        <v>-</v>
      </c>
      <c r="AL278" s="311" t="str">
        <f>IF($E278=AL$3,#REF!*$F278,"-")</f>
        <v>-</v>
      </c>
      <c r="AM278" s="311" t="str">
        <f>IF($E278=AM$3,#REF!*$F278,"-")</f>
        <v>-</v>
      </c>
    </row>
    <row r="279" spans="3:39" ht="14.25" customHeight="1" x14ac:dyDescent="0.2">
      <c r="C279" s="597"/>
      <c r="D279" s="561"/>
      <c r="E279" s="309" t="s">
        <v>950</v>
      </c>
      <c r="F279" s="391">
        <v>9.9999999999999995E-7</v>
      </c>
      <c r="G279" s="309">
        <v>1E-3</v>
      </c>
      <c r="H279" s="392">
        <v>0</v>
      </c>
      <c r="I279" s="320">
        <f>D262*F279*G279*(1-H279)</f>
        <v>7.92E-7</v>
      </c>
      <c r="J279" s="309" t="s">
        <v>291</v>
      </c>
      <c r="K279" s="363">
        <v>0</v>
      </c>
      <c r="L279" s="396">
        <f t="shared" si="43"/>
        <v>7.92E-7</v>
      </c>
      <c r="M279" s="258"/>
      <c r="O279" s="311" t="str">
        <f t="shared" si="44"/>
        <v>-</v>
      </c>
      <c r="P279" s="311" t="str">
        <f t="shared" si="44"/>
        <v>-</v>
      </c>
      <c r="Q279" s="311" t="str">
        <f t="shared" si="44"/>
        <v>-</v>
      </c>
      <c r="R279" s="311" t="str">
        <f t="shared" si="44"/>
        <v>-</v>
      </c>
      <c r="S279" s="311" t="str">
        <f t="shared" si="44"/>
        <v>-</v>
      </c>
      <c r="T279" s="311" t="str">
        <f t="shared" si="44"/>
        <v>-</v>
      </c>
      <c r="U279" s="311" t="str">
        <f t="shared" si="44"/>
        <v>-</v>
      </c>
      <c r="V279" s="311" t="str">
        <f t="shared" si="44"/>
        <v>-</v>
      </c>
      <c r="W279" s="311" t="str">
        <f t="shared" si="44"/>
        <v>-</v>
      </c>
      <c r="X279" s="311" t="str">
        <f t="shared" si="44"/>
        <v>-</v>
      </c>
      <c r="Y279" s="311" t="str">
        <f t="shared" si="44"/>
        <v>-</v>
      </c>
      <c r="Z279" s="311" t="str">
        <f t="shared" si="44"/>
        <v>-</v>
      </c>
      <c r="AB279" s="311" t="str">
        <f>IF($E279=AB$3,#REF!*$F279,"-")</f>
        <v>-</v>
      </c>
      <c r="AC279" s="311" t="str">
        <f>IF($E279=AC$3,#REF!*$F279,"-")</f>
        <v>-</v>
      </c>
      <c r="AD279" s="311" t="str">
        <f>IF($E279=AD$3,#REF!*$F279,"-")</f>
        <v>-</v>
      </c>
      <c r="AE279" s="311" t="str">
        <f>IF($E279=AE$3,#REF!*$F279,"-")</f>
        <v>-</v>
      </c>
      <c r="AF279" s="311" t="str">
        <f>IF($E279=AF$3,#REF!*$F279,"-")</f>
        <v>-</v>
      </c>
      <c r="AG279" s="311" t="str">
        <f>IF($E279=AG$3,#REF!*$F279,"-")</f>
        <v>-</v>
      </c>
      <c r="AH279" s="311" t="str">
        <f>IF($E279=AH$3,#REF!*$F279,"-")</f>
        <v>-</v>
      </c>
      <c r="AI279" s="311" t="str">
        <f>IF($E279=AI$3,#REF!*$F279,"-")</f>
        <v>-</v>
      </c>
      <c r="AJ279" s="311" t="str">
        <f>IF($E279=AJ$3,#REF!*$F279,"-")</f>
        <v>-</v>
      </c>
      <c r="AK279" s="311" t="str">
        <f>IF($E279=AK$3,#REF!*$F279,"-")</f>
        <v>-</v>
      </c>
      <c r="AL279" s="311" t="str">
        <f>IF($E279=AL$3,#REF!*$F279,"-")</f>
        <v>-</v>
      </c>
      <c r="AM279" s="311" t="str">
        <f>IF($E279=AM$3,#REF!*$F279,"-")</f>
        <v>-</v>
      </c>
    </row>
    <row r="280" spans="3:39" ht="14.25" customHeight="1" x14ac:dyDescent="0.2">
      <c r="C280" s="597"/>
      <c r="D280" s="561"/>
      <c r="E280" s="309" t="s">
        <v>911</v>
      </c>
      <c r="F280" s="391">
        <v>3.0000000000000004E-8</v>
      </c>
      <c r="G280" s="309">
        <v>1E-3</v>
      </c>
      <c r="H280" s="392">
        <v>0</v>
      </c>
      <c r="I280" s="320">
        <f>D262*F280*G280*(1-H280)</f>
        <v>2.3760000000000002E-8</v>
      </c>
      <c r="J280" s="309" t="s">
        <v>291</v>
      </c>
      <c r="K280" s="363">
        <v>0</v>
      </c>
      <c r="L280" s="396">
        <f t="shared" si="43"/>
        <v>2.3760000000000002E-8</v>
      </c>
      <c r="M280" s="258"/>
      <c r="O280" s="311" t="str">
        <f t="shared" si="44"/>
        <v>-</v>
      </c>
      <c r="P280" s="311" t="str">
        <f t="shared" si="44"/>
        <v>-</v>
      </c>
      <c r="Q280" s="311" t="str">
        <f t="shared" si="44"/>
        <v>-</v>
      </c>
      <c r="R280" s="311" t="str">
        <f t="shared" si="44"/>
        <v>-</v>
      </c>
      <c r="S280" s="311" t="str">
        <f t="shared" si="44"/>
        <v>-</v>
      </c>
      <c r="T280" s="311" t="str">
        <f t="shared" si="44"/>
        <v>-</v>
      </c>
      <c r="U280" s="311" t="str">
        <f t="shared" si="44"/>
        <v>-</v>
      </c>
      <c r="V280" s="311" t="str">
        <f t="shared" si="44"/>
        <v>-</v>
      </c>
      <c r="W280" s="311" t="str">
        <f t="shared" si="44"/>
        <v>-</v>
      </c>
      <c r="X280" s="311" t="str">
        <f t="shared" si="44"/>
        <v>-</v>
      </c>
      <c r="Y280" s="311" t="str">
        <f t="shared" si="44"/>
        <v>-</v>
      </c>
      <c r="Z280" s="311" t="str">
        <f t="shared" si="44"/>
        <v>-</v>
      </c>
      <c r="AB280" s="311" t="str">
        <f>IF($E280=AB$3,#REF!*$F280,"-")</f>
        <v>-</v>
      </c>
      <c r="AC280" s="311" t="str">
        <f>IF($E280=AC$3,#REF!*$F280,"-")</f>
        <v>-</v>
      </c>
      <c r="AD280" s="311" t="str">
        <f>IF($E280=AD$3,#REF!*$F280,"-")</f>
        <v>-</v>
      </c>
      <c r="AE280" s="311" t="str">
        <f>IF($E280=AE$3,#REF!*$F280,"-")</f>
        <v>-</v>
      </c>
      <c r="AF280" s="311" t="str">
        <f>IF($E280=AF$3,#REF!*$F280,"-")</f>
        <v>-</v>
      </c>
      <c r="AG280" s="311" t="str">
        <f>IF($E280=AG$3,#REF!*$F280,"-")</f>
        <v>-</v>
      </c>
      <c r="AH280" s="311" t="str">
        <f>IF($E280=AH$3,#REF!*$F280,"-")</f>
        <v>-</v>
      </c>
      <c r="AI280" s="311" t="str">
        <f>IF($E280=AI$3,#REF!*$F280,"-")</f>
        <v>-</v>
      </c>
      <c r="AJ280" s="311" t="str">
        <f>IF($E280=AJ$3,#REF!*$F280,"-")</f>
        <v>-</v>
      </c>
      <c r="AK280" s="311" t="str">
        <f>IF($E280=AK$3,#REF!*$F280,"-")</f>
        <v>-</v>
      </c>
      <c r="AL280" s="311" t="str">
        <f>IF($E280=AL$3,#REF!*$F280,"-")</f>
        <v>-</v>
      </c>
      <c r="AM280" s="311" t="str">
        <f>IF($E280=AM$3,#REF!*$F280,"-")</f>
        <v>-</v>
      </c>
    </row>
    <row r="281" spans="3:39" ht="14.25" customHeight="1" x14ac:dyDescent="0.2">
      <c r="C281" s="597"/>
      <c r="D281" s="561"/>
      <c r="E281" s="309" t="s">
        <v>882</v>
      </c>
      <c r="F281" s="391">
        <v>5.0000000000000004E-6</v>
      </c>
      <c r="G281" s="309">
        <v>1E-3</v>
      </c>
      <c r="H281" s="392">
        <v>0</v>
      </c>
      <c r="I281" s="320">
        <f>D262*F281*G281*(1-H281)</f>
        <v>3.9600000000000002E-6</v>
      </c>
      <c r="J281" s="309" t="s">
        <v>291</v>
      </c>
      <c r="K281" s="363">
        <v>0</v>
      </c>
      <c r="L281" s="396">
        <f t="shared" si="43"/>
        <v>3.9600000000000002E-6</v>
      </c>
      <c r="M281" s="258"/>
      <c r="O281" s="311" t="str">
        <f t="shared" si="44"/>
        <v>-</v>
      </c>
      <c r="P281" s="311" t="str">
        <f t="shared" si="44"/>
        <v>-</v>
      </c>
      <c r="Q281" s="311" t="str">
        <f t="shared" si="44"/>
        <v>-</v>
      </c>
      <c r="R281" s="311" t="str">
        <f t="shared" si="44"/>
        <v>-</v>
      </c>
      <c r="S281" s="311" t="str">
        <f t="shared" si="44"/>
        <v>-</v>
      </c>
      <c r="T281" s="311">
        <f t="shared" si="44"/>
        <v>3.96E-3</v>
      </c>
      <c r="U281" s="311" t="str">
        <f t="shared" si="44"/>
        <v>-</v>
      </c>
      <c r="V281" s="311" t="str">
        <f t="shared" si="44"/>
        <v>-</v>
      </c>
      <c r="W281" s="311" t="str">
        <f t="shared" si="44"/>
        <v>-</v>
      </c>
      <c r="X281" s="311" t="str">
        <f t="shared" si="44"/>
        <v>-</v>
      </c>
      <c r="Y281" s="311" t="str">
        <f t="shared" si="44"/>
        <v>-</v>
      </c>
      <c r="Z281" s="311" t="str">
        <f t="shared" si="44"/>
        <v>-</v>
      </c>
      <c r="AB281" s="311" t="str">
        <f>IF($E281=AB$3,#REF!*$F281,"-")</f>
        <v>-</v>
      </c>
      <c r="AC281" s="311" t="str">
        <f>IF($E281=AC$3,#REF!*$F281,"-")</f>
        <v>-</v>
      </c>
      <c r="AD281" s="311" t="str">
        <f>IF($E281=AD$3,#REF!*$F281,"-")</f>
        <v>-</v>
      </c>
      <c r="AE281" s="311" t="str">
        <f>IF($E281=AE$3,#REF!*$F281,"-")</f>
        <v>-</v>
      </c>
      <c r="AF281" s="311" t="str">
        <f>IF($E281=AF$3,#REF!*$F281,"-")</f>
        <v>-</v>
      </c>
      <c r="AG281" s="311" t="e">
        <f>IF($E281=AG$3,#REF!*$F281,"-")</f>
        <v>#REF!</v>
      </c>
      <c r="AH281" s="311" t="str">
        <f>IF($E281=AH$3,#REF!*$F281,"-")</f>
        <v>-</v>
      </c>
      <c r="AI281" s="311" t="str">
        <f>IF($E281=AI$3,#REF!*$F281,"-")</f>
        <v>-</v>
      </c>
      <c r="AJ281" s="311" t="str">
        <f>IF($E281=AJ$3,#REF!*$F281,"-")</f>
        <v>-</v>
      </c>
      <c r="AK281" s="311" t="str">
        <f>IF($E281=AK$3,#REF!*$F281,"-")</f>
        <v>-</v>
      </c>
      <c r="AL281" s="311" t="str">
        <f>IF($E281=AL$3,#REF!*$F281,"-")</f>
        <v>-</v>
      </c>
      <c r="AM281" s="311" t="str">
        <f>IF($E281=AM$3,#REF!*$F281,"-")</f>
        <v>-</v>
      </c>
    </row>
    <row r="282" spans="3:39" ht="14.25" customHeight="1" x14ac:dyDescent="0.2">
      <c r="C282" s="597"/>
      <c r="D282" s="561"/>
      <c r="E282" s="309" t="s">
        <v>902</v>
      </c>
      <c r="F282" s="391">
        <v>9.9999999999999995E-7</v>
      </c>
      <c r="G282" s="309">
        <v>1E-3</v>
      </c>
      <c r="H282" s="392">
        <v>0</v>
      </c>
      <c r="I282" s="320">
        <f>D262*F282*G282*(1-H282)</f>
        <v>7.92E-7</v>
      </c>
      <c r="J282" s="309" t="s">
        <v>291</v>
      </c>
      <c r="K282" s="363">
        <v>0</v>
      </c>
      <c r="L282" s="396">
        <f t="shared" si="43"/>
        <v>7.92E-7</v>
      </c>
      <c r="M282" s="258"/>
      <c r="O282" s="311" t="str">
        <f t="shared" ref="O282:Z296" si="45">IF($E282=O$3,$D$262*$F282,"-")</f>
        <v>-</v>
      </c>
      <c r="P282" s="311" t="str">
        <f t="shared" si="45"/>
        <v>-</v>
      </c>
      <c r="Q282" s="311" t="str">
        <f t="shared" si="45"/>
        <v>-</v>
      </c>
      <c r="R282" s="311" t="str">
        <f t="shared" si="45"/>
        <v>-</v>
      </c>
      <c r="S282" s="311" t="str">
        <f t="shared" si="45"/>
        <v>-</v>
      </c>
      <c r="T282" s="311" t="str">
        <f t="shared" si="45"/>
        <v>-</v>
      </c>
      <c r="U282" s="311" t="str">
        <f t="shared" si="45"/>
        <v>-</v>
      </c>
      <c r="V282" s="311" t="str">
        <f t="shared" si="45"/>
        <v>-</v>
      </c>
      <c r="W282" s="311" t="str">
        <f t="shared" si="45"/>
        <v>-</v>
      </c>
      <c r="X282" s="311" t="str">
        <f t="shared" si="45"/>
        <v>-</v>
      </c>
      <c r="Y282" s="311" t="str">
        <f t="shared" si="45"/>
        <v>-</v>
      </c>
      <c r="Z282" s="311" t="str">
        <f t="shared" si="45"/>
        <v>-</v>
      </c>
      <c r="AB282" s="311" t="str">
        <f>IF($E282=AB$3,#REF!*$F282,"-")</f>
        <v>-</v>
      </c>
      <c r="AC282" s="311" t="str">
        <f>IF($E282=AC$3,#REF!*$F282,"-")</f>
        <v>-</v>
      </c>
      <c r="AD282" s="311" t="str">
        <f>IF($E282=AD$3,#REF!*$F282,"-")</f>
        <v>-</v>
      </c>
      <c r="AE282" s="311" t="str">
        <f>IF($E282=AE$3,#REF!*$F282,"-")</f>
        <v>-</v>
      </c>
      <c r="AF282" s="311" t="str">
        <f>IF($E282=AF$3,#REF!*$F282,"-")</f>
        <v>-</v>
      </c>
      <c r="AG282" s="311" t="str">
        <f>IF($E282=AG$3,#REF!*$F282,"-")</f>
        <v>-</v>
      </c>
      <c r="AH282" s="311" t="str">
        <f>IF($E282=AH$3,#REF!*$F282,"-")</f>
        <v>-</v>
      </c>
      <c r="AI282" s="311" t="str">
        <f>IF($E282=AI$3,#REF!*$F282,"-")</f>
        <v>-</v>
      </c>
      <c r="AJ282" s="311" t="str">
        <f>IF($E282=AJ$3,#REF!*$F282,"-")</f>
        <v>-</v>
      </c>
      <c r="AK282" s="311" t="str">
        <f>IF($E282=AK$3,#REF!*$F282,"-")</f>
        <v>-</v>
      </c>
      <c r="AL282" s="311" t="str">
        <f>IF($E282=AL$3,#REF!*$F282,"-")</f>
        <v>-</v>
      </c>
      <c r="AM282" s="311" t="str">
        <f>IF($E282=AM$3,#REF!*$F282,"-")</f>
        <v>-</v>
      </c>
    </row>
    <row r="283" spans="3:39" ht="14.25" customHeight="1" x14ac:dyDescent="0.2">
      <c r="C283" s="597"/>
      <c r="D283" s="561"/>
      <c r="E283" s="309" t="s">
        <v>883</v>
      </c>
      <c r="F283" s="391">
        <v>1.0000000000000001E-7</v>
      </c>
      <c r="G283" s="309">
        <v>1E-3</v>
      </c>
      <c r="H283" s="392">
        <v>0</v>
      </c>
      <c r="I283" s="320">
        <f>D262*F283*G283*(1-H283)</f>
        <v>7.9200000000000008E-8</v>
      </c>
      <c r="J283" s="309" t="s">
        <v>291</v>
      </c>
      <c r="K283" s="363">
        <v>0</v>
      </c>
      <c r="L283" s="396">
        <f t="shared" si="43"/>
        <v>7.9200000000000008E-8</v>
      </c>
      <c r="M283" s="258"/>
      <c r="O283" s="311" t="str">
        <f t="shared" si="45"/>
        <v>-</v>
      </c>
      <c r="P283" s="311" t="str">
        <f t="shared" si="45"/>
        <v>-</v>
      </c>
      <c r="Q283" s="311" t="str">
        <f t="shared" si="45"/>
        <v>-</v>
      </c>
      <c r="R283" s="311" t="str">
        <f t="shared" si="45"/>
        <v>-</v>
      </c>
      <c r="S283" s="311" t="str">
        <f t="shared" si="45"/>
        <v>-</v>
      </c>
      <c r="T283" s="311" t="str">
        <f t="shared" si="45"/>
        <v>-</v>
      </c>
      <c r="U283" s="311">
        <f t="shared" si="45"/>
        <v>7.9200000000000001E-5</v>
      </c>
      <c r="V283" s="311" t="str">
        <f t="shared" si="45"/>
        <v>-</v>
      </c>
      <c r="W283" s="311" t="str">
        <f t="shared" si="45"/>
        <v>-</v>
      </c>
      <c r="X283" s="311" t="str">
        <f t="shared" si="45"/>
        <v>-</v>
      </c>
      <c r="Y283" s="311" t="str">
        <f t="shared" si="45"/>
        <v>-</v>
      </c>
      <c r="Z283" s="311" t="str">
        <f t="shared" si="45"/>
        <v>-</v>
      </c>
      <c r="AB283" s="311" t="str">
        <f>IF($E283=AB$3,#REF!*$F283,"-")</f>
        <v>-</v>
      </c>
      <c r="AC283" s="311" t="str">
        <f>IF($E283=AC$3,#REF!*$F283,"-")</f>
        <v>-</v>
      </c>
      <c r="AD283" s="311" t="str">
        <f>IF($E283=AD$3,#REF!*$F283,"-")</f>
        <v>-</v>
      </c>
      <c r="AE283" s="311" t="str">
        <f>IF($E283=AE$3,#REF!*$F283,"-")</f>
        <v>-</v>
      </c>
      <c r="AF283" s="311" t="str">
        <f>IF($E283=AF$3,#REF!*$F283,"-")</f>
        <v>-</v>
      </c>
      <c r="AG283" s="311" t="str">
        <f>IF($E283=AG$3,#REF!*$F283,"-")</f>
        <v>-</v>
      </c>
      <c r="AH283" s="311" t="e">
        <f>IF($E283=AH$3,#REF!*$F283,"-")</f>
        <v>#REF!</v>
      </c>
      <c r="AI283" s="311" t="str">
        <f>IF($E283=AI$3,#REF!*$F283,"-")</f>
        <v>-</v>
      </c>
      <c r="AJ283" s="311" t="str">
        <f>IF($E283=AJ$3,#REF!*$F283,"-")</f>
        <v>-</v>
      </c>
      <c r="AK283" s="311" t="str">
        <f>IF($E283=AK$3,#REF!*$F283,"-")</f>
        <v>-</v>
      </c>
      <c r="AL283" s="311" t="str">
        <f>IF($E283=AL$3,#REF!*$F283,"-")</f>
        <v>-</v>
      </c>
      <c r="AM283" s="311" t="str">
        <f>IF($E283=AM$3,#REF!*$F283,"-")</f>
        <v>-</v>
      </c>
    </row>
    <row r="284" spans="3:39" ht="14.25" customHeight="1" x14ac:dyDescent="0.2">
      <c r="C284" s="597"/>
      <c r="D284" s="561"/>
      <c r="E284" s="309" t="s">
        <v>903</v>
      </c>
      <c r="F284" s="391">
        <v>1.9999999999999999E-6</v>
      </c>
      <c r="G284" s="309">
        <v>1E-3</v>
      </c>
      <c r="H284" s="392">
        <v>0</v>
      </c>
      <c r="I284" s="320">
        <f>D262*F284*G284*(1-H284)</f>
        <v>1.584E-6</v>
      </c>
      <c r="J284" s="309" t="s">
        <v>291</v>
      </c>
      <c r="K284" s="363">
        <v>0</v>
      </c>
      <c r="L284" s="396">
        <f t="shared" si="43"/>
        <v>1.584E-6</v>
      </c>
      <c r="M284" s="258"/>
      <c r="O284" s="311" t="str">
        <f t="shared" si="45"/>
        <v>-</v>
      </c>
      <c r="P284" s="311" t="str">
        <f t="shared" si="45"/>
        <v>-</v>
      </c>
      <c r="Q284" s="311" t="str">
        <f t="shared" si="45"/>
        <v>-</v>
      </c>
      <c r="R284" s="311" t="str">
        <f t="shared" si="45"/>
        <v>-</v>
      </c>
      <c r="S284" s="311" t="str">
        <f t="shared" si="45"/>
        <v>-</v>
      </c>
      <c r="T284" s="311" t="str">
        <f t="shared" si="45"/>
        <v>-</v>
      </c>
      <c r="U284" s="311" t="str">
        <f t="shared" si="45"/>
        <v>-</v>
      </c>
      <c r="V284" s="311" t="str">
        <f t="shared" si="45"/>
        <v>-</v>
      </c>
      <c r="W284" s="311" t="str">
        <f t="shared" si="45"/>
        <v>-</v>
      </c>
      <c r="X284" s="311" t="str">
        <f t="shared" si="45"/>
        <v>-</v>
      </c>
      <c r="Y284" s="311" t="str">
        <f t="shared" si="45"/>
        <v>-</v>
      </c>
      <c r="Z284" s="311" t="str">
        <f t="shared" si="45"/>
        <v>-</v>
      </c>
      <c r="AB284" s="311" t="str">
        <f>IF($E284=AB$3,#REF!*$F284,"-")</f>
        <v>-</v>
      </c>
      <c r="AC284" s="311" t="str">
        <f>IF($E284=AC$3,#REF!*$F284,"-")</f>
        <v>-</v>
      </c>
      <c r="AD284" s="311" t="str">
        <f>IF($E284=AD$3,#REF!*$F284,"-")</f>
        <v>-</v>
      </c>
      <c r="AE284" s="311" t="str">
        <f>IF($E284=AE$3,#REF!*$F284,"-")</f>
        <v>-</v>
      </c>
      <c r="AF284" s="311" t="str">
        <f>IF($E284=AF$3,#REF!*$F284,"-")</f>
        <v>-</v>
      </c>
      <c r="AG284" s="311" t="str">
        <f>IF($E284=AG$3,#REF!*$F284,"-")</f>
        <v>-</v>
      </c>
      <c r="AH284" s="311" t="str">
        <f>IF($E284=AH$3,#REF!*$F284,"-")</f>
        <v>-</v>
      </c>
      <c r="AI284" s="311" t="str">
        <f>IF($E284=AI$3,#REF!*$F284,"-")</f>
        <v>-</v>
      </c>
      <c r="AJ284" s="311" t="str">
        <f>IF($E284=AJ$3,#REF!*$F284,"-")</f>
        <v>-</v>
      </c>
      <c r="AK284" s="311" t="str">
        <f>IF($E284=AK$3,#REF!*$F284,"-")</f>
        <v>-</v>
      </c>
      <c r="AL284" s="311" t="str">
        <f>IF($E284=AL$3,#REF!*$F284,"-")</f>
        <v>-</v>
      </c>
      <c r="AM284" s="311" t="str">
        <f>IF($E284=AM$3,#REF!*$F284,"-")</f>
        <v>-</v>
      </c>
    </row>
    <row r="285" spans="3:39" ht="14.25" customHeight="1" x14ac:dyDescent="0.2">
      <c r="C285" s="597"/>
      <c r="D285" s="561"/>
      <c r="E285" s="309" t="s">
        <v>904</v>
      </c>
      <c r="F285" s="391">
        <v>9.9999999999999995E-7</v>
      </c>
      <c r="G285" s="309">
        <v>1E-3</v>
      </c>
      <c r="H285" s="392">
        <v>0</v>
      </c>
      <c r="I285" s="320">
        <f>D262*F285*G285*(1-H285)</f>
        <v>7.92E-7</v>
      </c>
      <c r="J285" s="309" t="s">
        <v>291</v>
      </c>
      <c r="K285" s="363">
        <v>0</v>
      </c>
      <c r="L285" s="396">
        <f t="shared" si="43"/>
        <v>7.92E-7</v>
      </c>
      <c r="M285" s="258"/>
      <c r="O285" s="311" t="str">
        <f t="shared" si="45"/>
        <v>-</v>
      </c>
      <c r="P285" s="311" t="str">
        <f t="shared" si="45"/>
        <v>-</v>
      </c>
      <c r="Q285" s="311" t="str">
        <f t="shared" si="45"/>
        <v>-</v>
      </c>
      <c r="R285" s="311" t="str">
        <f t="shared" si="45"/>
        <v>-</v>
      </c>
      <c r="S285" s="311" t="str">
        <f t="shared" si="45"/>
        <v>-</v>
      </c>
      <c r="T285" s="311" t="str">
        <f t="shared" si="45"/>
        <v>-</v>
      </c>
      <c r="U285" s="311" t="str">
        <f t="shared" si="45"/>
        <v>-</v>
      </c>
      <c r="V285" s="311" t="str">
        <f t="shared" si="45"/>
        <v>-</v>
      </c>
      <c r="W285" s="311" t="str">
        <f t="shared" si="45"/>
        <v>-</v>
      </c>
      <c r="X285" s="311" t="str">
        <f t="shared" si="45"/>
        <v>-</v>
      </c>
      <c r="Y285" s="311" t="str">
        <f t="shared" si="45"/>
        <v>-</v>
      </c>
      <c r="Z285" s="311" t="str">
        <f t="shared" si="45"/>
        <v>-</v>
      </c>
      <c r="AB285" s="311" t="str">
        <f>IF($E285=AB$3,#REF!*$F285,"-")</f>
        <v>-</v>
      </c>
      <c r="AC285" s="311" t="str">
        <f>IF($E285=AC$3,#REF!*$F285,"-")</f>
        <v>-</v>
      </c>
      <c r="AD285" s="311" t="str">
        <f>IF($E285=AD$3,#REF!*$F285,"-")</f>
        <v>-</v>
      </c>
      <c r="AE285" s="311" t="str">
        <f>IF($E285=AE$3,#REF!*$F285,"-")</f>
        <v>-</v>
      </c>
      <c r="AF285" s="311" t="str">
        <f>IF($E285=AF$3,#REF!*$F285,"-")</f>
        <v>-</v>
      </c>
      <c r="AG285" s="311" t="str">
        <f>IF($E285=AG$3,#REF!*$F285,"-")</f>
        <v>-</v>
      </c>
      <c r="AH285" s="311" t="str">
        <f>IF($E285=AH$3,#REF!*$F285,"-")</f>
        <v>-</v>
      </c>
      <c r="AI285" s="311" t="str">
        <f>IF($E285=AI$3,#REF!*$F285,"-")</f>
        <v>-</v>
      </c>
      <c r="AJ285" s="311" t="str">
        <f>IF($E285=AJ$3,#REF!*$F285,"-")</f>
        <v>-</v>
      </c>
      <c r="AK285" s="311" t="str">
        <f>IF($E285=AK$3,#REF!*$F285,"-")</f>
        <v>-</v>
      </c>
      <c r="AL285" s="311" t="str">
        <f>IF($E285=AL$3,#REF!*$F285,"-")</f>
        <v>-</v>
      </c>
      <c r="AM285" s="311" t="str">
        <f>IF($E285=AM$3,#REF!*$F285,"-")</f>
        <v>-</v>
      </c>
    </row>
    <row r="286" spans="3:39" ht="14.25" customHeight="1" x14ac:dyDescent="0.2">
      <c r="C286" s="597"/>
      <c r="D286" s="561"/>
      <c r="E286" s="309" t="s">
        <v>884</v>
      </c>
      <c r="F286" s="391">
        <v>1.9999999999999999E-6</v>
      </c>
      <c r="G286" s="309">
        <v>1E-3</v>
      </c>
      <c r="H286" s="392">
        <v>0</v>
      </c>
      <c r="I286" s="320">
        <f>D262*F286*G286*(1-H286)</f>
        <v>1.584E-6</v>
      </c>
      <c r="J286" s="309" t="s">
        <v>291</v>
      </c>
      <c r="K286" s="363">
        <v>0</v>
      </c>
      <c r="L286" s="396">
        <f t="shared" si="43"/>
        <v>1.584E-6</v>
      </c>
      <c r="M286" s="258"/>
      <c r="O286" s="311" t="str">
        <f t="shared" si="45"/>
        <v>-</v>
      </c>
      <c r="P286" s="311" t="str">
        <f t="shared" si="45"/>
        <v>-</v>
      </c>
      <c r="Q286" s="311" t="str">
        <f t="shared" si="45"/>
        <v>-</v>
      </c>
      <c r="R286" s="311" t="str">
        <f t="shared" si="45"/>
        <v>-</v>
      </c>
      <c r="S286" s="311" t="str">
        <f t="shared" si="45"/>
        <v>-</v>
      </c>
      <c r="T286" s="311" t="str">
        <f t="shared" si="45"/>
        <v>-</v>
      </c>
      <c r="U286" s="311" t="str">
        <f t="shared" si="45"/>
        <v>-</v>
      </c>
      <c r="V286" s="311">
        <f t="shared" si="45"/>
        <v>1.5839999999999999E-3</v>
      </c>
      <c r="W286" s="311" t="str">
        <f t="shared" si="45"/>
        <v>-</v>
      </c>
      <c r="X286" s="311" t="str">
        <f t="shared" si="45"/>
        <v>-</v>
      </c>
      <c r="Y286" s="311" t="str">
        <f t="shared" si="45"/>
        <v>-</v>
      </c>
      <c r="Z286" s="311" t="str">
        <f t="shared" si="45"/>
        <v>-</v>
      </c>
      <c r="AB286" s="311" t="str">
        <f>IF($E286=AB$3,#REF!*$F286,"-")</f>
        <v>-</v>
      </c>
      <c r="AC286" s="311" t="str">
        <f>IF($E286=AC$3,#REF!*$F286,"-")</f>
        <v>-</v>
      </c>
      <c r="AD286" s="311" t="str">
        <f>IF($E286=AD$3,#REF!*$F286,"-")</f>
        <v>-</v>
      </c>
      <c r="AE286" s="311" t="str">
        <f>IF($E286=AE$3,#REF!*$F286,"-")</f>
        <v>-</v>
      </c>
      <c r="AF286" s="311" t="str">
        <f>IF($E286=AF$3,#REF!*$F286,"-")</f>
        <v>-</v>
      </c>
      <c r="AG286" s="311" t="str">
        <f>IF($E286=AG$3,#REF!*$F286,"-")</f>
        <v>-</v>
      </c>
      <c r="AH286" s="311" t="str">
        <f>IF($E286=AH$3,#REF!*$F286,"-")</f>
        <v>-</v>
      </c>
      <c r="AI286" s="311" t="e">
        <f>IF($E286=AI$3,#REF!*$F286,"-")</f>
        <v>#REF!</v>
      </c>
      <c r="AJ286" s="311" t="str">
        <f>IF($E286=AJ$3,#REF!*$F286,"-")</f>
        <v>-</v>
      </c>
      <c r="AK286" s="311" t="str">
        <f>IF($E286=AK$3,#REF!*$F286,"-")</f>
        <v>-</v>
      </c>
      <c r="AL286" s="311" t="str">
        <f>IF($E286=AL$3,#REF!*$F286,"-")</f>
        <v>-</v>
      </c>
      <c r="AM286" s="311" t="str">
        <f>IF($E286=AM$3,#REF!*$F286,"-")</f>
        <v>-</v>
      </c>
    </row>
    <row r="287" spans="3:39" ht="14.25" customHeight="1" x14ac:dyDescent="0.2">
      <c r="C287" s="597"/>
      <c r="D287" s="561"/>
      <c r="E287" s="309" t="s">
        <v>906</v>
      </c>
      <c r="F287" s="391">
        <v>9.9999999999999995E-7</v>
      </c>
      <c r="G287" s="309">
        <v>1E-3</v>
      </c>
      <c r="H287" s="392">
        <v>0</v>
      </c>
      <c r="I287" s="320">
        <f>D262*F287*G287*(1-H287)</f>
        <v>7.92E-7</v>
      </c>
      <c r="J287" s="309" t="s">
        <v>291</v>
      </c>
      <c r="K287" s="363">
        <v>0</v>
      </c>
      <c r="L287" s="396">
        <f t="shared" si="43"/>
        <v>7.92E-7</v>
      </c>
      <c r="M287" s="258"/>
      <c r="O287" s="311" t="str">
        <f t="shared" si="45"/>
        <v>-</v>
      </c>
      <c r="P287" s="311" t="str">
        <f t="shared" si="45"/>
        <v>-</v>
      </c>
      <c r="Q287" s="311" t="str">
        <f t="shared" si="45"/>
        <v>-</v>
      </c>
      <c r="R287" s="311" t="str">
        <f t="shared" si="45"/>
        <v>-</v>
      </c>
      <c r="S287" s="311" t="str">
        <f t="shared" si="45"/>
        <v>-</v>
      </c>
      <c r="T287" s="311" t="str">
        <f t="shared" si="45"/>
        <v>-</v>
      </c>
      <c r="U287" s="311" t="str">
        <f t="shared" si="45"/>
        <v>-</v>
      </c>
      <c r="V287" s="311" t="str">
        <f t="shared" si="45"/>
        <v>-</v>
      </c>
      <c r="W287" s="311" t="str">
        <f t="shared" si="45"/>
        <v>-</v>
      </c>
      <c r="X287" s="311" t="str">
        <f t="shared" si="45"/>
        <v>-</v>
      </c>
      <c r="Y287" s="311" t="str">
        <f t="shared" si="45"/>
        <v>-</v>
      </c>
      <c r="Z287" s="311" t="str">
        <f t="shared" si="45"/>
        <v>-</v>
      </c>
      <c r="AB287" s="311" t="str">
        <f>IF($E287=AB$3,#REF!*$F287,"-")</f>
        <v>-</v>
      </c>
      <c r="AC287" s="311" t="str">
        <f>IF($E287=AC$3,#REF!*$F287,"-")</f>
        <v>-</v>
      </c>
      <c r="AD287" s="311" t="str">
        <f>IF($E287=AD$3,#REF!*$F287,"-")</f>
        <v>-</v>
      </c>
      <c r="AE287" s="311" t="str">
        <f>IF($E287=AE$3,#REF!*$F287,"-")</f>
        <v>-</v>
      </c>
      <c r="AF287" s="311" t="str">
        <f>IF($E287=AF$3,#REF!*$F287,"-")</f>
        <v>-</v>
      </c>
      <c r="AG287" s="311" t="str">
        <f>IF($E287=AG$3,#REF!*$F287,"-")</f>
        <v>-</v>
      </c>
      <c r="AH287" s="311" t="str">
        <f>IF($E287=AH$3,#REF!*$F287,"-")</f>
        <v>-</v>
      </c>
      <c r="AI287" s="311" t="str">
        <f>IF($E287=AI$3,#REF!*$F287,"-")</f>
        <v>-</v>
      </c>
      <c r="AJ287" s="311" t="str">
        <f>IF($E287=AJ$3,#REF!*$F287,"-")</f>
        <v>-</v>
      </c>
      <c r="AK287" s="311" t="str">
        <f>IF($E287=AK$3,#REF!*$F287,"-")</f>
        <v>-</v>
      </c>
      <c r="AL287" s="311" t="str">
        <f>IF($E287=AL$3,#REF!*$F287,"-")</f>
        <v>-</v>
      </c>
      <c r="AM287" s="311" t="str">
        <f>IF($E287=AM$3,#REF!*$F287,"-")</f>
        <v>-</v>
      </c>
    </row>
    <row r="288" spans="3:39" ht="14.25" customHeight="1" x14ac:dyDescent="0.2">
      <c r="C288" s="597"/>
      <c r="D288" s="561"/>
      <c r="E288" s="309" t="s">
        <v>907</v>
      </c>
      <c r="F288" s="391">
        <v>9.9999999999999995E-7</v>
      </c>
      <c r="G288" s="309">
        <v>1E-3</v>
      </c>
      <c r="H288" s="392">
        <v>0</v>
      </c>
      <c r="I288" s="320">
        <f>D262*F288*G288*(1-H288)</f>
        <v>7.92E-7</v>
      </c>
      <c r="J288" s="309" t="s">
        <v>291</v>
      </c>
      <c r="K288" s="363">
        <v>0</v>
      </c>
      <c r="L288" s="396">
        <f t="shared" si="43"/>
        <v>7.92E-7</v>
      </c>
      <c r="M288" s="258"/>
      <c r="O288" s="311" t="str">
        <f t="shared" si="45"/>
        <v>-</v>
      </c>
      <c r="P288" s="311" t="str">
        <f t="shared" si="45"/>
        <v>-</v>
      </c>
      <c r="Q288" s="311" t="str">
        <f t="shared" si="45"/>
        <v>-</v>
      </c>
      <c r="R288" s="311" t="str">
        <f t="shared" si="45"/>
        <v>-</v>
      </c>
      <c r="S288" s="311" t="str">
        <f t="shared" si="45"/>
        <v>-</v>
      </c>
      <c r="T288" s="311" t="str">
        <f t="shared" si="45"/>
        <v>-</v>
      </c>
      <c r="U288" s="311" t="str">
        <f t="shared" si="45"/>
        <v>-</v>
      </c>
      <c r="V288" s="311" t="str">
        <f t="shared" si="45"/>
        <v>-</v>
      </c>
      <c r="W288" s="311" t="str">
        <f t="shared" si="45"/>
        <v>-</v>
      </c>
      <c r="X288" s="311" t="str">
        <f t="shared" si="45"/>
        <v>-</v>
      </c>
      <c r="Y288" s="311" t="str">
        <f t="shared" si="45"/>
        <v>-</v>
      </c>
      <c r="Z288" s="311" t="str">
        <f t="shared" si="45"/>
        <v>-</v>
      </c>
      <c r="AB288" s="311" t="str">
        <f>IF($E288=AB$3,#REF!*$F288,"-")</f>
        <v>-</v>
      </c>
      <c r="AC288" s="311" t="str">
        <f>IF($E288=AC$3,#REF!*$F288,"-")</f>
        <v>-</v>
      </c>
      <c r="AD288" s="311" t="str">
        <f>IF($E288=AD$3,#REF!*$F288,"-")</f>
        <v>-</v>
      </c>
      <c r="AE288" s="311" t="str">
        <f>IF($E288=AE$3,#REF!*$F288,"-")</f>
        <v>-</v>
      </c>
      <c r="AF288" s="311" t="str">
        <f>IF($E288=AF$3,#REF!*$F288,"-")</f>
        <v>-</v>
      </c>
      <c r="AG288" s="311" t="str">
        <f>IF($E288=AG$3,#REF!*$F288,"-")</f>
        <v>-</v>
      </c>
      <c r="AH288" s="311" t="str">
        <f>IF($E288=AH$3,#REF!*$F288,"-")</f>
        <v>-</v>
      </c>
      <c r="AI288" s="311" t="str">
        <f>IF($E288=AI$3,#REF!*$F288,"-")</f>
        <v>-</v>
      </c>
      <c r="AJ288" s="311" t="str">
        <f>IF($E288=AJ$3,#REF!*$F288,"-")</f>
        <v>-</v>
      </c>
      <c r="AK288" s="311" t="str">
        <f>IF($E288=AK$3,#REF!*$F288,"-")</f>
        <v>-</v>
      </c>
      <c r="AL288" s="311" t="str">
        <f>IF($E288=AL$3,#REF!*$F288,"-")</f>
        <v>-</v>
      </c>
      <c r="AM288" s="311" t="str">
        <f>IF($E288=AM$3,#REF!*$F288,"-")</f>
        <v>-</v>
      </c>
    </row>
    <row r="289" spans="2:39" ht="14.25" customHeight="1" x14ac:dyDescent="0.2">
      <c r="C289" s="597"/>
      <c r="D289" s="561"/>
      <c r="E289" s="309" t="s">
        <v>908</v>
      </c>
      <c r="F289" s="391">
        <v>9.9999999999999995E-7</v>
      </c>
      <c r="G289" s="309">
        <v>1E-3</v>
      </c>
      <c r="H289" s="392">
        <v>0</v>
      </c>
      <c r="I289" s="320">
        <f>D262*F289*G289*(1-H289)</f>
        <v>7.92E-7</v>
      </c>
      <c r="J289" s="309" t="s">
        <v>291</v>
      </c>
      <c r="K289" s="363">
        <v>0</v>
      </c>
      <c r="L289" s="396">
        <f t="shared" si="43"/>
        <v>7.92E-7</v>
      </c>
      <c r="M289" s="258"/>
      <c r="O289" s="311" t="str">
        <f t="shared" si="45"/>
        <v>-</v>
      </c>
      <c r="P289" s="311" t="str">
        <f t="shared" si="45"/>
        <v>-</v>
      </c>
      <c r="Q289" s="311" t="str">
        <f t="shared" si="45"/>
        <v>-</v>
      </c>
      <c r="R289" s="311" t="str">
        <f t="shared" si="45"/>
        <v>-</v>
      </c>
      <c r="S289" s="311" t="str">
        <f t="shared" si="45"/>
        <v>-</v>
      </c>
      <c r="T289" s="311" t="str">
        <f t="shared" si="45"/>
        <v>-</v>
      </c>
      <c r="U289" s="311" t="str">
        <f t="shared" si="45"/>
        <v>-</v>
      </c>
      <c r="V289" s="311" t="str">
        <f t="shared" si="45"/>
        <v>-</v>
      </c>
      <c r="W289" s="311" t="str">
        <f t="shared" si="45"/>
        <v>-</v>
      </c>
      <c r="X289" s="311" t="str">
        <f t="shared" si="45"/>
        <v>-</v>
      </c>
      <c r="Y289" s="311" t="str">
        <f t="shared" si="45"/>
        <v>-</v>
      </c>
      <c r="Z289" s="311" t="str">
        <f t="shared" si="45"/>
        <v>-</v>
      </c>
      <c r="AB289" s="311" t="str">
        <f>IF($E289=AB$3,#REF!*$F289,"-")</f>
        <v>-</v>
      </c>
      <c r="AC289" s="311" t="str">
        <f>IF($E289=AC$3,#REF!*$F289,"-")</f>
        <v>-</v>
      </c>
      <c r="AD289" s="311" t="str">
        <f>IF($E289=AD$3,#REF!*$F289,"-")</f>
        <v>-</v>
      </c>
      <c r="AE289" s="311" t="str">
        <f>IF($E289=AE$3,#REF!*$F289,"-")</f>
        <v>-</v>
      </c>
      <c r="AF289" s="311" t="str">
        <f>IF($E289=AF$3,#REF!*$F289,"-")</f>
        <v>-</v>
      </c>
      <c r="AG289" s="311" t="str">
        <f>IF($E289=AG$3,#REF!*$F289,"-")</f>
        <v>-</v>
      </c>
      <c r="AH289" s="311" t="str">
        <f>IF($E289=AH$3,#REF!*$F289,"-")</f>
        <v>-</v>
      </c>
      <c r="AI289" s="311" t="str">
        <f>IF($E289=AI$3,#REF!*$F289,"-")</f>
        <v>-</v>
      </c>
      <c r="AJ289" s="311" t="str">
        <f>IF($E289=AJ$3,#REF!*$F289,"-")</f>
        <v>-</v>
      </c>
      <c r="AK289" s="311" t="str">
        <f>IF($E289=AK$3,#REF!*$F289,"-")</f>
        <v>-</v>
      </c>
      <c r="AL289" s="311" t="str">
        <f>IF($E289=AL$3,#REF!*$F289,"-")</f>
        <v>-</v>
      </c>
      <c r="AM289" s="311" t="str">
        <f>IF($E289=AM$3,#REF!*$F289,"-")</f>
        <v>-</v>
      </c>
    </row>
    <row r="290" spans="2:39" ht="14.25" customHeight="1" x14ac:dyDescent="0.2">
      <c r="C290" s="597"/>
      <c r="D290" s="561"/>
      <c r="E290" s="309" t="s">
        <v>887</v>
      </c>
      <c r="F290" s="391">
        <v>5.0000000000000003E-10</v>
      </c>
      <c r="G290" s="309">
        <v>1E-3</v>
      </c>
      <c r="H290" s="392">
        <v>0</v>
      </c>
      <c r="I290" s="320">
        <f>D262*F290*G290*(1-H290)</f>
        <v>3.9600000000000003E-10</v>
      </c>
      <c r="J290" s="309" t="s">
        <v>291</v>
      </c>
      <c r="K290" s="363">
        <v>0</v>
      </c>
      <c r="L290" s="396">
        <f t="shared" si="43"/>
        <v>3.9600000000000003E-10</v>
      </c>
      <c r="M290" s="258"/>
      <c r="O290" s="311" t="str">
        <f t="shared" si="45"/>
        <v>-</v>
      </c>
      <c r="P290" s="311" t="str">
        <f t="shared" si="45"/>
        <v>-</v>
      </c>
      <c r="Q290" s="311" t="str">
        <f t="shared" si="45"/>
        <v>-</v>
      </c>
      <c r="R290" s="311" t="str">
        <f t="shared" si="45"/>
        <v>-</v>
      </c>
      <c r="S290" s="311" t="str">
        <f t="shared" si="45"/>
        <v>-</v>
      </c>
      <c r="T290" s="311" t="str">
        <f t="shared" si="45"/>
        <v>-</v>
      </c>
      <c r="U290" s="311" t="str">
        <f t="shared" si="45"/>
        <v>-</v>
      </c>
      <c r="V290" s="311" t="str">
        <f t="shared" si="45"/>
        <v>-</v>
      </c>
      <c r="W290" s="311" t="str">
        <f t="shared" si="45"/>
        <v>-</v>
      </c>
      <c r="X290" s="311" t="str">
        <f t="shared" si="45"/>
        <v>-</v>
      </c>
      <c r="Y290" s="311">
        <f t="shared" si="45"/>
        <v>3.96E-7</v>
      </c>
      <c r="Z290" s="311" t="str">
        <f t="shared" si="45"/>
        <v>-</v>
      </c>
      <c r="AB290" s="311" t="str">
        <f>IF($E290=AB$3,#REF!*$F290,"-")</f>
        <v>-</v>
      </c>
      <c r="AC290" s="311" t="str">
        <f>IF($E290=AC$3,#REF!*$F290,"-")</f>
        <v>-</v>
      </c>
      <c r="AD290" s="311" t="str">
        <f>IF($E290=AD$3,#REF!*$F290,"-")</f>
        <v>-</v>
      </c>
      <c r="AE290" s="311" t="str">
        <f>IF($E290=AE$3,#REF!*$F290,"-")</f>
        <v>-</v>
      </c>
      <c r="AF290" s="311" t="str">
        <f>IF($E290=AF$3,#REF!*$F290,"-")</f>
        <v>-</v>
      </c>
      <c r="AG290" s="311" t="str">
        <f>IF($E290=AG$3,#REF!*$F290,"-")</f>
        <v>-</v>
      </c>
      <c r="AH290" s="311" t="str">
        <f>IF($E290=AH$3,#REF!*$F290,"-")</f>
        <v>-</v>
      </c>
      <c r="AI290" s="311" t="str">
        <f>IF($E290=AI$3,#REF!*$F290,"-")</f>
        <v>-</v>
      </c>
      <c r="AJ290" s="311" t="str">
        <f>IF($E290=AJ$3,#REF!*$F290,"-")</f>
        <v>-</v>
      </c>
      <c r="AK290" s="311" t="str">
        <f>IF($E290=AK$3,#REF!*$F290,"-")</f>
        <v>-</v>
      </c>
      <c r="AL290" s="311" t="e">
        <f>IF($E290=AL$3,#REF!*$F290,"-")</f>
        <v>#REF!</v>
      </c>
      <c r="AM290" s="311" t="str">
        <f>IF($E290=AM$3,#REF!*$F290,"-")</f>
        <v>-</v>
      </c>
    </row>
    <row r="291" spans="2:39" ht="14.25" customHeight="1" x14ac:dyDescent="0.2">
      <c r="C291" s="597"/>
      <c r="D291" s="561"/>
      <c r="E291" s="309" t="s">
        <v>905</v>
      </c>
      <c r="F291" s="391">
        <v>5.0000000000000003E-10</v>
      </c>
      <c r="G291" s="309">
        <v>1E-3</v>
      </c>
      <c r="H291" s="392">
        <v>0</v>
      </c>
      <c r="I291" s="320">
        <f>D262*F291*G291*(1-H291)</f>
        <v>3.9600000000000003E-10</v>
      </c>
      <c r="J291" s="309" t="s">
        <v>291</v>
      </c>
      <c r="K291" s="363">
        <v>0</v>
      </c>
      <c r="L291" s="396">
        <f t="shared" si="43"/>
        <v>3.9600000000000003E-10</v>
      </c>
      <c r="M291" s="258"/>
      <c r="O291" s="311" t="str">
        <f t="shared" si="45"/>
        <v>-</v>
      </c>
      <c r="P291" s="311" t="str">
        <f t="shared" si="45"/>
        <v>-</v>
      </c>
      <c r="Q291" s="311" t="str">
        <f t="shared" si="45"/>
        <v>-</v>
      </c>
      <c r="R291" s="311" t="str">
        <f t="shared" si="45"/>
        <v>-</v>
      </c>
      <c r="S291" s="311" t="str">
        <f t="shared" si="45"/>
        <v>-</v>
      </c>
      <c r="T291" s="311" t="str">
        <f t="shared" si="45"/>
        <v>-</v>
      </c>
      <c r="U291" s="311" t="str">
        <f t="shared" si="45"/>
        <v>-</v>
      </c>
      <c r="V291" s="311" t="str">
        <f t="shared" si="45"/>
        <v>-</v>
      </c>
      <c r="W291" s="311" t="str">
        <f t="shared" si="45"/>
        <v>-</v>
      </c>
      <c r="X291" s="311" t="str">
        <f t="shared" si="45"/>
        <v>-</v>
      </c>
      <c r="Y291" s="311" t="str">
        <f t="shared" si="45"/>
        <v>-</v>
      </c>
      <c r="Z291" s="311" t="str">
        <f t="shared" si="45"/>
        <v>-</v>
      </c>
      <c r="AB291" s="311" t="str">
        <f>IF($E291=AB$3,#REF!*$F291,"-")</f>
        <v>-</v>
      </c>
      <c r="AC291" s="311" t="str">
        <f>IF($E291=AC$3,#REF!*$F291,"-")</f>
        <v>-</v>
      </c>
      <c r="AD291" s="311" t="str">
        <f>IF($E291=AD$3,#REF!*$F291,"-")</f>
        <v>-</v>
      </c>
      <c r="AE291" s="311" t="str">
        <f>IF($E291=AE$3,#REF!*$F291,"-")</f>
        <v>-</v>
      </c>
      <c r="AF291" s="311" t="str">
        <f>IF($E291=AF$3,#REF!*$F291,"-")</f>
        <v>-</v>
      </c>
      <c r="AG291" s="311" t="str">
        <f>IF($E291=AG$3,#REF!*$F291,"-")</f>
        <v>-</v>
      </c>
      <c r="AH291" s="311" t="str">
        <f>IF($E291=AH$3,#REF!*$F291,"-")</f>
        <v>-</v>
      </c>
      <c r="AI291" s="311" t="str">
        <f>IF($E291=AI$3,#REF!*$F291,"-")</f>
        <v>-</v>
      </c>
      <c r="AJ291" s="311" t="str">
        <f>IF($E291=AJ$3,#REF!*$F291,"-")</f>
        <v>-</v>
      </c>
      <c r="AK291" s="311" t="str">
        <f>IF($E291=AK$3,#REF!*$F291,"-")</f>
        <v>-</v>
      </c>
      <c r="AL291" s="311" t="str">
        <f>IF($E291=AL$3,#REF!*$F291,"-")</f>
        <v>-</v>
      </c>
      <c r="AM291" s="311" t="str">
        <f>IF($E291=AM$3,#REF!*$F291,"-")</f>
        <v>-</v>
      </c>
    </row>
    <row r="292" spans="2:39" ht="14.25" customHeight="1" x14ac:dyDescent="0.2">
      <c r="C292" s="597"/>
      <c r="D292" s="561"/>
      <c r="E292" s="309" t="s">
        <v>912</v>
      </c>
      <c r="F292" s="391">
        <v>3.0000000000000001E-5</v>
      </c>
      <c r="G292" s="309">
        <v>1E-3</v>
      </c>
      <c r="H292" s="392">
        <v>0</v>
      </c>
      <c r="I292" s="320">
        <f>D262*F292*G292*(1-H292)</f>
        <v>2.376E-5</v>
      </c>
      <c r="J292" s="309" t="s">
        <v>291</v>
      </c>
      <c r="K292" s="363">
        <v>0</v>
      </c>
      <c r="L292" s="396">
        <f t="shared" si="43"/>
        <v>2.376E-5</v>
      </c>
      <c r="M292" s="258"/>
      <c r="O292" s="311" t="str">
        <f t="shared" si="45"/>
        <v>-</v>
      </c>
      <c r="P292" s="311" t="str">
        <f t="shared" si="45"/>
        <v>-</v>
      </c>
      <c r="Q292" s="311" t="str">
        <f t="shared" si="45"/>
        <v>-</v>
      </c>
      <c r="R292" s="311" t="str">
        <f t="shared" si="45"/>
        <v>-</v>
      </c>
      <c r="S292" s="311" t="str">
        <f t="shared" si="45"/>
        <v>-</v>
      </c>
      <c r="T292" s="311" t="str">
        <f t="shared" si="45"/>
        <v>-</v>
      </c>
      <c r="U292" s="311" t="str">
        <f t="shared" si="45"/>
        <v>-</v>
      </c>
      <c r="V292" s="311" t="str">
        <f t="shared" si="45"/>
        <v>-</v>
      </c>
      <c r="W292" s="311" t="str">
        <f t="shared" si="45"/>
        <v>-</v>
      </c>
      <c r="X292" s="311" t="str">
        <f t="shared" si="45"/>
        <v>-</v>
      </c>
      <c r="Y292" s="311" t="str">
        <f t="shared" si="45"/>
        <v>-</v>
      </c>
      <c r="Z292" s="311" t="str">
        <f t="shared" si="45"/>
        <v>-</v>
      </c>
      <c r="AB292" s="311" t="str">
        <f>IF($E292=AB$3,#REF!*$F292,"-")</f>
        <v>-</v>
      </c>
      <c r="AC292" s="311" t="str">
        <f>IF($E292=AC$3,#REF!*$F292,"-")</f>
        <v>-</v>
      </c>
      <c r="AD292" s="311" t="str">
        <f>IF($E292=AD$3,#REF!*$F292,"-")</f>
        <v>-</v>
      </c>
      <c r="AE292" s="311" t="str">
        <f>IF($E292=AE$3,#REF!*$F292,"-")</f>
        <v>-</v>
      </c>
      <c r="AF292" s="311" t="str">
        <f>IF($E292=AF$3,#REF!*$F292,"-")</f>
        <v>-</v>
      </c>
      <c r="AG292" s="311" t="str">
        <f>IF($E292=AG$3,#REF!*$F292,"-")</f>
        <v>-</v>
      </c>
      <c r="AH292" s="311" t="str">
        <f>IF($E292=AH$3,#REF!*$F292,"-")</f>
        <v>-</v>
      </c>
      <c r="AI292" s="311" t="str">
        <f>IF($E292=AI$3,#REF!*$F292,"-")</f>
        <v>-</v>
      </c>
      <c r="AJ292" s="311" t="str">
        <f>IF($E292=AJ$3,#REF!*$F292,"-")</f>
        <v>-</v>
      </c>
      <c r="AK292" s="311" t="str">
        <f>IF($E292=AK$3,#REF!*$F292,"-")</f>
        <v>-</v>
      </c>
      <c r="AL292" s="311" t="str">
        <f>IF($E292=AL$3,#REF!*$F292,"-")</f>
        <v>-</v>
      </c>
      <c r="AM292" s="311" t="str">
        <f>IF($E292=AM$3,#REF!*$F292,"-")</f>
        <v>-</v>
      </c>
    </row>
    <row r="293" spans="2:39" ht="14.25" customHeight="1" x14ac:dyDescent="0.2">
      <c r="C293" s="597"/>
      <c r="D293" s="561"/>
      <c r="E293" s="309" t="s">
        <v>913</v>
      </c>
      <c r="F293" s="391">
        <v>1.0000000000000001E-5</v>
      </c>
      <c r="G293" s="309">
        <v>1E-3</v>
      </c>
      <c r="H293" s="392">
        <v>0</v>
      </c>
      <c r="I293" s="320">
        <f>D262*F293*G293*(1-H293)</f>
        <v>7.9200000000000004E-6</v>
      </c>
      <c r="J293" s="309" t="s">
        <v>291</v>
      </c>
      <c r="K293" s="363">
        <v>0</v>
      </c>
      <c r="L293" s="396">
        <f t="shared" si="43"/>
        <v>7.9200000000000004E-6</v>
      </c>
      <c r="M293" s="258"/>
      <c r="O293" s="311" t="str">
        <f t="shared" si="45"/>
        <v>-</v>
      </c>
      <c r="P293" s="311" t="str">
        <f t="shared" si="45"/>
        <v>-</v>
      </c>
      <c r="Q293" s="311" t="str">
        <f t="shared" si="45"/>
        <v>-</v>
      </c>
      <c r="R293" s="311" t="str">
        <f t="shared" si="45"/>
        <v>-</v>
      </c>
      <c r="S293" s="311" t="str">
        <f t="shared" si="45"/>
        <v>-</v>
      </c>
      <c r="T293" s="311" t="str">
        <f t="shared" si="45"/>
        <v>-</v>
      </c>
      <c r="U293" s="311" t="str">
        <f t="shared" si="45"/>
        <v>-</v>
      </c>
      <c r="V293" s="311" t="str">
        <f t="shared" si="45"/>
        <v>-</v>
      </c>
      <c r="W293" s="311" t="str">
        <f t="shared" si="45"/>
        <v>-</v>
      </c>
      <c r="X293" s="311" t="str">
        <f t="shared" si="45"/>
        <v>-</v>
      </c>
      <c r="Y293" s="311" t="str">
        <f t="shared" si="45"/>
        <v>-</v>
      </c>
      <c r="Z293" s="311" t="str">
        <f t="shared" si="45"/>
        <v>-</v>
      </c>
      <c r="AB293" s="311" t="str">
        <f>IF($E293=AB$3,#REF!*$F293,"-")</f>
        <v>-</v>
      </c>
      <c r="AC293" s="311" t="str">
        <f>IF($E293=AC$3,#REF!*$F293,"-")</f>
        <v>-</v>
      </c>
      <c r="AD293" s="311" t="str">
        <f>IF($E293=AD$3,#REF!*$F293,"-")</f>
        <v>-</v>
      </c>
      <c r="AE293" s="311" t="str">
        <f>IF($E293=AE$3,#REF!*$F293,"-")</f>
        <v>-</v>
      </c>
      <c r="AF293" s="311" t="str">
        <f>IF($E293=AF$3,#REF!*$F293,"-")</f>
        <v>-</v>
      </c>
      <c r="AG293" s="311" t="str">
        <f>IF($E293=AG$3,#REF!*$F293,"-")</f>
        <v>-</v>
      </c>
      <c r="AH293" s="311" t="str">
        <f>IF($E293=AH$3,#REF!*$F293,"-")</f>
        <v>-</v>
      </c>
      <c r="AI293" s="311" t="str">
        <f>IF($E293=AI$3,#REF!*$F293,"-")</f>
        <v>-</v>
      </c>
      <c r="AJ293" s="311" t="str">
        <f>IF($E293=AJ$3,#REF!*$F293,"-")</f>
        <v>-</v>
      </c>
      <c r="AK293" s="311" t="str">
        <f>IF($E293=AK$3,#REF!*$F293,"-")</f>
        <v>-</v>
      </c>
      <c r="AL293" s="311" t="str">
        <f>IF($E293=AL$3,#REF!*$F293,"-")</f>
        <v>-</v>
      </c>
      <c r="AM293" s="311" t="str">
        <f>IF($E293=AM$3,#REF!*$F293,"-")</f>
        <v>-</v>
      </c>
    </row>
    <row r="294" spans="2:39" ht="14.25" customHeight="1" x14ac:dyDescent="0.2">
      <c r="C294" s="597"/>
      <c r="D294" s="561"/>
      <c r="E294" s="309" t="s">
        <v>914</v>
      </c>
      <c r="F294" s="391">
        <v>3.0000000000000001E-5</v>
      </c>
      <c r="G294" s="309">
        <v>1E-3</v>
      </c>
      <c r="H294" s="392">
        <v>0</v>
      </c>
      <c r="I294" s="320">
        <f>D262*F294*G294*(1-H294)</f>
        <v>2.376E-5</v>
      </c>
      <c r="J294" s="309" t="s">
        <v>291</v>
      </c>
      <c r="K294" s="363">
        <v>0</v>
      </c>
      <c r="L294" s="396">
        <f t="shared" si="43"/>
        <v>2.376E-5</v>
      </c>
      <c r="M294" s="258"/>
      <c r="O294" s="311" t="str">
        <f t="shared" si="45"/>
        <v>-</v>
      </c>
      <c r="P294" s="311" t="str">
        <f t="shared" si="45"/>
        <v>-</v>
      </c>
      <c r="Q294" s="311" t="str">
        <f t="shared" si="45"/>
        <v>-</v>
      </c>
      <c r="R294" s="311" t="str">
        <f t="shared" si="45"/>
        <v>-</v>
      </c>
      <c r="S294" s="311" t="str">
        <f t="shared" si="45"/>
        <v>-</v>
      </c>
      <c r="T294" s="311" t="str">
        <f t="shared" si="45"/>
        <v>-</v>
      </c>
      <c r="U294" s="311" t="str">
        <f t="shared" si="45"/>
        <v>-</v>
      </c>
      <c r="V294" s="311" t="str">
        <f t="shared" si="45"/>
        <v>-</v>
      </c>
      <c r="W294" s="311" t="str">
        <f t="shared" si="45"/>
        <v>-</v>
      </c>
      <c r="X294" s="311" t="str">
        <f t="shared" si="45"/>
        <v>-</v>
      </c>
      <c r="Y294" s="311" t="str">
        <f t="shared" si="45"/>
        <v>-</v>
      </c>
      <c r="Z294" s="311" t="str">
        <f t="shared" si="45"/>
        <v>-</v>
      </c>
      <c r="AB294" s="311" t="str">
        <f>IF($E294=AB$3,#REF!*$F294,"-")</f>
        <v>-</v>
      </c>
      <c r="AC294" s="311" t="str">
        <f>IF($E294=AC$3,#REF!*$F294,"-")</f>
        <v>-</v>
      </c>
      <c r="AD294" s="311" t="str">
        <f>IF($E294=AD$3,#REF!*$F294,"-")</f>
        <v>-</v>
      </c>
      <c r="AE294" s="311" t="str">
        <f>IF($E294=AE$3,#REF!*$F294,"-")</f>
        <v>-</v>
      </c>
      <c r="AF294" s="311" t="str">
        <f>IF($E294=AF$3,#REF!*$F294,"-")</f>
        <v>-</v>
      </c>
      <c r="AG294" s="311" t="str">
        <f>IF($E294=AG$3,#REF!*$F294,"-")</f>
        <v>-</v>
      </c>
      <c r="AH294" s="311" t="str">
        <f>IF($E294=AH$3,#REF!*$F294,"-")</f>
        <v>-</v>
      </c>
      <c r="AI294" s="311" t="str">
        <f>IF($E294=AI$3,#REF!*$F294,"-")</f>
        <v>-</v>
      </c>
      <c r="AJ294" s="311" t="str">
        <f>IF($E294=AJ$3,#REF!*$F294,"-")</f>
        <v>-</v>
      </c>
      <c r="AK294" s="311" t="str">
        <f>IF($E294=AK$3,#REF!*$F294,"-")</f>
        <v>-</v>
      </c>
      <c r="AL294" s="311" t="str">
        <f>IF($E294=AL$3,#REF!*$F294,"-")</f>
        <v>-</v>
      </c>
      <c r="AM294" s="311" t="str">
        <f>IF($E294=AM$3,#REF!*$F294,"-")</f>
        <v>-</v>
      </c>
    </row>
    <row r="295" spans="2:39" ht="14.25" customHeight="1" x14ac:dyDescent="0.2">
      <c r="C295" s="597"/>
      <c r="D295" s="561"/>
      <c r="E295" s="309" t="s">
        <v>915</v>
      </c>
      <c r="F295" s="391">
        <v>3.0000000000000003E-4</v>
      </c>
      <c r="G295" s="309">
        <v>1E-3</v>
      </c>
      <c r="H295" s="392">
        <v>0</v>
      </c>
      <c r="I295" s="320">
        <f>D262*F295*G295*(1-H295)</f>
        <v>2.3760000000000003E-4</v>
      </c>
      <c r="J295" s="309" t="s">
        <v>291</v>
      </c>
      <c r="K295" s="363">
        <v>0</v>
      </c>
      <c r="L295" s="396">
        <f t="shared" si="43"/>
        <v>2.3760000000000003E-4</v>
      </c>
      <c r="M295" s="258"/>
      <c r="O295" s="311" t="str">
        <f t="shared" si="45"/>
        <v>-</v>
      </c>
      <c r="P295" s="311" t="str">
        <f t="shared" si="45"/>
        <v>-</v>
      </c>
      <c r="Q295" s="311" t="str">
        <f t="shared" si="45"/>
        <v>-</v>
      </c>
      <c r="R295" s="311" t="str">
        <f t="shared" si="45"/>
        <v>-</v>
      </c>
      <c r="S295" s="311" t="str">
        <f t="shared" si="45"/>
        <v>-</v>
      </c>
      <c r="T295" s="311" t="str">
        <f t="shared" si="45"/>
        <v>-</v>
      </c>
      <c r="U295" s="311" t="str">
        <f t="shared" si="45"/>
        <v>-</v>
      </c>
      <c r="V295" s="311" t="str">
        <f t="shared" si="45"/>
        <v>-</v>
      </c>
      <c r="W295" s="311" t="str">
        <f t="shared" si="45"/>
        <v>-</v>
      </c>
      <c r="X295" s="311" t="str">
        <f t="shared" si="45"/>
        <v>-</v>
      </c>
      <c r="Y295" s="311" t="str">
        <f t="shared" si="45"/>
        <v>-</v>
      </c>
      <c r="Z295" s="311" t="str">
        <f t="shared" si="45"/>
        <v>-</v>
      </c>
      <c r="AB295" s="311" t="str">
        <f>IF($E295=AB$3,#REF!*$F295,"-")</f>
        <v>-</v>
      </c>
      <c r="AC295" s="311" t="str">
        <f>IF($E295=AC$3,#REF!*$F295,"-")</f>
        <v>-</v>
      </c>
      <c r="AD295" s="311" t="str">
        <f>IF($E295=AD$3,#REF!*$F295,"-")</f>
        <v>-</v>
      </c>
      <c r="AE295" s="311" t="str">
        <f>IF($E295=AE$3,#REF!*$F295,"-")</f>
        <v>-</v>
      </c>
      <c r="AF295" s="311" t="str">
        <f>IF($E295=AF$3,#REF!*$F295,"-")</f>
        <v>-</v>
      </c>
      <c r="AG295" s="311" t="str">
        <f>IF($E295=AG$3,#REF!*$F295,"-")</f>
        <v>-</v>
      </c>
      <c r="AH295" s="311" t="str">
        <f>IF($E295=AH$3,#REF!*$F295,"-")</f>
        <v>-</v>
      </c>
      <c r="AI295" s="311" t="str">
        <f>IF($E295=AI$3,#REF!*$F295,"-")</f>
        <v>-</v>
      </c>
      <c r="AJ295" s="311" t="str">
        <f>IF($E295=AJ$3,#REF!*$F295,"-")</f>
        <v>-</v>
      </c>
      <c r="AK295" s="311" t="str">
        <f>IF($E295=AK$3,#REF!*$F295,"-")</f>
        <v>-</v>
      </c>
      <c r="AL295" s="311" t="str">
        <f>IF($E295=AL$3,#REF!*$F295,"-")</f>
        <v>-</v>
      </c>
      <c r="AM295" s="311" t="str">
        <f>IF($E295=AM$3,#REF!*$F295,"-")</f>
        <v>-</v>
      </c>
    </row>
    <row r="296" spans="2:39" ht="14.25" customHeight="1" x14ac:dyDescent="0.2">
      <c r="C296" s="598"/>
      <c r="D296" s="554"/>
      <c r="E296" s="309" t="s">
        <v>916</v>
      </c>
      <c r="F296" s="391">
        <v>1.0000000000000001E-5</v>
      </c>
      <c r="G296" s="309">
        <v>1E-3</v>
      </c>
      <c r="H296" s="392">
        <v>0</v>
      </c>
      <c r="I296" s="320">
        <f>D262*F296*G296*(1-H296)</f>
        <v>7.9200000000000004E-6</v>
      </c>
      <c r="J296" s="309" t="s">
        <v>291</v>
      </c>
      <c r="K296" s="363">
        <v>0</v>
      </c>
      <c r="L296" s="396">
        <f t="shared" si="43"/>
        <v>7.9200000000000004E-6</v>
      </c>
      <c r="M296" s="258"/>
      <c r="O296" s="311" t="str">
        <f t="shared" si="45"/>
        <v>-</v>
      </c>
      <c r="P296" s="311" t="str">
        <f t="shared" si="45"/>
        <v>-</v>
      </c>
      <c r="Q296" s="311" t="str">
        <f t="shared" si="45"/>
        <v>-</v>
      </c>
      <c r="R296" s="311" t="str">
        <f t="shared" si="45"/>
        <v>-</v>
      </c>
      <c r="S296" s="311" t="str">
        <f t="shared" si="45"/>
        <v>-</v>
      </c>
      <c r="T296" s="311" t="str">
        <f t="shared" si="45"/>
        <v>-</v>
      </c>
      <c r="U296" s="311" t="str">
        <f t="shared" si="45"/>
        <v>-</v>
      </c>
      <c r="V296" s="311" t="str">
        <f t="shared" si="45"/>
        <v>-</v>
      </c>
      <c r="W296" s="311" t="str">
        <f t="shared" si="45"/>
        <v>-</v>
      </c>
      <c r="X296" s="311" t="str">
        <f t="shared" si="45"/>
        <v>-</v>
      </c>
      <c r="Y296" s="311" t="str">
        <f t="shared" si="45"/>
        <v>-</v>
      </c>
      <c r="Z296" s="311" t="str">
        <f t="shared" si="45"/>
        <v>-</v>
      </c>
      <c r="AB296" s="311" t="str">
        <f>IF($E296=AB$3,#REF!*$F296,"-")</f>
        <v>-</v>
      </c>
      <c r="AC296" s="311" t="str">
        <f>IF($E296=AC$3,#REF!*$F296,"-")</f>
        <v>-</v>
      </c>
      <c r="AD296" s="311" t="str">
        <f>IF($E296=AD$3,#REF!*$F296,"-")</f>
        <v>-</v>
      </c>
      <c r="AE296" s="311" t="str">
        <f>IF($E296=AE$3,#REF!*$F296,"-")</f>
        <v>-</v>
      </c>
      <c r="AF296" s="311" t="str">
        <f>IF($E296=AF$3,#REF!*$F296,"-")</f>
        <v>-</v>
      </c>
      <c r="AG296" s="311" t="str">
        <f>IF($E296=AG$3,#REF!*$F296,"-")</f>
        <v>-</v>
      </c>
      <c r="AH296" s="311" t="str">
        <f>IF($E296=AH$3,#REF!*$F296,"-")</f>
        <v>-</v>
      </c>
      <c r="AI296" s="311" t="str">
        <f>IF($E296=AI$3,#REF!*$F296,"-")</f>
        <v>-</v>
      </c>
      <c r="AJ296" s="311" t="str">
        <f>IF($E296=AJ$3,#REF!*$F296,"-")</f>
        <v>-</v>
      </c>
      <c r="AK296" s="311" t="str">
        <f>IF($E296=AK$3,#REF!*$F296,"-")</f>
        <v>-</v>
      </c>
      <c r="AL296" s="311" t="str">
        <f>IF($E296=AL$3,#REF!*$F296,"-")</f>
        <v>-</v>
      </c>
      <c r="AM296" s="311" t="str">
        <f>IF($E296=AM$3,#REF!*$F296,"-")</f>
        <v>-</v>
      </c>
    </row>
    <row r="297" spans="2:39" s="233" customFormat="1" ht="14.25" x14ac:dyDescent="0.2">
      <c r="B297" s="109"/>
      <c r="C297" s="312" t="s">
        <v>797</v>
      </c>
      <c r="D297" s="312">
        <v>39924.282694763162</v>
      </c>
      <c r="E297" s="361" t="s">
        <v>956</v>
      </c>
      <c r="F297" s="390">
        <v>0.03</v>
      </c>
      <c r="G297" s="361">
        <v>1E-3</v>
      </c>
      <c r="H297" s="363">
        <v>0</v>
      </c>
      <c r="I297" s="313">
        <f>D297*F297*G297*(1-H297)</f>
        <v>1.197728480842895</v>
      </c>
      <c r="J297" s="361" t="s">
        <v>291</v>
      </c>
      <c r="K297" s="363">
        <v>0.4</v>
      </c>
      <c r="L297" s="365">
        <f t="shared" si="25"/>
        <v>0.71863708850573693</v>
      </c>
      <c r="M297" s="258"/>
      <c r="O297" s="313"/>
      <c r="P297" s="313"/>
      <c r="Q297" s="313"/>
      <c r="R297" s="313"/>
      <c r="S297" s="313"/>
      <c r="T297" s="313"/>
      <c r="U297" s="313"/>
      <c r="V297" s="313"/>
      <c r="W297" s="313"/>
      <c r="X297" s="313"/>
      <c r="Y297" s="313"/>
      <c r="Z297" s="313"/>
      <c r="AB297" s="313"/>
      <c r="AC297" s="313"/>
      <c r="AD297" s="313"/>
      <c r="AE297" s="313"/>
      <c r="AF297" s="313"/>
      <c r="AG297" s="313"/>
      <c r="AH297" s="313"/>
      <c r="AI297" s="313"/>
      <c r="AJ297" s="313"/>
      <c r="AK297" s="313"/>
      <c r="AL297" s="313"/>
      <c r="AM297" s="313"/>
    </row>
    <row r="298" spans="2:39" s="233" customFormat="1" ht="14.25" x14ac:dyDescent="0.2">
      <c r="B298" s="109"/>
      <c r="C298" s="312" t="s">
        <v>798</v>
      </c>
      <c r="D298" s="312">
        <v>275581.88209468761</v>
      </c>
      <c r="E298" s="361" t="s">
        <v>956</v>
      </c>
      <c r="F298" s="372">
        <v>0.25</v>
      </c>
      <c r="G298" s="361">
        <v>1E-3</v>
      </c>
      <c r="H298" s="363">
        <v>0</v>
      </c>
      <c r="I298" s="324">
        <f>D298*F298*G298*(1-H298)</f>
        <v>68.895470523671904</v>
      </c>
      <c r="J298" s="361" t="s">
        <v>291</v>
      </c>
      <c r="K298" s="363">
        <v>0.4</v>
      </c>
      <c r="L298" s="366">
        <f t="shared" si="25"/>
        <v>41.337282314203144</v>
      </c>
      <c r="M298" s="258"/>
      <c r="O298" s="324"/>
      <c r="P298" s="324"/>
      <c r="Q298" s="324"/>
      <c r="R298" s="324"/>
      <c r="S298" s="324"/>
      <c r="T298" s="324"/>
      <c r="U298" s="324"/>
      <c r="V298" s="324"/>
      <c r="W298" s="324"/>
      <c r="X298" s="324"/>
      <c r="Y298" s="324"/>
      <c r="Z298" s="324"/>
      <c r="AB298" s="324"/>
      <c r="AC298" s="324"/>
      <c r="AD298" s="324"/>
      <c r="AE298" s="324"/>
      <c r="AF298" s="324"/>
      <c r="AG298" s="324"/>
      <c r="AH298" s="324"/>
      <c r="AI298" s="324"/>
      <c r="AJ298" s="324"/>
      <c r="AK298" s="324"/>
      <c r="AL298" s="324"/>
      <c r="AM298" s="324"/>
    </row>
    <row r="299" spans="2:39" ht="14.25" x14ac:dyDescent="0.2">
      <c r="C299" s="312" t="s">
        <v>799</v>
      </c>
      <c r="D299" s="312">
        <v>389.03220675029905</v>
      </c>
      <c r="E299" s="308" t="s">
        <v>306</v>
      </c>
      <c r="F299" s="372">
        <v>5.5000000000000003E-4</v>
      </c>
      <c r="G299" s="361">
        <v>1E-3</v>
      </c>
      <c r="H299" s="363">
        <v>0</v>
      </c>
      <c r="I299" s="367">
        <f>D299*F299*G299*(1-H299)</f>
        <v>2.1396771371266448E-4</v>
      </c>
      <c r="J299" s="361" t="s">
        <v>291</v>
      </c>
      <c r="K299" s="363">
        <v>0.4</v>
      </c>
      <c r="L299" s="373">
        <f t="shared" si="25"/>
        <v>1.2838062822759867E-4</v>
      </c>
      <c r="M299" s="258"/>
      <c r="O299" s="319"/>
      <c r="P299" s="319"/>
      <c r="Q299" s="319"/>
      <c r="R299" s="319"/>
      <c r="S299" s="319"/>
      <c r="T299" s="319"/>
      <c r="U299" s="319"/>
      <c r="V299" s="319"/>
      <c r="W299" s="319"/>
      <c r="X299" s="319"/>
      <c r="Y299" s="319"/>
      <c r="Z299" s="319"/>
      <c r="AB299" s="319"/>
      <c r="AC299" s="319"/>
      <c r="AD299" s="319"/>
      <c r="AE299" s="319"/>
      <c r="AF299" s="319"/>
      <c r="AG299" s="319"/>
      <c r="AH299" s="319"/>
      <c r="AI299" s="319"/>
      <c r="AJ299" s="319"/>
      <c r="AK299" s="319"/>
      <c r="AL299" s="319"/>
      <c r="AM299" s="319"/>
    </row>
    <row r="300" spans="2:39" ht="14.25" customHeight="1" x14ac:dyDescent="0.2">
      <c r="C300" s="312" t="s">
        <v>800</v>
      </c>
      <c r="D300" s="312">
        <v>438.39414627530658</v>
      </c>
      <c r="E300" s="308" t="s">
        <v>306</v>
      </c>
      <c r="F300" s="372">
        <v>5.5000000000000003E-4</v>
      </c>
      <c r="G300" s="361">
        <v>1E-3</v>
      </c>
      <c r="H300" s="363">
        <v>0</v>
      </c>
      <c r="I300" s="362">
        <f>D300*F300*G300*(1-H300)</f>
        <v>2.4111678045141862E-4</v>
      </c>
      <c r="J300" s="361" t="s">
        <v>291</v>
      </c>
      <c r="K300" s="363">
        <v>0.4</v>
      </c>
      <c r="L300" s="373">
        <f t="shared" si="25"/>
        <v>1.4467006827085117E-4</v>
      </c>
      <c r="M300" s="258"/>
      <c r="O300" s="319"/>
      <c r="P300" s="319"/>
      <c r="Q300" s="319"/>
      <c r="R300" s="319"/>
      <c r="S300" s="319"/>
      <c r="T300" s="319"/>
      <c r="U300" s="319"/>
      <c r="V300" s="319"/>
      <c r="W300" s="319"/>
      <c r="X300" s="319"/>
      <c r="Y300" s="319"/>
      <c r="Z300" s="319"/>
      <c r="AB300" s="319"/>
      <c r="AC300" s="319"/>
      <c r="AD300" s="319"/>
      <c r="AE300" s="319"/>
      <c r="AF300" s="319"/>
      <c r="AG300" s="319"/>
      <c r="AH300" s="319"/>
      <c r="AI300" s="319"/>
      <c r="AJ300" s="319"/>
      <c r="AK300" s="319"/>
      <c r="AL300" s="319"/>
      <c r="AM300" s="319"/>
    </row>
    <row r="301" spans="2:39" ht="14.25" x14ac:dyDescent="0.2">
      <c r="C301" s="595" t="s">
        <v>801</v>
      </c>
      <c r="D301" s="560">
        <v>426.7960545633178</v>
      </c>
      <c r="E301" s="399" t="s">
        <v>925</v>
      </c>
      <c r="F301" s="363">
        <v>5.5E-2</v>
      </c>
      <c r="G301" s="361">
        <v>1E-3</v>
      </c>
      <c r="H301" s="363">
        <v>0</v>
      </c>
      <c r="I301" s="325">
        <f>D301*F301*G301*(1-H301)</f>
        <v>2.347378300098248E-2</v>
      </c>
      <c r="J301" s="361" t="s">
        <v>291</v>
      </c>
      <c r="K301" s="363">
        <v>0</v>
      </c>
      <c r="L301" s="373">
        <f t="shared" si="25"/>
        <v>2.347378300098248E-2</v>
      </c>
      <c r="M301" s="258"/>
      <c r="O301" s="319"/>
      <c r="P301" s="319"/>
      <c r="Q301" s="319"/>
      <c r="R301" s="319"/>
      <c r="S301" s="319"/>
      <c r="T301" s="319"/>
      <c r="U301" s="319"/>
      <c r="V301" s="319"/>
      <c r="W301" s="319"/>
      <c r="X301" s="319"/>
      <c r="Y301" s="319"/>
      <c r="Z301" s="319"/>
      <c r="AB301" s="319"/>
      <c r="AC301" s="319"/>
      <c r="AD301" s="319"/>
      <c r="AE301" s="319"/>
      <c r="AF301" s="319"/>
      <c r="AG301" s="319"/>
      <c r="AH301" s="319"/>
      <c r="AI301" s="319"/>
      <c r="AJ301" s="319"/>
      <c r="AK301" s="319"/>
      <c r="AL301" s="319"/>
      <c r="AM301" s="319"/>
    </row>
    <row r="302" spans="2:39" ht="14.25" x14ac:dyDescent="0.2">
      <c r="C302" s="595"/>
      <c r="D302" s="554"/>
      <c r="E302" s="399" t="s">
        <v>306</v>
      </c>
      <c r="F302" s="372">
        <v>5.4999999999999997E-3</v>
      </c>
      <c r="G302" s="361">
        <v>1E-3</v>
      </c>
      <c r="H302" s="363">
        <v>0</v>
      </c>
      <c r="I302" s="362">
        <f>D301*F302*G302*(1-H302)</f>
        <v>2.3473783000982477E-3</v>
      </c>
      <c r="J302" s="361" t="s">
        <v>291</v>
      </c>
      <c r="K302" s="363">
        <v>0.4</v>
      </c>
      <c r="L302" s="373">
        <f t="shared" ref="L302:L307" si="46">I302*(1-K302)</f>
        <v>1.4084269800589487E-3</v>
      </c>
      <c r="M302" s="258"/>
      <c r="O302" s="319"/>
      <c r="P302" s="319"/>
      <c r="Q302" s="319"/>
      <c r="R302" s="319"/>
      <c r="S302" s="319"/>
      <c r="T302" s="319"/>
      <c r="U302" s="319"/>
      <c r="V302" s="319"/>
      <c r="W302" s="319"/>
      <c r="X302" s="319"/>
      <c r="Y302" s="319"/>
      <c r="Z302" s="319"/>
      <c r="AB302" s="319"/>
      <c r="AC302" s="319"/>
      <c r="AD302" s="319"/>
      <c r="AE302" s="319"/>
      <c r="AF302" s="319"/>
      <c r="AG302" s="319"/>
      <c r="AH302" s="319"/>
      <c r="AI302" s="319"/>
      <c r="AJ302" s="319"/>
      <c r="AK302" s="319"/>
      <c r="AL302" s="319"/>
      <c r="AM302" s="319"/>
    </row>
    <row r="303" spans="2:39" ht="15" customHeight="1" x14ac:dyDescent="0.2">
      <c r="C303" s="600" t="s">
        <v>957</v>
      </c>
      <c r="D303" s="600">
        <v>2067.12</v>
      </c>
      <c r="E303" s="399" t="s">
        <v>877</v>
      </c>
      <c r="F303" s="390">
        <v>0.01</v>
      </c>
      <c r="G303" s="361">
        <v>1E-3</v>
      </c>
      <c r="H303" s="363">
        <v>0</v>
      </c>
      <c r="I303" s="362">
        <f>D303*F303*G303*(1-H303)</f>
        <v>2.0671200000000001E-2</v>
      </c>
      <c r="J303" s="361" t="s">
        <v>291</v>
      </c>
      <c r="K303" s="363">
        <v>0</v>
      </c>
      <c r="L303" s="373">
        <f>I303*(1-K303)</f>
        <v>2.0671200000000001E-2</v>
      </c>
      <c r="M303" s="258"/>
      <c r="O303" s="311">
        <f t="shared" ref="O303:Z305" si="47">IF($E303=O$3,$D$303*$F303,"-")</f>
        <v>20.671199999999999</v>
      </c>
      <c r="P303" s="311" t="str">
        <f t="shared" si="47"/>
        <v>-</v>
      </c>
      <c r="Q303" s="311" t="str">
        <f t="shared" si="47"/>
        <v>-</v>
      </c>
      <c r="R303" s="311" t="str">
        <f t="shared" si="47"/>
        <v>-</v>
      </c>
      <c r="S303" s="311" t="str">
        <f t="shared" si="47"/>
        <v>-</v>
      </c>
      <c r="T303" s="311" t="str">
        <f t="shared" si="47"/>
        <v>-</v>
      </c>
      <c r="U303" s="311" t="str">
        <f t="shared" si="47"/>
        <v>-</v>
      </c>
      <c r="V303" s="311" t="str">
        <f t="shared" si="47"/>
        <v>-</v>
      </c>
      <c r="W303" s="311" t="str">
        <f t="shared" si="47"/>
        <v>-</v>
      </c>
      <c r="X303" s="311" t="str">
        <f t="shared" si="47"/>
        <v>-</v>
      </c>
      <c r="Y303" s="311" t="str">
        <f t="shared" si="47"/>
        <v>-</v>
      </c>
      <c r="Z303" s="311" t="str">
        <f t="shared" si="47"/>
        <v>-</v>
      </c>
      <c r="AB303" s="311" t="e">
        <f>IF($E303=AB$3,#REF!*$F303,"-")</f>
        <v>#REF!</v>
      </c>
      <c r="AC303" s="311" t="str">
        <f>IF($E303=AC$3,#REF!*$F303,"-")</f>
        <v>-</v>
      </c>
      <c r="AD303" s="311" t="str">
        <f>IF($E303=AD$3,#REF!*$F303,"-")</f>
        <v>-</v>
      </c>
      <c r="AE303" s="311" t="str">
        <f>IF($E303=AE$3,#REF!*$F303,"-")</f>
        <v>-</v>
      </c>
      <c r="AF303" s="311" t="str">
        <f>IF($E303=AF$3,#REF!*$F303,"-")</f>
        <v>-</v>
      </c>
      <c r="AG303" s="311" t="str">
        <f>IF($E303=AG$3,#REF!*$F303,"-")</f>
        <v>-</v>
      </c>
      <c r="AH303" s="311" t="str">
        <f>IF($E303=AH$3,#REF!*$F303,"-")</f>
        <v>-</v>
      </c>
      <c r="AI303" s="311" t="str">
        <f>IF($E303=AI$3,#REF!*$F303,"-")</f>
        <v>-</v>
      </c>
      <c r="AJ303" s="311" t="str">
        <f>IF($E303=AJ$3,#REF!*$F303,"-")</f>
        <v>-</v>
      </c>
      <c r="AK303" s="311" t="str">
        <f>IF($E303=AK$3,#REF!*$F303,"-")</f>
        <v>-</v>
      </c>
      <c r="AL303" s="311" t="str">
        <f>IF($E303=AL$3,#REF!*$F303,"-")</f>
        <v>-</v>
      </c>
      <c r="AM303" s="311" t="str">
        <f>IF($E303=AM$3,#REF!*$F303,"-")</f>
        <v>-</v>
      </c>
    </row>
    <row r="304" spans="2:39" ht="14.25" x14ac:dyDescent="0.2">
      <c r="C304" s="601"/>
      <c r="D304" s="601"/>
      <c r="E304" s="399" t="s">
        <v>903</v>
      </c>
      <c r="F304" s="390">
        <v>5.0000000000000001E-3</v>
      </c>
      <c r="G304" s="361">
        <v>1E-3</v>
      </c>
      <c r="H304" s="363">
        <v>0</v>
      </c>
      <c r="I304" s="362">
        <f>D303*F304*G304*(1-H304)</f>
        <v>1.03356E-2</v>
      </c>
      <c r="J304" s="361" t="s">
        <v>291</v>
      </c>
      <c r="K304" s="363">
        <v>0</v>
      </c>
      <c r="L304" s="373">
        <f>I304*(1-K304)</f>
        <v>1.03356E-2</v>
      </c>
      <c r="M304" s="258"/>
      <c r="O304" s="311" t="str">
        <f t="shared" si="47"/>
        <v>-</v>
      </c>
      <c r="P304" s="311" t="str">
        <f t="shared" si="47"/>
        <v>-</v>
      </c>
      <c r="Q304" s="311" t="str">
        <f t="shared" si="47"/>
        <v>-</v>
      </c>
      <c r="R304" s="311" t="str">
        <f t="shared" si="47"/>
        <v>-</v>
      </c>
      <c r="S304" s="311" t="str">
        <f t="shared" si="47"/>
        <v>-</v>
      </c>
      <c r="T304" s="311" t="str">
        <f t="shared" si="47"/>
        <v>-</v>
      </c>
      <c r="U304" s="311" t="str">
        <f t="shared" si="47"/>
        <v>-</v>
      </c>
      <c r="V304" s="311" t="str">
        <f t="shared" si="47"/>
        <v>-</v>
      </c>
      <c r="W304" s="311" t="str">
        <f t="shared" si="47"/>
        <v>-</v>
      </c>
      <c r="X304" s="311" t="str">
        <f t="shared" si="47"/>
        <v>-</v>
      </c>
      <c r="Y304" s="311" t="str">
        <f t="shared" si="47"/>
        <v>-</v>
      </c>
      <c r="Z304" s="311" t="str">
        <f t="shared" si="47"/>
        <v>-</v>
      </c>
      <c r="AB304" s="311" t="str">
        <f>IF($E304=AB$3,#REF!*$F304,"-")</f>
        <v>-</v>
      </c>
      <c r="AC304" s="311" t="str">
        <f>IF($E304=AC$3,#REF!*$F304,"-")</f>
        <v>-</v>
      </c>
      <c r="AD304" s="311" t="str">
        <f>IF($E304=AD$3,#REF!*$F304,"-")</f>
        <v>-</v>
      </c>
      <c r="AE304" s="311" t="str">
        <f>IF($E304=AE$3,#REF!*$F304,"-")</f>
        <v>-</v>
      </c>
      <c r="AF304" s="311" t="str">
        <f>IF($E304=AF$3,#REF!*$F304,"-")</f>
        <v>-</v>
      </c>
      <c r="AG304" s="311" t="str">
        <f>IF($E304=AG$3,#REF!*$F304,"-")</f>
        <v>-</v>
      </c>
      <c r="AH304" s="311" t="str">
        <f>IF($E304=AH$3,#REF!*$F304,"-")</f>
        <v>-</v>
      </c>
      <c r="AI304" s="311" t="str">
        <f>IF($E304=AI$3,#REF!*$F304,"-")</f>
        <v>-</v>
      </c>
      <c r="AJ304" s="311" t="str">
        <f>IF($E304=AJ$3,#REF!*$F304,"-")</f>
        <v>-</v>
      </c>
      <c r="AK304" s="311" t="str">
        <f>IF($E304=AK$3,#REF!*$F304,"-")</f>
        <v>-</v>
      </c>
      <c r="AL304" s="311" t="str">
        <f>IF($E304=AL$3,#REF!*$F304,"-")</f>
        <v>-</v>
      </c>
      <c r="AM304" s="311" t="str">
        <f>IF($E304=AM$3,#REF!*$F304,"-")</f>
        <v>-</v>
      </c>
    </row>
    <row r="305" spans="1:39" ht="14.25" x14ac:dyDescent="0.2">
      <c r="C305" s="601"/>
      <c r="D305" s="602"/>
      <c r="E305" s="399" t="s">
        <v>880</v>
      </c>
      <c r="F305" s="390">
        <v>0.98499999999999999</v>
      </c>
      <c r="G305" s="361">
        <v>1E-3</v>
      </c>
      <c r="H305" s="363">
        <v>0</v>
      </c>
      <c r="I305" s="362">
        <f>D303*F305*G305*(1-H305)</f>
        <v>2.0361132</v>
      </c>
      <c r="J305" s="361" t="s">
        <v>291</v>
      </c>
      <c r="K305" s="363">
        <v>0</v>
      </c>
      <c r="L305" s="373">
        <f>I305*(1-K305)</f>
        <v>2.0361132</v>
      </c>
      <c r="M305" s="258"/>
      <c r="O305" s="311" t="str">
        <f t="shared" si="47"/>
        <v>-</v>
      </c>
      <c r="P305" s="311" t="str">
        <f t="shared" si="47"/>
        <v>-</v>
      </c>
      <c r="Q305" s="311" t="str">
        <f t="shared" si="47"/>
        <v>-</v>
      </c>
      <c r="R305" s="311">
        <f t="shared" si="47"/>
        <v>2036.1131999999998</v>
      </c>
      <c r="S305" s="311" t="str">
        <f t="shared" si="47"/>
        <v>-</v>
      </c>
      <c r="T305" s="311" t="str">
        <f t="shared" si="47"/>
        <v>-</v>
      </c>
      <c r="U305" s="311" t="str">
        <f t="shared" si="47"/>
        <v>-</v>
      </c>
      <c r="V305" s="311" t="str">
        <f t="shared" si="47"/>
        <v>-</v>
      </c>
      <c r="W305" s="311" t="str">
        <f t="shared" si="47"/>
        <v>-</v>
      </c>
      <c r="X305" s="311" t="str">
        <f t="shared" si="47"/>
        <v>-</v>
      </c>
      <c r="Y305" s="311" t="str">
        <f t="shared" si="47"/>
        <v>-</v>
      </c>
      <c r="Z305" s="311" t="str">
        <f t="shared" si="47"/>
        <v>-</v>
      </c>
      <c r="AB305" s="311" t="str">
        <f>IF($E305=AB$3,#REF!*$F305,"-")</f>
        <v>-</v>
      </c>
      <c r="AC305" s="311" t="str">
        <f>IF($E305=AC$3,#REF!*$F305,"-")</f>
        <v>-</v>
      </c>
      <c r="AD305" s="311" t="str">
        <f>IF($E305=AD$3,#REF!*$F305,"-")</f>
        <v>-</v>
      </c>
      <c r="AE305" s="311" t="e">
        <f>IF($E305=AE$3,#REF!*$F305,"-")</f>
        <v>#REF!</v>
      </c>
      <c r="AF305" s="311" t="str">
        <f>IF($E305=AF$3,#REF!*$F305,"-")</f>
        <v>-</v>
      </c>
      <c r="AG305" s="311" t="str">
        <f>IF($E305=AG$3,#REF!*$F305,"-")</f>
        <v>-</v>
      </c>
      <c r="AH305" s="311" t="str">
        <f>IF($E305=AH$3,#REF!*$F305,"-")</f>
        <v>-</v>
      </c>
      <c r="AI305" s="311" t="str">
        <f>IF($E305=AI$3,#REF!*$F305,"-")</f>
        <v>-</v>
      </c>
      <c r="AJ305" s="311" t="str">
        <f>IF($E305=AJ$3,#REF!*$F305,"-")</f>
        <v>-</v>
      </c>
      <c r="AK305" s="311" t="str">
        <f>IF($E305=AK$3,#REF!*$F305,"-")</f>
        <v>-</v>
      </c>
      <c r="AL305" s="311" t="str">
        <f>IF($E305=AL$3,#REF!*$F305,"-")</f>
        <v>-</v>
      </c>
      <c r="AM305" s="311" t="str">
        <f>IF($E305=AM$3,#REF!*$F305,"-")</f>
        <v>-</v>
      </c>
    </row>
    <row r="306" spans="1:39" ht="14.25" x14ac:dyDescent="0.2">
      <c r="C306" s="595" t="s">
        <v>802</v>
      </c>
      <c r="D306" s="560">
        <v>0</v>
      </c>
      <c r="E306" s="309" t="s">
        <v>310</v>
      </c>
      <c r="F306" s="392">
        <v>0.05</v>
      </c>
      <c r="G306" s="309">
        <v>1E-3</v>
      </c>
      <c r="H306" s="392">
        <v>0</v>
      </c>
      <c r="I306" s="310">
        <f>D306*F306*G306*(1-H306)</f>
        <v>0</v>
      </c>
      <c r="J306" s="309" t="s">
        <v>291</v>
      </c>
      <c r="K306" s="392">
        <v>0</v>
      </c>
      <c r="L306" s="393">
        <f t="shared" si="46"/>
        <v>0</v>
      </c>
      <c r="M306" s="258"/>
      <c r="O306" s="310"/>
      <c r="P306" s="310"/>
      <c r="Q306" s="310"/>
      <c r="R306" s="310"/>
      <c r="S306" s="310"/>
      <c r="T306" s="310"/>
      <c r="U306" s="310"/>
      <c r="V306" s="310"/>
      <c r="W306" s="310"/>
      <c r="X306" s="310"/>
      <c r="Y306" s="311"/>
      <c r="Z306" s="310"/>
      <c r="AB306" s="310"/>
      <c r="AC306" s="310"/>
      <c r="AD306" s="310"/>
      <c r="AE306" s="310"/>
      <c r="AF306" s="310"/>
      <c r="AG306" s="310"/>
      <c r="AH306" s="310"/>
      <c r="AI306" s="310"/>
      <c r="AJ306" s="310"/>
      <c r="AK306" s="310"/>
      <c r="AL306" s="311"/>
      <c r="AM306" s="310"/>
    </row>
    <row r="307" spans="1:39" ht="15" thickBot="1" x14ac:dyDescent="0.25">
      <c r="C307" s="599"/>
      <c r="D307" s="565"/>
      <c r="E307" s="409" t="s">
        <v>298</v>
      </c>
      <c r="F307" s="410">
        <v>0.01</v>
      </c>
      <c r="G307" s="409">
        <v>0.01</v>
      </c>
      <c r="H307" s="410">
        <v>0</v>
      </c>
      <c r="I307" s="411">
        <f>D306*F307*G307*(1-H307)</f>
        <v>0</v>
      </c>
      <c r="J307" s="409" t="s">
        <v>291</v>
      </c>
      <c r="K307" s="410">
        <v>0.4</v>
      </c>
      <c r="L307" s="412">
        <f t="shared" si="46"/>
        <v>0</v>
      </c>
      <c r="M307" s="258"/>
      <c r="O307" s="592" t="s">
        <v>958</v>
      </c>
      <c r="P307" s="593"/>
      <c r="Q307" s="593"/>
      <c r="R307" s="593"/>
      <c r="S307" s="593"/>
      <c r="T307" s="593"/>
      <c r="U307" s="593"/>
      <c r="V307" s="593"/>
      <c r="W307" s="593"/>
      <c r="X307" s="593"/>
      <c r="Y307" s="593"/>
      <c r="Z307" s="594"/>
      <c r="AB307" s="592" t="s">
        <v>958</v>
      </c>
      <c r="AC307" s="593"/>
      <c r="AD307" s="593"/>
      <c r="AE307" s="593"/>
      <c r="AF307" s="593"/>
      <c r="AG307" s="593"/>
      <c r="AH307" s="593"/>
      <c r="AI307" s="593"/>
      <c r="AJ307" s="593"/>
      <c r="AK307" s="593"/>
      <c r="AL307" s="593"/>
      <c r="AM307" s="594"/>
    </row>
    <row r="308" spans="1:39" x14ac:dyDescent="0.2">
      <c r="A308" s="241"/>
      <c r="B308" s="242"/>
      <c r="C308" s="243" t="s">
        <v>856</v>
      </c>
      <c r="D308" s="243"/>
      <c r="E308" s="244"/>
      <c r="F308" s="245"/>
      <c r="G308" s="245"/>
      <c r="H308" s="245"/>
      <c r="I308" s="265"/>
      <c r="J308" s="244"/>
      <c r="K308" s="245"/>
      <c r="L308" s="246"/>
      <c r="M308" s="246"/>
      <c r="O308" s="328">
        <f t="shared" ref="O308:Z308" si="48">SUM(O4:O307)</f>
        <v>5694.720577829572</v>
      </c>
      <c r="P308" s="328">
        <f t="shared" si="48"/>
        <v>2.1128642957136002E-2</v>
      </c>
      <c r="Q308" s="328">
        <f t="shared" si="48"/>
        <v>2.1638429571360002E-2</v>
      </c>
      <c r="R308" s="328">
        <f t="shared" si="48"/>
        <v>177556.13211485912</v>
      </c>
      <c r="S308" s="328">
        <f t="shared" si="48"/>
        <v>2.1638429571360002E-2</v>
      </c>
      <c r="T308" s="328">
        <f t="shared" si="48"/>
        <v>0.19342997742815998</v>
      </c>
      <c r="U308" s="328">
        <f t="shared" si="48"/>
        <v>1.1497718429571357</v>
      </c>
      <c r="V308" s="328">
        <f t="shared" si="48"/>
        <v>4.3276859142720003E-2</v>
      </c>
      <c r="W308" s="328">
        <f t="shared" si="48"/>
        <v>5.5639079999999994E-2</v>
      </c>
      <c r="X308" s="328">
        <f t="shared" si="48"/>
        <v>1.9834750800000001</v>
      </c>
      <c r="Y308" s="329">
        <f t="shared" si="48"/>
        <v>1.8392642957136004E-5</v>
      </c>
      <c r="Z308" s="328">
        <f t="shared" si="48"/>
        <v>566.3547176880852</v>
      </c>
      <c r="AB308" s="328" t="e">
        <f t="shared" ref="AB308:AM308" si="49">SUM(AB4:AB307)</f>
        <v>#REF!</v>
      </c>
      <c r="AC308" s="328" t="e">
        <f t="shared" si="49"/>
        <v>#REF!</v>
      </c>
      <c r="AD308" s="328" t="e">
        <f t="shared" si="49"/>
        <v>#REF!</v>
      </c>
      <c r="AE308" s="328" t="e">
        <f t="shared" si="49"/>
        <v>#REF!</v>
      </c>
      <c r="AF308" s="328" t="e">
        <f t="shared" si="49"/>
        <v>#REF!</v>
      </c>
      <c r="AG308" s="328" t="e">
        <f t="shared" si="49"/>
        <v>#REF!</v>
      </c>
      <c r="AH308" s="328" t="e">
        <f t="shared" si="49"/>
        <v>#REF!</v>
      </c>
      <c r="AI308" s="328" t="e">
        <f t="shared" si="49"/>
        <v>#REF!</v>
      </c>
      <c r="AJ308" s="328" t="e">
        <f t="shared" si="49"/>
        <v>#REF!</v>
      </c>
      <c r="AK308" s="328" t="e">
        <f t="shared" si="49"/>
        <v>#REF!</v>
      </c>
      <c r="AL308" s="329" t="e">
        <f t="shared" si="49"/>
        <v>#REF!</v>
      </c>
      <c r="AM308" s="328" t="e">
        <f t="shared" si="49"/>
        <v>#REF!</v>
      </c>
    </row>
    <row r="309" spans="1:39" ht="13.5" customHeight="1" x14ac:dyDescent="0.2">
      <c r="A309" s="241"/>
      <c r="B309" s="242">
        <v>1</v>
      </c>
      <c r="C309" s="241" t="s">
        <v>959</v>
      </c>
      <c r="D309" s="241"/>
      <c r="E309" s="241"/>
      <c r="F309" s="241"/>
      <c r="G309" s="241"/>
      <c r="H309" s="241"/>
      <c r="I309" s="241"/>
      <c r="J309" s="241"/>
      <c r="K309" s="241"/>
      <c r="L309" s="241"/>
      <c r="M309" s="241"/>
      <c r="O309" s="330" t="str">
        <f t="shared" ref="O309:Z309" si="50">O3</f>
        <v>Aluminum (Al)</v>
      </c>
      <c r="P309" s="330" t="str">
        <f t="shared" si="50"/>
        <v>Cadmium (Cd)</v>
      </c>
      <c r="Q309" s="330" t="str">
        <f t="shared" si="50"/>
        <v>Chlorine (Cl)</v>
      </c>
      <c r="R309" s="330" t="str">
        <f t="shared" si="50"/>
        <v>Copper (Cu)</v>
      </c>
      <c r="S309" s="330" t="str">
        <f t="shared" si="50"/>
        <v>Manganese (Mn)</v>
      </c>
      <c r="T309" s="330" t="str">
        <f t="shared" si="50"/>
        <v>Nickel (Ni)</v>
      </c>
      <c r="U309" s="330" t="str">
        <f t="shared" si="50"/>
        <v>Lead (Pb)</v>
      </c>
      <c r="V309" s="330" t="str">
        <f t="shared" si="50"/>
        <v>Vanadium (V)</v>
      </c>
      <c r="W309" s="330" t="str">
        <f t="shared" si="50"/>
        <v>Arsenic (As)</v>
      </c>
      <c r="X309" s="330" t="str">
        <f t="shared" si="50"/>
        <v>Antimony (Sb)</v>
      </c>
      <c r="Y309" s="330" t="str">
        <f t="shared" si="50"/>
        <v>Uranium (U)</v>
      </c>
      <c r="Z309" s="330" t="str">
        <f t="shared" si="50"/>
        <v>Cobalt (Co)</v>
      </c>
      <c r="AB309" s="330" t="str">
        <f t="shared" ref="AB309:AM309" si="51">AB3</f>
        <v>Aluminum (Al)</v>
      </c>
      <c r="AC309" s="330" t="str">
        <f t="shared" si="51"/>
        <v>Cadmium (Cd)</v>
      </c>
      <c r="AD309" s="330" t="str">
        <f t="shared" si="51"/>
        <v>Chlorine (Cl)</v>
      </c>
      <c r="AE309" s="330" t="str">
        <f t="shared" si="51"/>
        <v>Copper (Cu)</v>
      </c>
      <c r="AF309" s="330" t="str">
        <f t="shared" si="51"/>
        <v>Manganese (Mn)</v>
      </c>
      <c r="AG309" s="330" t="str">
        <f t="shared" si="51"/>
        <v>Nickel (Ni)</v>
      </c>
      <c r="AH309" s="330" t="str">
        <f t="shared" si="51"/>
        <v>Lead (Pb)</v>
      </c>
      <c r="AI309" s="330" t="str">
        <f t="shared" si="51"/>
        <v>Vanadium (V)</v>
      </c>
      <c r="AJ309" s="330" t="str">
        <f t="shared" si="51"/>
        <v>Arsenic (As)</v>
      </c>
      <c r="AK309" s="330" t="str">
        <f t="shared" si="51"/>
        <v>Antimony (Sb)</v>
      </c>
      <c r="AL309" s="330" t="str">
        <f t="shared" si="51"/>
        <v>Uranium (U)</v>
      </c>
      <c r="AM309" s="330" t="str">
        <f t="shared" si="51"/>
        <v>Cobalt (Co)</v>
      </c>
    </row>
    <row r="310" spans="1:39" ht="13.5" customHeight="1" x14ac:dyDescent="0.2">
      <c r="A310" s="241"/>
      <c r="B310" s="242">
        <v>2</v>
      </c>
      <c r="C310" s="241" t="s">
        <v>1901</v>
      </c>
      <c r="D310" s="241"/>
      <c r="E310" s="241"/>
      <c r="F310" s="241"/>
      <c r="G310" s="241"/>
      <c r="H310" s="241"/>
      <c r="I310" s="241"/>
      <c r="J310" s="241"/>
      <c r="K310" s="241"/>
      <c r="L310" s="241"/>
      <c r="M310" s="241"/>
      <c r="O310" s="249"/>
      <c r="P310" s="249"/>
      <c r="Q310" s="249"/>
      <c r="R310" s="249"/>
      <c r="S310" s="249"/>
      <c r="T310" s="249"/>
      <c r="U310" s="249"/>
      <c r="V310" s="249"/>
      <c r="W310" s="249"/>
      <c r="X310" s="249"/>
      <c r="Y310" s="249"/>
      <c r="Z310" s="249"/>
    </row>
    <row r="311" spans="1:39" ht="13.5" customHeight="1" x14ac:dyDescent="0.2">
      <c r="A311" s="241"/>
      <c r="B311" s="242">
        <v>3</v>
      </c>
      <c r="C311" s="241" t="s">
        <v>858</v>
      </c>
      <c r="D311" s="241"/>
      <c r="E311" s="241"/>
      <c r="F311" s="241"/>
      <c r="G311" s="241"/>
      <c r="H311" s="241"/>
      <c r="I311" s="241"/>
      <c r="J311" s="241"/>
      <c r="K311" s="241"/>
      <c r="L311" s="241"/>
      <c r="M311" s="241"/>
      <c r="O311" s="266"/>
      <c r="P311" s="266"/>
      <c r="Q311" s="266"/>
      <c r="R311" s="266"/>
      <c r="S311" s="266"/>
      <c r="T311" s="266"/>
      <c r="U311" s="266"/>
      <c r="V311" s="266"/>
      <c r="W311" s="266"/>
      <c r="X311" s="266"/>
      <c r="Y311" s="266"/>
      <c r="Z311" s="266"/>
    </row>
    <row r="312" spans="1:39" ht="13.5" customHeight="1" x14ac:dyDescent="0.2">
      <c r="A312" s="241"/>
      <c r="B312" s="242">
        <v>4</v>
      </c>
      <c r="C312" s="241" t="s">
        <v>960</v>
      </c>
      <c r="D312" s="241"/>
      <c r="E312" s="241"/>
      <c r="F312" s="241"/>
      <c r="G312" s="241"/>
      <c r="H312" s="241"/>
      <c r="I312" s="241"/>
      <c r="J312" s="241"/>
      <c r="K312" s="241"/>
      <c r="L312" s="241"/>
      <c r="M312" s="241"/>
      <c r="O312" s="241"/>
      <c r="P312" s="241"/>
      <c r="Q312" s="241"/>
      <c r="R312" s="241"/>
      <c r="S312" s="241"/>
      <c r="T312" s="241"/>
      <c r="U312" s="241"/>
      <c r="V312" s="241"/>
      <c r="W312" s="241"/>
      <c r="X312" s="241"/>
      <c r="Y312" s="241"/>
      <c r="Z312" s="241"/>
    </row>
    <row r="313" spans="1:39" ht="13.5" customHeight="1" x14ac:dyDescent="0.2">
      <c r="A313" s="241"/>
      <c r="B313" s="242">
        <v>5</v>
      </c>
      <c r="C313" s="241" t="s">
        <v>961</v>
      </c>
      <c r="D313" s="241"/>
      <c r="E313" s="241"/>
      <c r="F313" s="241"/>
      <c r="G313" s="241"/>
      <c r="H313" s="241"/>
      <c r="I313" s="241"/>
      <c r="J313" s="241"/>
      <c r="K313" s="241"/>
      <c r="L313" s="241"/>
      <c r="M313" s="241"/>
      <c r="O313" s="241"/>
      <c r="P313" s="241"/>
      <c r="Q313" s="241"/>
      <c r="R313" s="241"/>
      <c r="S313" s="241"/>
      <c r="T313" s="241"/>
      <c r="U313" s="241"/>
      <c r="V313" s="241"/>
      <c r="W313" s="241"/>
      <c r="X313" s="241"/>
      <c r="Y313" s="241"/>
      <c r="Z313" s="241"/>
    </row>
    <row r="314" spans="1:39" ht="13.5" customHeight="1" x14ac:dyDescent="0.2">
      <c r="A314" s="241"/>
      <c r="B314" s="242">
        <v>6</v>
      </c>
      <c r="C314" s="241" t="s">
        <v>860</v>
      </c>
      <c r="D314" s="241"/>
      <c r="E314" s="241"/>
      <c r="F314" s="241"/>
      <c r="G314" s="241"/>
      <c r="H314" s="241"/>
      <c r="I314" s="241"/>
      <c r="J314" s="241"/>
      <c r="K314" s="241"/>
      <c r="L314" s="241"/>
      <c r="M314" s="241"/>
      <c r="O314" s="241"/>
      <c r="P314" s="241"/>
      <c r="Q314" s="241"/>
      <c r="R314" s="241"/>
      <c r="S314" s="241"/>
      <c r="T314" s="241"/>
      <c r="U314" s="241"/>
      <c r="V314" s="241"/>
      <c r="W314" s="241"/>
      <c r="X314" s="241"/>
      <c r="Y314" s="241"/>
      <c r="Z314" s="241"/>
    </row>
    <row r="315" spans="1:39" ht="13.5" customHeight="1" x14ac:dyDescent="0.2">
      <c r="A315" s="241"/>
      <c r="B315" s="242">
        <v>7</v>
      </c>
      <c r="C315" s="241" t="s">
        <v>861</v>
      </c>
      <c r="D315" s="241"/>
      <c r="E315" s="241"/>
      <c r="F315" s="241"/>
      <c r="G315" s="241"/>
      <c r="H315" s="241"/>
      <c r="I315" s="241"/>
      <c r="J315" s="241"/>
      <c r="K315" s="241"/>
      <c r="L315" s="241"/>
      <c r="M315" s="241"/>
      <c r="O315" s="241"/>
      <c r="P315" s="241"/>
      <c r="Q315" s="241"/>
      <c r="R315" s="241"/>
      <c r="S315" s="241"/>
      <c r="T315" s="241"/>
      <c r="U315" s="241"/>
      <c r="V315" s="241"/>
      <c r="W315" s="241"/>
      <c r="X315" s="241"/>
      <c r="Y315" s="241"/>
      <c r="Z315" s="241"/>
    </row>
    <row r="316" spans="1:39" ht="13.5" customHeight="1" x14ac:dyDescent="0.2">
      <c r="A316" s="241"/>
      <c r="B316" s="242">
        <v>8</v>
      </c>
      <c r="C316" s="241" t="s">
        <v>862</v>
      </c>
      <c r="D316" s="241"/>
      <c r="E316" s="241"/>
      <c r="F316" s="241"/>
      <c r="G316" s="241"/>
      <c r="H316" s="241"/>
      <c r="I316" s="241"/>
      <c r="J316" s="241"/>
      <c r="K316" s="241"/>
      <c r="L316" s="241"/>
      <c r="M316" s="241"/>
      <c r="O316" s="241"/>
      <c r="P316" s="241"/>
      <c r="Q316" s="241"/>
      <c r="R316" s="241"/>
      <c r="S316" s="241"/>
      <c r="T316" s="241"/>
      <c r="U316" s="241"/>
      <c r="V316" s="241"/>
      <c r="W316" s="241"/>
      <c r="X316" s="241"/>
      <c r="Y316" s="241"/>
      <c r="Z316" s="241"/>
    </row>
    <row r="317" spans="1:39" ht="13.5" customHeight="1" x14ac:dyDescent="0.2">
      <c r="A317" s="241"/>
      <c r="B317" s="242">
        <v>9</v>
      </c>
      <c r="C317" s="241" t="s">
        <v>863</v>
      </c>
      <c r="D317" s="241"/>
      <c r="E317" s="241"/>
      <c r="F317" s="241"/>
      <c r="G317" s="241"/>
      <c r="H317" s="241"/>
      <c r="I317" s="241"/>
      <c r="J317" s="241"/>
      <c r="K317" s="241"/>
      <c r="L317" s="241"/>
      <c r="M317" s="241"/>
      <c r="O317" s="241"/>
      <c r="P317" s="241"/>
      <c r="Q317" s="241"/>
      <c r="R317" s="241"/>
      <c r="S317" s="241"/>
      <c r="T317" s="241"/>
      <c r="U317" s="241"/>
      <c r="V317" s="241"/>
      <c r="W317" s="241"/>
      <c r="X317" s="241"/>
      <c r="Y317" s="241"/>
      <c r="Z317" s="241"/>
    </row>
    <row r="318" spans="1:39" x14ac:dyDescent="0.2">
      <c r="A318" s="241"/>
      <c r="B318" s="242"/>
      <c r="C318" s="247"/>
      <c r="D318" s="247"/>
      <c r="E318" s="247"/>
      <c r="F318" s="247"/>
      <c r="G318" s="247"/>
      <c r="H318" s="247"/>
      <c r="I318" s="247"/>
      <c r="J318" s="247"/>
      <c r="K318" s="247"/>
      <c r="L318" s="247"/>
      <c r="M318" s="247"/>
      <c r="O318" s="247"/>
      <c r="P318" s="247"/>
      <c r="Q318" s="247"/>
      <c r="R318" s="247"/>
      <c r="S318" s="247"/>
      <c r="T318" s="247"/>
      <c r="U318" s="247"/>
      <c r="V318" s="247"/>
      <c r="W318" s="247"/>
      <c r="X318" s="247"/>
      <c r="Y318" s="247"/>
      <c r="Z318" s="247"/>
    </row>
  </sheetData>
  <mergeCells count="66">
    <mergeCell ref="D50:D51"/>
    <mergeCell ref="C81:C82"/>
    <mergeCell ref="D81:D82"/>
    <mergeCell ref="C306:C307"/>
    <mergeCell ref="D306:D307"/>
    <mergeCell ref="D303:D305"/>
    <mergeCell ref="C303:C305"/>
    <mergeCell ref="C99:C100"/>
    <mergeCell ref="D99:D100"/>
    <mergeCell ref="D262:D296"/>
    <mergeCell ref="C262:C296"/>
    <mergeCell ref="D192:D226"/>
    <mergeCell ref="C192:C226"/>
    <mergeCell ref="C227:C261"/>
    <mergeCell ref="D227:D261"/>
    <mergeCell ref="C113:C114"/>
    <mergeCell ref="C157:C191"/>
    <mergeCell ref="L99:L100"/>
    <mergeCell ref="I99:I100"/>
    <mergeCell ref="J99:J100"/>
    <mergeCell ref="K99:K100"/>
    <mergeCell ref="F99:F100"/>
    <mergeCell ref="G99:G100"/>
    <mergeCell ref="H99:H100"/>
    <mergeCell ref="D137:D156"/>
    <mergeCell ref="C137:C156"/>
    <mergeCell ref="E2:E3"/>
    <mergeCell ref="I2:I3"/>
    <mergeCell ref="J2:J3"/>
    <mergeCell ref="K2:K3"/>
    <mergeCell ref="L2:L3"/>
    <mergeCell ref="F2:F3"/>
    <mergeCell ref="G2:G3"/>
    <mergeCell ref="H2:H3"/>
    <mergeCell ref="C301:C302"/>
    <mergeCell ref="C4:C5"/>
    <mergeCell ref="D4:D5"/>
    <mergeCell ref="C2:C3"/>
    <mergeCell ref="D2:D3"/>
    <mergeCell ref="D301:D302"/>
    <mergeCell ref="D6:D40"/>
    <mergeCell ref="C6:C40"/>
    <mergeCell ref="D157:D191"/>
    <mergeCell ref="C117:C132"/>
    <mergeCell ref="D117:D132"/>
    <mergeCell ref="C44:C46"/>
    <mergeCell ref="D44:D46"/>
    <mergeCell ref="C47:C49"/>
    <mergeCell ref="D47:D49"/>
    <mergeCell ref="C50:C51"/>
    <mergeCell ref="AB307:AM307"/>
    <mergeCell ref="O307:Z307"/>
    <mergeCell ref="D53:D61"/>
    <mergeCell ref="D113:D114"/>
    <mergeCell ref="C115:C116"/>
    <mergeCell ref="D115:D116"/>
    <mergeCell ref="D62:D80"/>
    <mergeCell ref="C62:C80"/>
    <mergeCell ref="E99:E100"/>
    <mergeCell ref="C83:C85"/>
    <mergeCell ref="D83:D85"/>
    <mergeCell ref="C88:C90"/>
    <mergeCell ref="D88:D90"/>
    <mergeCell ref="C92:C93"/>
    <mergeCell ref="D92:D93"/>
    <mergeCell ref="C53:C61"/>
  </mergeCells>
  <pageMargins left="0.75" right="0.75" top="1" bottom="1" header="0.5" footer="0.5"/>
  <pageSetup scale="63"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rowBreaks count="1" manualBreakCount="1">
    <brk id="9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7AD26-4E47-486D-A657-2598758E93A6}">
  <sheetPr>
    <pageSetUpPr fitToPage="1"/>
  </sheetPr>
  <dimension ref="A1:W166"/>
  <sheetViews>
    <sheetView topLeftCell="B1" zoomScale="70" zoomScaleNormal="70" workbookViewId="0">
      <selection activeCell="F12" sqref="F12"/>
    </sheetView>
  </sheetViews>
  <sheetFormatPr defaultColWidth="9.140625" defaultRowHeight="14.25" x14ac:dyDescent="0.2"/>
  <cols>
    <col min="1" max="1" width="9.5703125" style="46" hidden="1" customWidth="1"/>
    <col min="2" max="2" width="2.140625" style="109" customWidth="1"/>
    <col min="3" max="3" width="21.85546875" style="253" customWidth="1"/>
    <col min="4" max="4" width="12.85546875" style="230" customWidth="1"/>
    <col min="5" max="5" width="33.140625" style="230" customWidth="1"/>
    <col min="6" max="6" width="11.42578125" style="228" customWidth="1"/>
    <col min="7" max="7" width="10.85546875" style="229" customWidth="1"/>
    <col min="8" max="8" width="10.5703125" style="230" customWidth="1"/>
    <col min="9" max="9" width="12.85546875" style="231" customWidth="1"/>
    <col min="10" max="10" width="15.140625" style="230" customWidth="1"/>
    <col min="11" max="11" width="13.85546875" style="228" customWidth="1"/>
    <col min="12" max="12" width="15.140625" style="231" customWidth="1"/>
    <col min="13" max="13" width="2" style="46" customWidth="1"/>
    <col min="14" max="15" width="9.140625" style="46"/>
    <col min="16" max="16" width="32.85546875" style="230" customWidth="1"/>
    <col min="17" max="17" width="11.140625" style="230" bestFit="1" customWidth="1"/>
    <col min="18" max="20" width="9.140625" style="46"/>
    <col min="21" max="21" width="17" style="46" customWidth="1"/>
    <col min="22" max="22" width="9.140625" style="46"/>
    <col min="23" max="23" width="12.5703125" style="46" bestFit="1" customWidth="1"/>
    <col min="24" max="16384" width="9.140625" style="46"/>
  </cols>
  <sheetData>
    <row r="1" spans="2:23" ht="12.75" customHeight="1" thickBot="1" x14ac:dyDescent="0.25">
      <c r="C1" s="287" t="s">
        <v>1907</v>
      </c>
      <c r="D1" s="227"/>
      <c r="E1" s="227"/>
    </row>
    <row r="2" spans="2:23" ht="25.5" customHeight="1" x14ac:dyDescent="0.2">
      <c r="C2" s="545" t="s">
        <v>803</v>
      </c>
      <c r="D2" s="545" t="s">
        <v>962</v>
      </c>
      <c r="E2" s="545" t="s">
        <v>868</v>
      </c>
      <c r="F2" s="547" t="s">
        <v>963</v>
      </c>
      <c r="G2" s="606" t="s">
        <v>964</v>
      </c>
      <c r="H2" s="545" t="s">
        <v>965</v>
      </c>
      <c r="I2" s="543" t="s">
        <v>966</v>
      </c>
      <c r="J2" s="545" t="s">
        <v>967</v>
      </c>
      <c r="K2" s="547" t="s">
        <v>968</v>
      </c>
      <c r="L2" s="549" t="s">
        <v>969</v>
      </c>
    </row>
    <row r="3" spans="2:23" ht="15" thickBot="1" x14ac:dyDescent="0.25">
      <c r="C3" s="546"/>
      <c r="D3" s="546"/>
      <c r="E3" s="546"/>
      <c r="F3" s="548"/>
      <c r="G3" s="607"/>
      <c r="H3" s="546"/>
      <c r="I3" s="544"/>
      <c r="J3" s="546"/>
      <c r="K3" s="548"/>
      <c r="L3" s="550"/>
    </row>
    <row r="4" spans="2:23" x14ac:dyDescent="0.2">
      <c r="C4" s="262" t="s">
        <v>737</v>
      </c>
      <c r="D4" s="262">
        <v>338.00791925150764</v>
      </c>
      <c r="E4" s="261" t="s">
        <v>342</v>
      </c>
      <c r="F4" s="358">
        <v>1</v>
      </c>
      <c r="G4" s="414" t="s">
        <v>970</v>
      </c>
      <c r="H4" s="261">
        <v>1</v>
      </c>
      <c r="I4" s="262">
        <f>D4*F4*H4</f>
        <v>338.00791925150764</v>
      </c>
      <c r="J4" s="261" t="s">
        <v>32</v>
      </c>
      <c r="K4" s="415">
        <v>0</v>
      </c>
      <c r="L4" s="359">
        <f>I4*(1-K4)</f>
        <v>338.00791925150764</v>
      </c>
    </row>
    <row r="5" spans="2:23" s="233" customFormat="1" ht="25.5" customHeight="1" x14ac:dyDescent="0.2">
      <c r="B5" s="109"/>
      <c r="C5" s="595" t="s">
        <v>738</v>
      </c>
      <c r="D5" s="560">
        <v>0</v>
      </c>
      <c r="E5" s="399" t="s">
        <v>971</v>
      </c>
      <c r="F5" s="390">
        <v>5.0000000000000001E-4</v>
      </c>
      <c r="G5" s="363">
        <f>(12.0107*3)/72.06</f>
        <v>0.50002914238134888</v>
      </c>
      <c r="H5" s="361">
        <v>0.2</v>
      </c>
      <c r="I5" s="327">
        <f>D5*F5*H5</f>
        <v>0</v>
      </c>
      <c r="J5" s="361" t="s">
        <v>972</v>
      </c>
      <c r="K5" s="372">
        <v>0.9</v>
      </c>
      <c r="L5" s="373">
        <f>I5*(1-K5)</f>
        <v>0</v>
      </c>
      <c r="P5" s="234"/>
      <c r="Q5" s="234"/>
      <c r="U5" s="46"/>
      <c r="V5" s="46"/>
      <c r="W5" s="46"/>
    </row>
    <row r="6" spans="2:23" s="233" customFormat="1" x14ac:dyDescent="0.2">
      <c r="B6" s="109"/>
      <c r="C6" s="595"/>
      <c r="D6" s="554"/>
      <c r="E6" s="308" t="s">
        <v>864</v>
      </c>
      <c r="F6" s="363" t="s">
        <v>970</v>
      </c>
      <c r="G6" s="390" t="s">
        <v>970</v>
      </c>
      <c r="H6" s="416">
        <f>L6/IF(D6=0,IF(D5=0,IF(D4=0,"Error",D4),D5),D6)</f>
        <v>0</v>
      </c>
      <c r="I6" s="361" t="s">
        <v>970</v>
      </c>
      <c r="J6" s="361" t="s">
        <v>970</v>
      </c>
      <c r="K6" s="372" t="s">
        <v>970</v>
      </c>
      <c r="L6" s="381">
        <f>I5*G5*44.01/12.01</f>
        <v>0</v>
      </c>
      <c r="P6" s="234"/>
      <c r="Q6" s="234"/>
      <c r="U6" s="46"/>
      <c r="V6" s="46"/>
      <c r="W6" s="46"/>
    </row>
    <row r="7" spans="2:23" s="233" customFormat="1" ht="14.25" customHeight="1" x14ac:dyDescent="0.2">
      <c r="B7" s="109"/>
      <c r="C7" s="595" t="s">
        <v>739</v>
      </c>
      <c r="D7" s="560">
        <v>10110.42407877583</v>
      </c>
      <c r="E7" s="308" t="s">
        <v>327</v>
      </c>
      <c r="F7" s="372">
        <v>5.0000000000000001E-3</v>
      </c>
      <c r="G7" s="390">
        <f>12.0107/32.04</f>
        <v>0.37486579275905119</v>
      </c>
      <c r="H7" s="361">
        <v>1</v>
      </c>
      <c r="I7" s="312">
        <f>D7*F7*H7</f>
        <v>50.55212039387915</v>
      </c>
      <c r="J7" s="361" t="s">
        <v>972</v>
      </c>
      <c r="K7" s="372">
        <v>0.9</v>
      </c>
      <c r="L7" s="381">
        <f>I7*(1-K7)</f>
        <v>5.0552120393879143</v>
      </c>
      <c r="P7" s="234"/>
      <c r="Q7" s="234"/>
      <c r="U7" s="46"/>
      <c r="V7" s="46"/>
      <c r="W7" s="46"/>
    </row>
    <row r="8" spans="2:23" s="233" customFormat="1" x14ac:dyDescent="0.2">
      <c r="B8" s="109"/>
      <c r="C8" s="595"/>
      <c r="D8" s="554"/>
      <c r="E8" s="308" t="s">
        <v>864</v>
      </c>
      <c r="F8" s="363" t="s">
        <v>970</v>
      </c>
      <c r="G8" s="390" t="s">
        <v>970</v>
      </c>
      <c r="H8" s="417">
        <f>L8/IF(D8=0,IF(D7=0,IF(D6=0,IF(D5=0,IF(D4=0,IF(D3=0,IF(D2=0,IF(D1=0,"Error",D1),D2),D3),D4),D5),D6),D7),D8)</f>
        <v>6.8683778265303252E-3</v>
      </c>
      <c r="I8" s="312" t="s">
        <v>970</v>
      </c>
      <c r="J8" s="361" t="s">
        <v>970</v>
      </c>
      <c r="K8" s="372" t="s">
        <v>970</v>
      </c>
      <c r="L8" s="379">
        <f>I7*G7*44.01/12.01</f>
        <v>69.442212559482201</v>
      </c>
      <c r="P8" s="234"/>
      <c r="Q8" s="234"/>
      <c r="U8" s="46"/>
      <c r="V8" s="46"/>
      <c r="W8" s="46"/>
    </row>
    <row r="9" spans="2:23" s="233" customFormat="1" ht="14.25" customHeight="1" x14ac:dyDescent="0.2">
      <c r="B9" s="109"/>
      <c r="C9" s="595" t="s">
        <v>740</v>
      </c>
      <c r="D9" s="560">
        <v>0</v>
      </c>
      <c r="E9" s="399" t="s">
        <v>973</v>
      </c>
      <c r="F9" s="363">
        <v>0.625</v>
      </c>
      <c r="G9" s="390">
        <v>0.50839999999999996</v>
      </c>
      <c r="H9" s="361">
        <v>0.2</v>
      </c>
      <c r="I9" s="312">
        <f>D9*F9*H9</f>
        <v>0</v>
      </c>
      <c r="J9" s="361" t="s">
        <v>972</v>
      </c>
      <c r="K9" s="372">
        <v>0.9</v>
      </c>
      <c r="L9" s="379">
        <f>I9*(1-K9)</f>
        <v>0</v>
      </c>
      <c r="P9" s="234"/>
      <c r="Q9" s="234"/>
      <c r="U9" s="46"/>
      <c r="V9" s="46"/>
      <c r="W9" s="46"/>
    </row>
    <row r="10" spans="2:23" s="233" customFormat="1" x14ac:dyDescent="0.2">
      <c r="B10" s="109"/>
      <c r="C10" s="595"/>
      <c r="D10" s="561"/>
      <c r="E10" s="399" t="s">
        <v>974</v>
      </c>
      <c r="F10" s="363">
        <v>0.125</v>
      </c>
      <c r="G10" s="390">
        <v>0.62039999999999995</v>
      </c>
      <c r="H10" s="361">
        <v>0.2</v>
      </c>
      <c r="I10" s="312">
        <f>D9*F10*H10</f>
        <v>0</v>
      </c>
      <c r="J10" s="361" t="s">
        <v>972</v>
      </c>
      <c r="K10" s="372">
        <v>0.9</v>
      </c>
      <c r="L10" s="379">
        <f>I10*(1-K10)</f>
        <v>0</v>
      </c>
      <c r="P10" s="234"/>
      <c r="Q10" s="234"/>
      <c r="U10" s="46"/>
      <c r="V10" s="46"/>
      <c r="W10" s="46"/>
    </row>
    <row r="11" spans="2:23" s="233" customFormat="1" x14ac:dyDescent="0.2">
      <c r="B11" s="109"/>
      <c r="C11" s="595"/>
      <c r="D11" s="554"/>
      <c r="E11" s="308" t="s">
        <v>864</v>
      </c>
      <c r="F11" s="361" t="s">
        <v>970</v>
      </c>
      <c r="G11" s="361" t="s">
        <v>970</v>
      </c>
      <c r="H11" s="362">
        <f>L11/IF(D11=0,IF(D10=0,IF(D9=0,IF(D8=0,IF(D7=0,IF(D6=0,IF(D5=0,IF(D4=0,"Error",D4),D5),D6),D7),D8),D9),D10),D11)</f>
        <v>0</v>
      </c>
      <c r="I11" s="312" t="s">
        <v>970</v>
      </c>
      <c r="J11" s="361" t="s">
        <v>970</v>
      </c>
      <c r="K11" s="372" t="s">
        <v>970</v>
      </c>
      <c r="L11" s="379">
        <f>((G9*I9)+(G10*I10))*44.01/12.01</f>
        <v>0</v>
      </c>
      <c r="P11" s="234"/>
      <c r="Q11" s="234"/>
      <c r="U11" s="46"/>
      <c r="V11" s="46"/>
      <c r="W11" s="46"/>
    </row>
    <row r="12" spans="2:23" s="233" customFormat="1" ht="14.25" customHeight="1" x14ac:dyDescent="0.2">
      <c r="B12" s="109"/>
      <c r="C12" s="595" t="s">
        <v>741</v>
      </c>
      <c r="D12" s="560">
        <v>1333.2596694334536</v>
      </c>
      <c r="E12" s="399" t="s">
        <v>975</v>
      </c>
      <c r="F12" s="363">
        <v>0.57499999999999996</v>
      </c>
      <c r="G12" s="390">
        <v>0.50839999999999996</v>
      </c>
      <c r="H12" s="361">
        <v>0.2</v>
      </c>
      <c r="I12" s="312">
        <f>D12*F12*H12</f>
        <v>153.32486198484716</v>
      </c>
      <c r="J12" s="361" t="s">
        <v>972</v>
      </c>
      <c r="K12" s="372">
        <v>0.9</v>
      </c>
      <c r="L12" s="381">
        <f>I12*(1-K12)</f>
        <v>15.332486198484713</v>
      </c>
      <c r="P12" s="234"/>
      <c r="Q12" s="234"/>
      <c r="U12" s="46"/>
      <c r="V12" s="46"/>
      <c r="W12" s="46"/>
    </row>
    <row r="13" spans="2:23" s="233" customFormat="1" x14ac:dyDescent="0.2">
      <c r="B13" s="109"/>
      <c r="C13" s="595"/>
      <c r="D13" s="561"/>
      <c r="E13" s="399" t="s">
        <v>976</v>
      </c>
      <c r="F13" s="363">
        <v>0.1</v>
      </c>
      <c r="G13" s="390">
        <v>0.62039999999999995</v>
      </c>
      <c r="H13" s="361">
        <v>0.2</v>
      </c>
      <c r="I13" s="315">
        <f>D12*F13*H13</f>
        <v>26.665193388669078</v>
      </c>
      <c r="J13" s="361" t="s">
        <v>972</v>
      </c>
      <c r="K13" s="372">
        <v>0.9</v>
      </c>
      <c r="L13" s="381">
        <f>I13*(1-K13)</f>
        <v>2.6665193388669071</v>
      </c>
      <c r="P13" s="234"/>
      <c r="Q13" s="234"/>
      <c r="U13" s="46"/>
      <c r="V13" s="46"/>
      <c r="W13" s="46"/>
    </row>
    <row r="14" spans="2:23" s="233" customFormat="1" x14ac:dyDescent="0.2">
      <c r="B14" s="109"/>
      <c r="C14" s="595"/>
      <c r="D14" s="554"/>
      <c r="E14" s="308" t="s">
        <v>864</v>
      </c>
      <c r="F14" s="361" t="s">
        <v>970</v>
      </c>
      <c r="G14" s="361" t="s">
        <v>970</v>
      </c>
      <c r="H14" s="362">
        <f>L14/IF(D14=0,IF(D13=0,IF(D12=0,IF(D11=0,IF(D10=0,IF(D9=0,IF(D8=0,IF(D7=0,"Error",D7),D8),D9),D10),D11),D12),D13),D14)</f>
        <v>0.25971396669442132</v>
      </c>
      <c r="I14" s="312" t="s">
        <v>970</v>
      </c>
      <c r="J14" s="361" t="s">
        <v>970</v>
      </c>
      <c r="K14" s="372" t="s">
        <v>970</v>
      </c>
      <c r="L14" s="364">
        <f>((G12*I12)+(G13*I13))*44.01/12.01</f>
        <v>346.26615738225513</v>
      </c>
      <c r="P14" s="234"/>
      <c r="Q14" s="234"/>
      <c r="U14" s="46"/>
      <c r="V14" s="46"/>
      <c r="W14" s="46"/>
    </row>
    <row r="15" spans="2:23" s="233" customFormat="1" ht="14.25" customHeight="1" x14ac:dyDescent="0.2">
      <c r="B15" s="109"/>
      <c r="C15" s="595" t="s">
        <v>742</v>
      </c>
      <c r="D15" s="560">
        <v>6163.7402882433062</v>
      </c>
      <c r="E15" s="361" t="s">
        <v>977</v>
      </c>
      <c r="F15" s="363">
        <v>5.5E-2</v>
      </c>
      <c r="G15" s="390">
        <v>0.64580000000000004</v>
      </c>
      <c r="H15" s="361">
        <v>0.2</v>
      </c>
      <c r="I15" s="312">
        <f>D15*F15*H15</f>
        <v>67.801143170676369</v>
      </c>
      <c r="J15" s="361" t="s">
        <v>972</v>
      </c>
      <c r="K15" s="372">
        <v>0.9</v>
      </c>
      <c r="L15" s="381">
        <f>I15*(1-K15)</f>
        <v>6.7801143170676355</v>
      </c>
      <c r="P15" s="234"/>
      <c r="Q15" s="234"/>
      <c r="U15" s="46"/>
      <c r="V15" s="46"/>
      <c r="W15" s="46"/>
    </row>
    <row r="16" spans="2:23" x14ac:dyDescent="0.2">
      <c r="C16" s="595"/>
      <c r="D16" s="561"/>
      <c r="E16" s="361" t="s">
        <v>978</v>
      </c>
      <c r="F16" s="363">
        <v>0.25</v>
      </c>
      <c r="G16" s="390">
        <v>0.77749999999999997</v>
      </c>
      <c r="H16" s="361">
        <v>0.2</v>
      </c>
      <c r="I16" s="312">
        <f>D15*F16*H16</f>
        <v>308.18701441216535</v>
      </c>
      <c r="J16" s="361" t="s">
        <v>972</v>
      </c>
      <c r="K16" s="372">
        <v>0.9</v>
      </c>
      <c r="L16" s="379">
        <f>I16*(1-K16)</f>
        <v>30.818701441216529</v>
      </c>
    </row>
    <row r="17" spans="3:12" x14ac:dyDescent="0.2">
      <c r="C17" s="595"/>
      <c r="D17" s="561"/>
      <c r="E17" s="361" t="s">
        <v>975</v>
      </c>
      <c r="F17" s="363">
        <v>0.55000000000000004</v>
      </c>
      <c r="G17" s="390">
        <v>0.50839999999999996</v>
      </c>
      <c r="H17" s="361">
        <v>0.2</v>
      </c>
      <c r="I17" s="312">
        <f>D15*F17*H17</f>
        <v>678.0114317067638</v>
      </c>
      <c r="J17" s="361" t="s">
        <v>972</v>
      </c>
      <c r="K17" s="372">
        <v>0.9</v>
      </c>
      <c r="L17" s="379">
        <f>I17*(1-K17)</f>
        <v>67.801143170676369</v>
      </c>
    </row>
    <row r="18" spans="3:12" x14ac:dyDescent="0.2">
      <c r="C18" s="595"/>
      <c r="D18" s="561"/>
      <c r="E18" s="361" t="s">
        <v>979</v>
      </c>
      <c r="F18" s="363">
        <v>3.0000000000000002E-2</v>
      </c>
      <c r="G18" s="390">
        <v>0.64580000000000004</v>
      </c>
      <c r="H18" s="361">
        <v>0.2</v>
      </c>
      <c r="I18" s="312">
        <f>D15*F18*H18</f>
        <v>36.982441729459843</v>
      </c>
      <c r="J18" s="361" t="s">
        <v>972</v>
      </c>
      <c r="K18" s="372">
        <v>0.9</v>
      </c>
      <c r="L18" s="381">
        <f>I18*(1-K18)</f>
        <v>3.6982441729459836</v>
      </c>
    </row>
    <row r="19" spans="3:12" ht="15" thickBot="1" x14ac:dyDescent="0.25">
      <c r="C19" s="599"/>
      <c r="D19" s="565"/>
      <c r="E19" s="370" t="s">
        <v>864</v>
      </c>
      <c r="F19" s="369" t="s">
        <v>970</v>
      </c>
      <c r="G19" s="418" t="s">
        <v>970</v>
      </c>
      <c r="H19" s="419">
        <f>L19/IF(D19=0,IF(D18=0,IF(D17=0,IF(D16=0,IF(D15=0,IF(D14=0,IF(D13=0,IF(D12=0,"Error",D12),D13),D14),D15),D16),D17),D18),D19)</f>
        <v>0.38761633438801002</v>
      </c>
      <c r="I19" s="418" t="s">
        <v>970</v>
      </c>
      <c r="J19" s="369" t="s">
        <v>970</v>
      </c>
      <c r="K19" s="420" t="s">
        <v>970</v>
      </c>
      <c r="L19" s="371">
        <f>((I15*G15)+(I16*G16)+(I17*G17)+(I18*G18))*44.01/12.01</f>
        <v>2389.1664166485666</v>
      </c>
    </row>
    <row r="20" spans="3:12" x14ac:dyDescent="0.2">
      <c r="C20" s="235"/>
      <c r="D20" s="236"/>
      <c r="E20" s="234"/>
      <c r="F20" s="237"/>
      <c r="G20" s="238"/>
      <c r="H20" s="238"/>
      <c r="I20" s="238"/>
      <c r="J20" s="237"/>
      <c r="K20" s="239"/>
      <c r="L20" s="236"/>
    </row>
    <row r="21" spans="3:12" ht="12.75" customHeight="1" thickBot="1" x14ac:dyDescent="0.25">
      <c r="C21" s="287" t="s">
        <v>1908</v>
      </c>
      <c r="D21" s="227"/>
      <c r="E21" s="227"/>
    </row>
    <row r="22" spans="3:12" ht="25.5" customHeight="1" x14ac:dyDescent="0.2">
      <c r="C22" s="545" t="s">
        <v>803</v>
      </c>
      <c r="D22" s="545" t="s">
        <v>962</v>
      </c>
      <c r="E22" s="545" t="s">
        <v>868</v>
      </c>
      <c r="F22" s="547" t="s">
        <v>963</v>
      </c>
      <c r="G22" s="606" t="s">
        <v>964</v>
      </c>
      <c r="H22" s="545" t="s">
        <v>965</v>
      </c>
      <c r="I22" s="543" t="s">
        <v>966</v>
      </c>
      <c r="J22" s="545" t="s">
        <v>967</v>
      </c>
      <c r="K22" s="547" t="s">
        <v>968</v>
      </c>
      <c r="L22" s="549" t="s">
        <v>969</v>
      </c>
    </row>
    <row r="23" spans="3:12" ht="15" thickBot="1" x14ac:dyDescent="0.25">
      <c r="C23" s="546"/>
      <c r="D23" s="546"/>
      <c r="E23" s="546"/>
      <c r="F23" s="548"/>
      <c r="G23" s="607"/>
      <c r="H23" s="546"/>
      <c r="I23" s="544"/>
      <c r="J23" s="546"/>
      <c r="K23" s="548"/>
      <c r="L23" s="550"/>
    </row>
    <row r="24" spans="3:12" x14ac:dyDescent="0.2">
      <c r="C24" s="264" t="s">
        <v>743</v>
      </c>
      <c r="D24" s="264">
        <v>2409.6187499999996</v>
      </c>
      <c r="E24" s="421" t="s">
        <v>980</v>
      </c>
      <c r="F24" s="422">
        <v>1</v>
      </c>
      <c r="G24" s="423" t="s">
        <v>970</v>
      </c>
      <c r="H24" s="421">
        <v>1E-3</v>
      </c>
      <c r="I24" s="262">
        <f>D24*F24*H24</f>
        <v>2.4096187499999995</v>
      </c>
      <c r="J24" s="261" t="s">
        <v>970</v>
      </c>
      <c r="K24" s="415">
        <v>0</v>
      </c>
      <c r="L24" s="424">
        <f>I24*(1-K24)</f>
        <v>2.4096187499999995</v>
      </c>
    </row>
    <row r="25" spans="3:12" ht="14.25" customHeight="1" x14ac:dyDescent="0.2">
      <c r="C25" s="595" t="s">
        <v>744</v>
      </c>
      <c r="D25" s="560">
        <v>2535.465011026753</v>
      </c>
      <c r="E25" s="361" t="s">
        <v>981</v>
      </c>
      <c r="F25" s="363">
        <v>3.0000000000000002E-2</v>
      </c>
      <c r="G25" s="390">
        <v>0.6482</v>
      </c>
      <c r="H25" s="361">
        <v>0.2</v>
      </c>
      <c r="I25" s="312">
        <f>D25*F25*H25</f>
        <v>15.212790066160521</v>
      </c>
      <c r="J25" s="361" t="s">
        <v>972</v>
      </c>
      <c r="K25" s="372">
        <v>0.9</v>
      </c>
      <c r="L25" s="379">
        <f>I25*(1-K25)</f>
        <v>1.5212790066160518</v>
      </c>
    </row>
    <row r="26" spans="3:12" x14ac:dyDescent="0.2">
      <c r="C26" s="595"/>
      <c r="D26" s="561"/>
      <c r="E26" s="361" t="s">
        <v>848</v>
      </c>
      <c r="F26" s="363">
        <v>0.25</v>
      </c>
      <c r="G26" s="390">
        <v>0.52139999999999997</v>
      </c>
      <c r="H26" s="361">
        <v>0.2</v>
      </c>
      <c r="I26" s="312">
        <f>D25*F26*H26</f>
        <v>126.77325055133765</v>
      </c>
      <c r="J26" s="361" t="s">
        <v>972</v>
      </c>
      <c r="K26" s="372">
        <v>0.9</v>
      </c>
      <c r="L26" s="364">
        <f>I26*(1-K26)</f>
        <v>12.677325055133762</v>
      </c>
    </row>
    <row r="27" spans="3:12" x14ac:dyDescent="0.2">
      <c r="C27" s="595"/>
      <c r="D27" s="561"/>
      <c r="E27" s="361" t="s">
        <v>982</v>
      </c>
      <c r="F27" s="363">
        <v>0.45</v>
      </c>
      <c r="G27" s="390">
        <v>0.54530000000000001</v>
      </c>
      <c r="H27" s="361">
        <v>0.2</v>
      </c>
      <c r="I27" s="312">
        <f>D25*F27*H27</f>
        <v>228.19185099240778</v>
      </c>
      <c r="J27" s="361" t="s">
        <v>972</v>
      </c>
      <c r="K27" s="372">
        <v>0.9</v>
      </c>
      <c r="L27" s="364">
        <f>I27*(1-K27)</f>
        <v>22.819185099240773</v>
      </c>
    </row>
    <row r="28" spans="3:12" x14ac:dyDescent="0.2">
      <c r="C28" s="595"/>
      <c r="D28" s="561"/>
      <c r="E28" s="361" t="s">
        <v>327</v>
      </c>
      <c r="F28" s="372">
        <v>1.4999999999999999E-2</v>
      </c>
      <c r="G28" s="390">
        <f>12.0107/32.04</f>
        <v>0.37486579275905119</v>
      </c>
      <c r="H28" s="361">
        <v>1</v>
      </c>
      <c r="I28" s="312">
        <f>D25*F28*H28</f>
        <v>38.031975165401292</v>
      </c>
      <c r="J28" s="361" t="s">
        <v>972</v>
      </c>
      <c r="K28" s="372">
        <v>0.9</v>
      </c>
      <c r="L28" s="379">
        <f>I28*(1-K28)</f>
        <v>3.8031975165401284</v>
      </c>
    </row>
    <row r="29" spans="3:12" x14ac:dyDescent="0.2">
      <c r="C29" s="595"/>
      <c r="D29" s="554"/>
      <c r="E29" s="361" t="s">
        <v>864</v>
      </c>
      <c r="F29" s="363" t="s">
        <v>970</v>
      </c>
      <c r="G29" s="390" t="s">
        <v>970</v>
      </c>
      <c r="H29" s="362">
        <f>L29/IF(D29=0,IF(D28=0,IF(D27=0,IF(D26=0,IF(D25=0,IF(D23=0,IF(D22=0,IF(D21=0,"Error",D21),D22),D23),D25),D26),D27),D28),D29)</f>
        <v>0.2896239102414655</v>
      </c>
      <c r="I29" s="390" t="s">
        <v>970</v>
      </c>
      <c r="J29" s="363" t="s">
        <v>970</v>
      </c>
      <c r="K29" s="372" t="s">
        <v>970</v>
      </c>
      <c r="L29" s="364">
        <f>((I27*G27)+(I26*G26)+(I25*G25))*44.01/12.01</f>
        <v>734.3312907739886</v>
      </c>
    </row>
    <row r="30" spans="3:12" ht="14.25" customHeight="1" x14ac:dyDescent="0.2">
      <c r="C30" s="595" t="s">
        <v>745</v>
      </c>
      <c r="D30" s="560">
        <v>7376.6478087265241</v>
      </c>
      <c r="E30" s="361" t="s">
        <v>983</v>
      </c>
      <c r="F30" s="363">
        <v>0.67500000000000004</v>
      </c>
      <c r="G30" s="390">
        <v>0.53310000000000002</v>
      </c>
      <c r="H30" s="361">
        <v>0.2</v>
      </c>
      <c r="I30" s="312">
        <f>D30*F30*H30</f>
        <v>995.84745417808085</v>
      </c>
      <c r="J30" s="361" t="s">
        <v>972</v>
      </c>
      <c r="K30" s="372">
        <v>0.9</v>
      </c>
      <c r="L30" s="364">
        <f>I30*(1-K30)</f>
        <v>99.584745417808065</v>
      </c>
    </row>
    <row r="31" spans="3:12" x14ac:dyDescent="0.2">
      <c r="C31" s="595"/>
      <c r="D31" s="561"/>
      <c r="E31" s="361" t="s">
        <v>982</v>
      </c>
      <c r="F31" s="363">
        <v>0.3</v>
      </c>
      <c r="G31" s="390">
        <v>0.54530000000000001</v>
      </c>
      <c r="H31" s="361">
        <v>0.2</v>
      </c>
      <c r="I31" s="312">
        <f>D30*F31*H31</f>
        <v>442.59886852359142</v>
      </c>
      <c r="J31" s="361" t="s">
        <v>972</v>
      </c>
      <c r="K31" s="372">
        <v>0.9</v>
      </c>
      <c r="L31" s="364">
        <f>I31*(1-K31)</f>
        <v>44.259886852359131</v>
      </c>
    </row>
    <row r="32" spans="3:12" x14ac:dyDescent="0.2">
      <c r="C32" s="595"/>
      <c r="D32" s="554"/>
      <c r="E32" s="361" t="s">
        <v>864</v>
      </c>
      <c r="F32" s="363" t="s">
        <v>970</v>
      </c>
      <c r="G32" s="390" t="s">
        <v>970</v>
      </c>
      <c r="H32" s="362">
        <f>L32/IF(D32=0,IF(D31=0,IF(D30=0,"Error",D30),D31),D32)</f>
        <v>0.38361805703580359</v>
      </c>
      <c r="I32" s="390" t="s">
        <v>970</v>
      </c>
      <c r="J32" s="363" t="s">
        <v>970</v>
      </c>
      <c r="K32" s="372" t="s">
        <v>970</v>
      </c>
      <c r="L32" s="364">
        <f>((I30*G30)+(I31*G31))*44.01/12.01</f>
        <v>2829.8152998210871</v>
      </c>
    </row>
    <row r="33" spans="1:19" ht="14.25" customHeight="1" x14ac:dyDescent="0.2">
      <c r="C33" s="595" t="s">
        <v>746</v>
      </c>
      <c r="D33" s="560">
        <v>6990.1612888064728</v>
      </c>
      <c r="E33" s="361" t="s">
        <v>984</v>
      </c>
      <c r="F33" s="363">
        <v>0.2</v>
      </c>
      <c r="G33" s="390">
        <f>(12.0107*6)/98.15</f>
        <v>0.73422516556291384</v>
      </c>
      <c r="H33" s="361">
        <v>0.2</v>
      </c>
      <c r="I33" s="312">
        <f>D33*F33*H33</f>
        <v>279.60645155225893</v>
      </c>
      <c r="J33" s="361" t="s">
        <v>972</v>
      </c>
      <c r="K33" s="372">
        <v>0.9</v>
      </c>
      <c r="L33" s="379">
        <f>I33*(1-K33)</f>
        <v>27.960645155225887</v>
      </c>
    </row>
    <row r="34" spans="1:19" x14ac:dyDescent="0.2">
      <c r="C34" s="595"/>
      <c r="D34" s="561"/>
      <c r="E34" s="361" t="s">
        <v>975</v>
      </c>
      <c r="F34" s="363">
        <v>0.6</v>
      </c>
      <c r="G34" s="390">
        <v>0.50839999999999996</v>
      </c>
      <c r="H34" s="361">
        <v>0.2</v>
      </c>
      <c r="I34" s="312">
        <f>D33*F34*H34</f>
        <v>838.8193546567768</v>
      </c>
      <c r="J34" s="361" t="s">
        <v>972</v>
      </c>
      <c r="K34" s="372">
        <v>0.9</v>
      </c>
      <c r="L34" s="379">
        <f>I34*(1-K34)</f>
        <v>83.881935465677657</v>
      </c>
    </row>
    <row r="35" spans="1:19" x14ac:dyDescent="0.2">
      <c r="C35" s="595"/>
      <c r="D35" s="561"/>
      <c r="E35" s="361" t="s">
        <v>983</v>
      </c>
      <c r="F35" s="363">
        <v>0.2</v>
      </c>
      <c r="G35" s="390">
        <v>0.53310000000000002</v>
      </c>
      <c r="H35" s="361">
        <v>0.2</v>
      </c>
      <c r="I35" s="312">
        <f>D33*F35*H35</f>
        <v>279.60645155225893</v>
      </c>
      <c r="J35" s="361" t="s">
        <v>972</v>
      </c>
      <c r="K35" s="372">
        <v>0.9</v>
      </c>
      <c r="L35" s="379">
        <f>I35*(1-K35)</f>
        <v>27.960645155225887</v>
      </c>
    </row>
    <row r="36" spans="1:19" x14ac:dyDescent="0.2">
      <c r="C36" s="595"/>
      <c r="D36" s="554"/>
      <c r="E36" s="361" t="s">
        <v>864</v>
      </c>
      <c r="F36" s="363" t="s">
        <v>970</v>
      </c>
      <c r="G36" s="390" t="s">
        <v>970</v>
      </c>
      <c r="H36" s="362">
        <f>L36/IF(D36=0,IF(D35=0,IF(D34=0,IF(D33=0,IF(D32=0,IF(D31=0,IF(D30=0,"Error",D30),D31),D32),D33),D34),D35),D36)</f>
        <v>0.40932233983821426</v>
      </c>
      <c r="I36" s="390" t="s">
        <v>970</v>
      </c>
      <c r="J36" s="363" t="s">
        <v>970</v>
      </c>
      <c r="K36" s="372" t="s">
        <v>970</v>
      </c>
      <c r="L36" s="364">
        <f>((I35*G35)+(I33*G33)+(I34*G34))*44.01/12.01</f>
        <v>2861.2291745807729</v>
      </c>
    </row>
    <row r="37" spans="1:19" ht="14.25" customHeight="1" x14ac:dyDescent="0.2">
      <c r="C37" s="595" t="s">
        <v>747</v>
      </c>
      <c r="D37" s="560">
        <v>657928.82798522327</v>
      </c>
      <c r="E37" s="361" t="s">
        <v>983</v>
      </c>
      <c r="F37" s="363">
        <v>0.65</v>
      </c>
      <c r="G37" s="390">
        <v>0.53310000000000002</v>
      </c>
      <c r="H37" s="361">
        <v>0.2</v>
      </c>
      <c r="I37" s="312">
        <f>D37*F37*H37</f>
        <v>85530.747638079032</v>
      </c>
      <c r="J37" s="361" t="s">
        <v>972</v>
      </c>
      <c r="K37" s="372">
        <v>0.9</v>
      </c>
      <c r="L37" s="364">
        <f>I37*(1-K37)</f>
        <v>8553.074763807901</v>
      </c>
    </row>
    <row r="38" spans="1:19" x14ac:dyDescent="0.2">
      <c r="C38" s="595"/>
      <c r="D38" s="561"/>
      <c r="E38" s="361" t="s">
        <v>982</v>
      </c>
      <c r="F38" s="363">
        <v>0.3</v>
      </c>
      <c r="G38" s="390">
        <v>0.54530000000000001</v>
      </c>
      <c r="H38" s="361">
        <v>0.2</v>
      </c>
      <c r="I38" s="312">
        <f>D37*F38*H38</f>
        <v>39475.729679113399</v>
      </c>
      <c r="J38" s="361" t="s">
        <v>972</v>
      </c>
      <c r="K38" s="372">
        <v>0.9</v>
      </c>
      <c r="L38" s="364">
        <f>I38*(1-K38)</f>
        <v>3947.5729679113392</v>
      </c>
    </row>
    <row r="39" spans="1:19" x14ac:dyDescent="0.2">
      <c r="C39" s="595"/>
      <c r="D39" s="561"/>
      <c r="E39" s="399" t="s">
        <v>985</v>
      </c>
      <c r="F39" s="372">
        <v>3.0000000000000001E-3</v>
      </c>
      <c r="G39" s="390">
        <f>(12.0107*6)/132.159</f>
        <v>0.54528408961932218</v>
      </c>
      <c r="H39" s="361">
        <v>0.2</v>
      </c>
      <c r="I39" s="312">
        <f>D37*F39*H39</f>
        <v>394.75729679113397</v>
      </c>
      <c r="J39" s="361" t="s">
        <v>972</v>
      </c>
      <c r="K39" s="372">
        <v>0.9</v>
      </c>
      <c r="L39" s="364">
        <f>I39*(1-K39)</f>
        <v>39.475729679113385</v>
      </c>
    </row>
    <row r="40" spans="1:19" x14ac:dyDescent="0.2">
      <c r="C40" s="595"/>
      <c r="D40" s="554"/>
      <c r="E40" s="361" t="s">
        <v>864</v>
      </c>
      <c r="F40" s="363" t="s">
        <v>970</v>
      </c>
      <c r="G40" s="390" t="s">
        <v>970</v>
      </c>
      <c r="H40" s="362">
        <f>L40/IF(D40=0,IF(D39=0,IF(D38=0,IF(D37=0,IF(D36=0,IF(D35=0,IF(D34=0,IF(D33=0,"Error",D33),D34),D35),D36),D37),D38),D39),D40)</f>
        <v>0.37504937399421218</v>
      </c>
      <c r="I40" s="390" t="s">
        <v>970</v>
      </c>
      <c r="J40" s="363" t="s">
        <v>970</v>
      </c>
      <c r="K40" s="372" t="s">
        <v>970</v>
      </c>
      <c r="L40" s="364">
        <f>((I37*G37)+(I38*G38)+(G39*I39))*44.01/12.01</f>
        <v>246755.79506860368</v>
      </c>
    </row>
    <row r="41" spans="1:19" x14ac:dyDescent="0.2">
      <c r="C41" s="595" t="s">
        <v>748</v>
      </c>
      <c r="D41" s="560">
        <v>208560</v>
      </c>
      <c r="E41" s="361" t="s">
        <v>986</v>
      </c>
      <c r="F41" s="363">
        <v>5.5E-2</v>
      </c>
      <c r="G41" s="390">
        <v>0.45700000000000002</v>
      </c>
      <c r="H41" s="361">
        <v>0.2</v>
      </c>
      <c r="I41" s="312">
        <f>D41*F41*H41</f>
        <v>2294.16</v>
      </c>
      <c r="J41" s="361" t="s">
        <v>972</v>
      </c>
      <c r="K41" s="372">
        <v>0.9</v>
      </c>
      <c r="L41" s="364">
        <f>I41*(1-K41)</f>
        <v>229.41599999999994</v>
      </c>
    </row>
    <row r="42" spans="1:19" x14ac:dyDescent="0.2">
      <c r="C42" s="595"/>
      <c r="D42" s="561"/>
      <c r="E42" s="361" t="s">
        <v>344</v>
      </c>
      <c r="F42" s="363">
        <v>0.05</v>
      </c>
      <c r="G42" s="390">
        <v>0.65449999999999997</v>
      </c>
      <c r="H42" s="361">
        <v>0.2</v>
      </c>
      <c r="I42" s="312">
        <f>D41*F42*H42</f>
        <v>2085.6</v>
      </c>
      <c r="J42" s="361" t="s">
        <v>972</v>
      </c>
      <c r="K42" s="372">
        <v>0.9</v>
      </c>
      <c r="L42" s="381">
        <f>I42*(1-K42)</f>
        <v>208.55999999999995</v>
      </c>
    </row>
    <row r="43" spans="1:19" x14ac:dyDescent="0.2">
      <c r="C43" s="595"/>
      <c r="D43" s="561"/>
      <c r="E43" s="361" t="s">
        <v>987</v>
      </c>
      <c r="F43" s="363">
        <v>0.1</v>
      </c>
      <c r="G43" s="390" t="s">
        <v>970</v>
      </c>
      <c r="H43" s="361">
        <v>1</v>
      </c>
      <c r="I43" s="312">
        <f>D41*F43*H43</f>
        <v>20856</v>
      </c>
      <c r="J43" s="361" t="s">
        <v>972</v>
      </c>
      <c r="K43" s="372">
        <v>0.9</v>
      </c>
      <c r="L43" s="364">
        <f>I43*(1-K43)</f>
        <v>2085.5999999999995</v>
      </c>
    </row>
    <row r="44" spans="1:19" x14ac:dyDescent="0.2">
      <c r="A44" s="287" t="s">
        <v>830</v>
      </c>
      <c r="C44" s="595"/>
      <c r="D44" s="561"/>
      <c r="E44" s="361" t="s">
        <v>988</v>
      </c>
      <c r="F44" s="363">
        <v>0.2</v>
      </c>
      <c r="G44" s="390">
        <f>36.03/75.11</f>
        <v>0.4796964452136866</v>
      </c>
      <c r="H44" s="361">
        <v>0.2</v>
      </c>
      <c r="I44" s="312">
        <f>D41*F44*H44</f>
        <v>8342.4</v>
      </c>
      <c r="J44" s="361" t="s">
        <v>972</v>
      </c>
      <c r="K44" s="372">
        <v>0.9</v>
      </c>
      <c r="L44" s="364">
        <f>I44*(1-K44)</f>
        <v>834.23999999999978</v>
      </c>
      <c r="S44" s="287"/>
    </row>
    <row r="45" spans="1:19" x14ac:dyDescent="0.2">
      <c r="C45" s="595"/>
      <c r="D45" s="561"/>
      <c r="E45" s="361" t="s">
        <v>989</v>
      </c>
      <c r="F45" s="363">
        <v>0.2</v>
      </c>
      <c r="G45" s="390">
        <v>0.39329999999999998</v>
      </c>
      <c r="H45" s="361">
        <v>0.2</v>
      </c>
      <c r="I45" s="312">
        <f>D41*F45*H45</f>
        <v>8342.4</v>
      </c>
      <c r="J45" s="361" t="s">
        <v>972</v>
      </c>
      <c r="K45" s="372">
        <v>0.9</v>
      </c>
      <c r="L45" s="364">
        <f>I45*(1-K45)</f>
        <v>834.23999999999978</v>
      </c>
    </row>
    <row r="46" spans="1:19" x14ac:dyDescent="0.2">
      <c r="C46" s="595"/>
      <c r="D46" s="554"/>
      <c r="E46" s="361" t="s">
        <v>864</v>
      </c>
      <c r="F46" s="363" t="s">
        <v>970</v>
      </c>
      <c r="G46" s="390" t="s">
        <v>970</v>
      </c>
      <c r="H46" s="362">
        <f>L46/IF(D46=0,IF(D45=0,IF(D43=0,IF(D42=0,IF(D41=0,IF(D40=0,IF(D39=0,IF(D38=0,"Error",D38),D39),D40),D41),D42),D43),D45),D46)</f>
        <v>0.17036691608277882</v>
      </c>
      <c r="I46" s="390" t="s">
        <v>970</v>
      </c>
      <c r="J46" s="363" t="s">
        <v>970</v>
      </c>
      <c r="K46" s="372" t="s">
        <v>970</v>
      </c>
      <c r="L46" s="364">
        <f>((I45*G45)+(I44*G44)+(I42*G42)+(I41*G41))*44.01/12.01</f>
        <v>35531.724018224348</v>
      </c>
    </row>
    <row r="47" spans="1:19" x14ac:dyDescent="0.2">
      <c r="C47" s="312" t="s">
        <v>749</v>
      </c>
      <c r="D47" s="312">
        <v>1571.6666666666665</v>
      </c>
      <c r="E47" s="361" t="s">
        <v>325</v>
      </c>
      <c r="F47" s="363">
        <v>0.99</v>
      </c>
      <c r="G47" s="390" t="s">
        <v>970</v>
      </c>
      <c r="H47" s="361">
        <v>1</v>
      </c>
      <c r="I47" s="312">
        <f>D47*F47*H47</f>
        <v>1555.9499999999998</v>
      </c>
      <c r="J47" s="361" t="s">
        <v>32</v>
      </c>
      <c r="K47" s="372">
        <v>0</v>
      </c>
      <c r="L47" s="364">
        <f t="shared" ref="L47:L56" si="0">I47*(1-K47)</f>
        <v>1555.9499999999998</v>
      </c>
    </row>
    <row r="48" spans="1:19" x14ac:dyDescent="0.2">
      <c r="C48" s="560" t="s">
        <v>750</v>
      </c>
      <c r="D48" s="560">
        <v>8559.5985082956868</v>
      </c>
      <c r="E48" s="361" t="s">
        <v>990</v>
      </c>
      <c r="F48" s="372">
        <v>5.0000000000000001E-3</v>
      </c>
      <c r="G48" s="390">
        <v>0.57799999999999996</v>
      </c>
      <c r="H48" s="361">
        <v>1</v>
      </c>
      <c r="I48" s="312">
        <f>D48*H48*(F48)</f>
        <v>42.797992541478436</v>
      </c>
      <c r="J48" s="361" t="s">
        <v>972</v>
      </c>
      <c r="K48" s="363">
        <v>0</v>
      </c>
      <c r="L48" s="364">
        <f t="shared" si="0"/>
        <v>42.797992541478436</v>
      </c>
    </row>
    <row r="49" spans="2:23" x14ac:dyDescent="0.2">
      <c r="C49" s="561"/>
      <c r="D49" s="561"/>
      <c r="E49" s="361" t="s">
        <v>991</v>
      </c>
      <c r="F49" s="372">
        <v>0.995</v>
      </c>
      <c r="G49" s="425">
        <v>0.44650000000000001</v>
      </c>
      <c r="H49" s="361">
        <v>1</v>
      </c>
      <c r="I49" s="312">
        <f>D48*H49*(F49)</f>
        <v>8516.8005157542084</v>
      </c>
      <c r="J49" s="361" t="s">
        <v>972</v>
      </c>
      <c r="K49" s="363">
        <v>0</v>
      </c>
      <c r="L49" s="364">
        <f t="shared" si="0"/>
        <v>8516.8005157542084</v>
      </c>
    </row>
    <row r="50" spans="2:23" x14ac:dyDescent="0.2">
      <c r="C50" s="561"/>
      <c r="D50" s="561"/>
      <c r="E50" s="361" t="s">
        <v>992</v>
      </c>
      <c r="F50" s="426" t="s">
        <v>970</v>
      </c>
      <c r="G50" s="425" t="s">
        <v>970</v>
      </c>
      <c r="H50" s="427">
        <v>0.41299999999999998</v>
      </c>
      <c r="I50" s="312">
        <f>D48*H50*(F48)</f>
        <v>17.675570919630594</v>
      </c>
      <c r="J50" s="361" t="s">
        <v>970</v>
      </c>
      <c r="K50" s="363">
        <v>0</v>
      </c>
      <c r="L50" s="364">
        <f t="shared" si="0"/>
        <v>17.675570919630594</v>
      </c>
    </row>
    <row r="51" spans="2:23" x14ac:dyDescent="0.2">
      <c r="C51" s="561"/>
      <c r="D51" s="561"/>
      <c r="E51" s="361" t="s">
        <v>993</v>
      </c>
      <c r="F51" s="426" t="s">
        <v>970</v>
      </c>
      <c r="G51" s="390" t="s">
        <v>970</v>
      </c>
      <c r="H51" s="428">
        <f>H57</f>
        <v>0.74399999999999999</v>
      </c>
      <c r="I51" s="312">
        <f>H51*F49*D48</f>
        <v>6336.4995837211309</v>
      </c>
      <c r="J51" s="361" t="s">
        <v>970</v>
      </c>
      <c r="K51" s="363">
        <v>0</v>
      </c>
      <c r="L51" s="364">
        <f t="shared" si="0"/>
        <v>6336.4995837211309</v>
      </c>
    </row>
    <row r="52" spans="2:23" x14ac:dyDescent="0.2">
      <c r="C52" s="561"/>
      <c r="D52" s="561"/>
      <c r="E52" s="361" t="s">
        <v>994</v>
      </c>
      <c r="F52" s="426" t="s">
        <v>970</v>
      </c>
      <c r="G52" s="390" t="s">
        <v>970</v>
      </c>
      <c r="H52" s="427">
        <v>0.317</v>
      </c>
      <c r="I52" s="312">
        <f>D48*H52*(F48)</f>
        <v>13.566963635648662</v>
      </c>
      <c r="J52" s="361" t="s">
        <v>970</v>
      </c>
      <c r="K52" s="363">
        <v>0</v>
      </c>
      <c r="L52" s="364">
        <f>I52*(1-K52)</f>
        <v>13.566963635648662</v>
      </c>
    </row>
    <row r="53" spans="2:23" x14ac:dyDescent="0.2">
      <c r="C53" s="561"/>
      <c r="D53" s="561"/>
      <c r="E53" s="361" t="s">
        <v>995</v>
      </c>
      <c r="F53" s="426" t="s">
        <v>970</v>
      </c>
      <c r="G53" s="390" t="s">
        <v>970</v>
      </c>
      <c r="H53" s="427">
        <v>0.28499999999999998</v>
      </c>
      <c r="I53" s="312">
        <f>D48*H53*(F49)</f>
        <v>2427.2881469899489</v>
      </c>
      <c r="J53" s="361" t="s">
        <v>970</v>
      </c>
      <c r="K53" s="363">
        <v>0</v>
      </c>
      <c r="L53" s="364">
        <f>I53*(1-K53)</f>
        <v>2427.2881469899489</v>
      </c>
    </row>
    <row r="54" spans="2:23" x14ac:dyDescent="0.2">
      <c r="C54" s="561"/>
      <c r="D54" s="561"/>
      <c r="E54" s="361" t="s">
        <v>996</v>
      </c>
      <c r="F54" s="426" t="s">
        <v>970</v>
      </c>
      <c r="G54" s="390" t="s">
        <v>970</v>
      </c>
      <c r="H54" s="240">
        <v>2.12</v>
      </c>
      <c r="I54" s="390" t="s">
        <v>970</v>
      </c>
      <c r="J54" s="361" t="s">
        <v>970</v>
      </c>
      <c r="K54" s="363">
        <v>0</v>
      </c>
      <c r="L54" s="364">
        <f>D48*F48*G48*44.01/12.01</f>
        <v>90.648286320713495</v>
      </c>
    </row>
    <row r="55" spans="2:23" x14ac:dyDescent="0.2">
      <c r="C55" s="554"/>
      <c r="D55" s="554"/>
      <c r="E55" s="361" t="s">
        <v>997</v>
      </c>
      <c r="F55" s="426" t="s">
        <v>970</v>
      </c>
      <c r="G55" s="390" t="s">
        <v>970</v>
      </c>
      <c r="H55" s="240">
        <v>1.637</v>
      </c>
      <c r="I55" s="390" t="s">
        <v>970</v>
      </c>
      <c r="J55" s="361" t="s">
        <v>970</v>
      </c>
      <c r="K55" s="429">
        <v>0</v>
      </c>
      <c r="L55" s="364">
        <f>D48*F49*G49*44.01/12.01</f>
        <v>13934.978388577019</v>
      </c>
    </row>
    <row r="56" spans="2:23" s="233" customFormat="1" ht="14.25" customHeight="1" x14ac:dyDescent="0.2">
      <c r="B56" s="109"/>
      <c r="C56" s="595" t="s">
        <v>750</v>
      </c>
      <c r="D56" s="560">
        <v>0</v>
      </c>
      <c r="E56" s="361" t="s">
        <v>991</v>
      </c>
      <c r="F56" s="426">
        <v>0.995</v>
      </c>
      <c r="G56" s="390">
        <v>0.44650000000000001</v>
      </c>
      <c r="H56" s="427">
        <v>1</v>
      </c>
      <c r="I56" s="312">
        <f>D56*F56*H56</f>
        <v>0</v>
      </c>
      <c r="J56" s="361" t="s">
        <v>972</v>
      </c>
      <c r="K56" s="372">
        <v>0.9</v>
      </c>
      <c r="L56" s="364">
        <f t="shared" si="0"/>
        <v>0</v>
      </c>
      <c r="P56" s="234"/>
      <c r="Q56" s="234"/>
      <c r="U56" s="46"/>
      <c r="V56" s="46"/>
      <c r="W56" s="46"/>
    </row>
    <row r="57" spans="2:23" x14ac:dyDescent="0.2">
      <c r="C57" s="595"/>
      <c r="D57" s="561"/>
      <c r="E57" s="361" t="s">
        <v>310</v>
      </c>
      <c r="F57" s="363" t="s">
        <v>970</v>
      </c>
      <c r="G57" s="414" t="s">
        <v>970</v>
      </c>
      <c r="H57" s="362">
        <v>0.74399999999999999</v>
      </c>
      <c r="I57" s="390" t="s">
        <v>970</v>
      </c>
      <c r="J57" s="361" t="s">
        <v>970</v>
      </c>
      <c r="K57" s="372" t="s">
        <v>970</v>
      </c>
      <c r="L57" s="364">
        <f>D56*H57</f>
        <v>0</v>
      </c>
    </row>
    <row r="58" spans="2:23" x14ac:dyDescent="0.2">
      <c r="C58" s="560"/>
      <c r="D58" s="561"/>
      <c r="E58" s="430" t="s">
        <v>998</v>
      </c>
      <c r="F58" s="363" t="s">
        <v>970</v>
      </c>
      <c r="G58" s="390" t="s">
        <v>970</v>
      </c>
      <c r="H58" s="431">
        <v>0.28499999999999998</v>
      </c>
      <c r="I58" s="425" t="s">
        <v>970</v>
      </c>
      <c r="J58" s="430" t="s">
        <v>970</v>
      </c>
      <c r="K58" s="432" t="s">
        <v>970</v>
      </c>
      <c r="L58" s="364">
        <f>D56*H58</f>
        <v>0</v>
      </c>
    </row>
    <row r="59" spans="2:23" ht="15" thickBot="1" x14ac:dyDescent="0.25">
      <c r="C59" s="599"/>
      <c r="D59" s="565"/>
      <c r="E59" s="370" t="s">
        <v>864</v>
      </c>
      <c r="F59" s="369" t="s">
        <v>970</v>
      </c>
      <c r="G59" s="418" t="s">
        <v>970</v>
      </c>
      <c r="H59" s="419">
        <f>L59/IF(D59=0,IF(D57=0,IF(D56=0,IF(D47=0,IF(D46=0,IF(D45=0,IF(D43=0,IF(D42=0,"Error",D42),D43),D45),D46),D47),D56),D57),D59)</f>
        <v>0</v>
      </c>
      <c r="I59" s="418" t="s">
        <v>970</v>
      </c>
      <c r="J59" s="369" t="s">
        <v>970</v>
      </c>
      <c r="K59" s="420" t="s">
        <v>970</v>
      </c>
      <c r="L59" s="371">
        <f>I56*G56*44.01/12.01</f>
        <v>0</v>
      </c>
    </row>
    <row r="60" spans="2:23" x14ac:dyDescent="0.2">
      <c r="C60" s="235"/>
      <c r="D60" s="236"/>
      <c r="E60" s="234"/>
      <c r="F60" s="237"/>
      <c r="G60" s="238"/>
      <c r="H60" s="238"/>
      <c r="I60" s="238"/>
      <c r="J60" s="237"/>
      <c r="K60" s="239"/>
      <c r="L60" s="236"/>
    </row>
    <row r="61" spans="2:23" ht="12.75" customHeight="1" thickBot="1" x14ac:dyDescent="0.25">
      <c r="C61" s="287" t="s">
        <v>1908</v>
      </c>
      <c r="D61" s="227"/>
      <c r="E61" s="227"/>
    </row>
    <row r="62" spans="2:23" ht="25.5" customHeight="1" x14ac:dyDescent="0.2">
      <c r="C62" s="545" t="s">
        <v>803</v>
      </c>
      <c r="D62" s="545" t="s">
        <v>962</v>
      </c>
      <c r="E62" s="545" t="s">
        <v>868</v>
      </c>
      <c r="F62" s="547" t="s">
        <v>963</v>
      </c>
      <c r="G62" s="606" t="s">
        <v>964</v>
      </c>
      <c r="H62" s="545" t="s">
        <v>965</v>
      </c>
      <c r="I62" s="543" t="s">
        <v>966</v>
      </c>
      <c r="J62" s="545" t="s">
        <v>967</v>
      </c>
      <c r="K62" s="547" t="s">
        <v>968</v>
      </c>
      <c r="L62" s="549" t="s">
        <v>969</v>
      </c>
    </row>
    <row r="63" spans="2:23" ht="15" thickBot="1" x14ac:dyDescent="0.25">
      <c r="C63" s="546"/>
      <c r="D63" s="546"/>
      <c r="E63" s="546"/>
      <c r="F63" s="548"/>
      <c r="G63" s="607"/>
      <c r="H63" s="546"/>
      <c r="I63" s="544"/>
      <c r="J63" s="546"/>
      <c r="K63" s="548"/>
      <c r="L63" s="550"/>
    </row>
    <row r="64" spans="2:23" x14ac:dyDescent="0.2">
      <c r="C64" s="262" t="s">
        <v>751</v>
      </c>
      <c r="D64" s="262">
        <v>12500</v>
      </c>
      <c r="E64" s="261" t="s">
        <v>999</v>
      </c>
      <c r="F64" s="415">
        <v>0.995</v>
      </c>
      <c r="G64" s="414" t="s">
        <v>970</v>
      </c>
      <c r="H64" s="261">
        <v>1</v>
      </c>
      <c r="I64" s="262">
        <f>D64*F64*H64</f>
        <v>12437.5</v>
      </c>
      <c r="J64" s="261" t="s">
        <v>32</v>
      </c>
      <c r="K64" s="415">
        <v>0</v>
      </c>
      <c r="L64" s="359">
        <f>I64*(1-K64)</f>
        <v>12437.5</v>
      </c>
    </row>
    <row r="65" spans="2:23" ht="14.25" customHeight="1" x14ac:dyDescent="0.2">
      <c r="C65" s="595" t="s">
        <v>752</v>
      </c>
      <c r="D65" s="560">
        <v>450000</v>
      </c>
      <c r="E65" s="361" t="s">
        <v>999</v>
      </c>
      <c r="F65" s="363">
        <v>0.995</v>
      </c>
      <c r="G65" s="390">
        <v>0.59960000000000002</v>
      </c>
      <c r="H65" s="361">
        <v>0.2</v>
      </c>
      <c r="I65" s="312">
        <f>D65*F65*H65</f>
        <v>89550</v>
      </c>
      <c r="J65" s="361" t="s">
        <v>972</v>
      </c>
      <c r="K65" s="372">
        <v>0.9</v>
      </c>
      <c r="L65" s="364">
        <f>I65*(1-K65)</f>
        <v>8954.9999999999982</v>
      </c>
    </row>
    <row r="66" spans="2:23" x14ac:dyDescent="0.2">
      <c r="C66" s="595"/>
      <c r="D66" s="554"/>
      <c r="E66" s="361" t="s">
        <v>864</v>
      </c>
      <c r="F66" s="363" t="s">
        <v>970</v>
      </c>
      <c r="G66" s="390" t="s">
        <v>970</v>
      </c>
      <c r="H66" s="362">
        <f>L66/IF(D66=0,IF(D65=0,IF(D64=0,IF(D63=0,IF(D62=0,IF(D61=0,IF(D60=0,IF(D59=0,"Error",D59),D60),D61),D62),D63),D64),D65),D66)</f>
        <v>0.43724319766860953</v>
      </c>
      <c r="I66" s="390" t="s">
        <v>970</v>
      </c>
      <c r="J66" s="363" t="s">
        <v>970</v>
      </c>
      <c r="K66" s="372" t="s">
        <v>970</v>
      </c>
      <c r="L66" s="364">
        <f>I65*G65*44.01/12.01</f>
        <v>196759.43895087429</v>
      </c>
    </row>
    <row r="67" spans="2:23" x14ac:dyDescent="0.2">
      <c r="C67" s="312" t="s">
        <v>753</v>
      </c>
      <c r="D67" s="312">
        <v>20000</v>
      </c>
      <c r="E67" s="361" t="s">
        <v>999</v>
      </c>
      <c r="F67" s="363">
        <v>0.09</v>
      </c>
      <c r="G67" s="390" t="s">
        <v>970</v>
      </c>
      <c r="H67" s="361">
        <v>1</v>
      </c>
      <c r="I67" s="312">
        <f>D67*F67*H67</f>
        <v>1800</v>
      </c>
      <c r="J67" s="361" t="s">
        <v>32</v>
      </c>
      <c r="K67" s="372">
        <v>0</v>
      </c>
      <c r="L67" s="364">
        <f>I67*(1-K67)</f>
        <v>1800</v>
      </c>
    </row>
    <row r="68" spans="2:23" ht="14.25" customHeight="1" x14ac:dyDescent="0.2">
      <c r="C68" s="595" t="s">
        <v>754</v>
      </c>
      <c r="D68" s="560">
        <v>8171.2654415244824</v>
      </c>
      <c r="E68" s="399" t="s">
        <v>1000</v>
      </c>
      <c r="F68" s="363">
        <v>0.01</v>
      </c>
      <c r="G68" s="390">
        <f>(12.0107*8)/122.167</f>
        <v>0.78651026873050822</v>
      </c>
      <c r="H68" s="361">
        <v>0.2</v>
      </c>
      <c r="I68" s="312">
        <f>D68*F68*H68</f>
        <v>16.342530883048966</v>
      </c>
      <c r="J68" s="361" t="s">
        <v>972</v>
      </c>
      <c r="K68" s="372">
        <v>0.9</v>
      </c>
      <c r="L68" s="381">
        <f>I68*(1-K68)</f>
        <v>1.6342530883048962</v>
      </c>
    </row>
    <row r="69" spans="2:23" x14ac:dyDescent="0.2">
      <c r="C69" s="595"/>
      <c r="D69" s="561"/>
      <c r="E69" s="399" t="s">
        <v>1001</v>
      </c>
      <c r="F69" s="363">
        <v>0.25</v>
      </c>
      <c r="G69" s="390">
        <f>(12.0107*7)/146.186</f>
        <v>0.57512278877594292</v>
      </c>
      <c r="H69" s="361">
        <v>0.2</v>
      </c>
      <c r="I69" s="312">
        <f>D68*F69*H69</f>
        <v>408.56327207622417</v>
      </c>
      <c r="J69" s="361" t="s">
        <v>972</v>
      </c>
      <c r="K69" s="372">
        <v>0.9</v>
      </c>
      <c r="L69" s="364">
        <f>I69*(1-K69)</f>
        <v>40.856327207622407</v>
      </c>
    </row>
    <row r="70" spans="2:23" s="233" customFormat="1" x14ac:dyDescent="0.2">
      <c r="B70" s="109"/>
      <c r="C70" s="595"/>
      <c r="D70" s="561"/>
      <c r="E70" s="399" t="s">
        <v>1002</v>
      </c>
      <c r="F70" s="363">
        <v>0.55000000000000004</v>
      </c>
      <c r="G70" s="390">
        <v>0.50839999999999996</v>
      </c>
      <c r="H70" s="361">
        <v>0.2</v>
      </c>
      <c r="I70" s="312">
        <f>D68*F70*H70</f>
        <v>898.83919856769319</v>
      </c>
      <c r="J70" s="361" t="s">
        <v>972</v>
      </c>
      <c r="K70" s="372">
        <v>0.9</v>
      </c>
      <c r="L70" s="364">
        <f>I70*(1-K70)</f>
        <v>89.883919856769296</v>
      </c>
      <c r="P70" s="234"/>
      <c r="Q70" s="234"/>
      <c r="U70" s="46"/>
      <c r="V70" s="46"/>
      <c r="W70" s="46"/>
    </row>
    <row r="71" spans="2:23" x14ac:dyDescent="0.2">
      <c r="C71" s="595"/>
      <c r="D71" s="561"/>
      <c r="E71" s="399" t="s">
        <v>433</v>
      </c>
      <c r="F71" s="363">
        <v>0.01</v>
      </c>
      <c r="G71" s="390">
        <v>0.77749999999999997</v>
      </c>
      <c r="H71" s="361">
        <v>0.2</v>
      </c>
      <c r="I71" s="312">
        <f>D68*F71*H71</f>
        <v>16.342530883048966</v>
      </c>
      <c r="J71" s="361" t="s">
        <v>972</v>
      </c>
      <c r="K71" s="372">
        <v>0.9</v>
      </c>
      <c r="L71" s="381">
        <f>I71*(1-K71)</f>
        <v>1.6342530883048962</v>
      </c>
    </row>
    <row r="72" spans="2:23" x14ac:dyDescent="0.2">
      <c r="C72" s="595"/>
      <c r="D72" s="554"/>
      <c r="E72" s="361" t="s">
        <v>864</v>
      </c>
      <c r="F72" s="363" t="s">
        <v>970</v>
      </c>
      <c r="G72" s="390" t="s">
        <v>970</v>
      </c>
      <c r="H72" s="362">
        <f>L72/IF(D72=0,IF(D71=0,IF(D70=0,IF(D69=0,IF(D68=0,IF(D67=0,IF(D66=0,IF(D65=0,"Error",D65),D66),D67),D68),D69),D70),D71),D72)</f>
        <v>0.32374763897594405</v>
      </c>
      <c r="I72" s="390" t="s">
        <v>970</v>
      </c>
      <c r="J72" s="363" t="s">
        <v>970</v>
      </c>
      <c r="K72" s="372" t="s">
        <v>970</v>
      </c>
      <c r="L72" s="364">
        <f>((I68*G68)+(I69*G69)+(G70*I70)+(G71+I71))*44.01/12.01</f>
        <v>2645.4278941392763</v>
      </c>
    </row>
    <row r="73" spans="2:23" ht="38.25" x14ac:dyDescent="0.2">
      <c r="C73" s="595" t="s">
        <v>755</v>
      </c>
      <c r="D73" s="560">
        <v>1860.405265491723</v>
      </c>
      <c r="E73" s="399" t="s">
        <v>1003</v>
      </c>
      <c r="F73" s="363">
        <v>0.25</v>
      </c>
      <c r="G73" s="390">
        <v>0.54530000000000001</v>
      </c>
      <c r="H73" s="361">
        <v>0.2</v>
      </c>
      <c r="I73" s="312">
        <f>D73*F73*H73</f>
        <v>93.020263274586156</v>
      </c>
      <c r="J73" s="361" t="s">
        <v>972</v>
      </c>
      <c r="K73" s="372">
        <v>0.9</v>
      </c>
      <c r="L73" s="364">
        <f>I73*(1-K73)</f>
        <v>9.3020263274586128</v>
      </c>
    </row>
    <row r="74" spans="2:23" x14ac:dyDescent="0.2">
      <c r="C74" s="595"/>
      <c r="D74" s="561"/>
      <c r="E74" s="399" t="s">
        <v>975</v>
      </c>
      <c r="F74" s="363">
        <v>0.6</v>
      </c>
      <c r="G74" s="390">
        <v>0.50839999999999996</v>
      </c>
      <c r="H74" s="361">
        <v>0.2</v>
      </c>
      <c r="I74" s="312">
        <f>D73*F74*H74</f>
        <v>223.24863185900676</v>
      </c>
      <c r="J74" s="361" t="s">
        <v>972</v>
      </c>
      <c r="K74" s="372">
        <v>0.9</v>
      </c>
      <c r="L74" s="364">
        <f>I74*(1-K74)</f>
        <v>22.324863185900671</v>
      </c>
    </row>
    <row r="75" spans="2:23" x14ac:dyDescent="0.2">
      <c r="C75" s="595"/>
      <c r="D75" s="554"/>
      <c r="E75" s="361" t="s">
        <v>864</v>
      </c>
      <c r="F75" s="363" t="s">
        <v>970</v>
      </c>
      <c r="G75" s="390" t="s">
        <v>970</v>
      </c>
      <c r="H75" s="362">
        <f>L75/IF(D75=0,IF(D74=0,IF(D73=0,IF(D72=0,IF(D71=0,IF(D70=0,IF(D69=0,IF(D68=0,"Error",D68),D69),D70),D71),D72),D73),D74),D75)</f>
        <v>0.3234716677768526</v>
      </c>
      <c r="I75" s="390" t="s">
        <v>970</v>
      </c>
      <c r="J75" s="363" t="s">
        <v>970</v>
      </c>
      <c r="K75" s="372" t="s">
        <v>970</v>
      </c>
      <c r="L75" s="364">
        <f>((G73*I73)+(G74*I74))*44.01/12.01</f>
        <v>601.78839396944591</v>
      </c>
    </row>
    <row r="76" spans="2:23" s="233" customFormat="1" ht="38.25" x14ac:dyDescent="0.2">
      <c r="B76" s="109"/>
      <c r="C76" s="595" t="s">
        <v>756</v>
      </c>
      <c r="D76" s="560">
        <v>4188.0024621493458</v>
      </c>
      <c r="E76" s="399" t="s">
        <v>1003</v>
      </c>
      <c r="F76" s="363">
        <v>0.25</v>
      </c>
      <c r="G76" s="390">
        <v>0.54530000000000001</v>
      </c>
      <c r="H76" s="361">
        <v>0.2</v>
      </c>
      <c r="I76" s="312">
        <f>D76*F76*H76</f>
        <v>209.40012310746729</v>
      </c>
      <c r="J76" s="361" t="s">
        <v>972</v>
      </c>
      <c r="K76" s="372">
        <v>0.9</v>
      </c>
      <c r="L76" s="379">
        <f>I76*(1-K76)</f>
        <v>20.940012310746724</v>
      </c>
      <c r="P76" s="234"/>
      <c r="Q76" s="234"/>
      <c r="U76" s="46"/>
      <c r="V76" s="46"/>
      <c r="W76" s="46"/>
    </row>
    <row r="77" spans="2:23" x14ac:dyDescent="0.2">
      <c r="C77" s="595"/>
      <c r="D77" s="561"/>
      <c r="E77" s="399" t="s">
        <v>1004</v>
      </c>
      <c r="F77" s="363">
        <v>0.60000000000000009</v>
      </c>
      <c r="G77" s="390">
        <v>0.50839999999999996</v>
      </c>
      <c r="H77" s="361">
        <v>0.2</v>
      </c>
      <c r="I77" s="312">
        <f>D76*F77*H77</f>
        <v>502.56029545792154</v>
      </c>
      <c r="J77" s="361" t="s">
        <v>972</v>
      </c>
      <c r="K77" s="372">
        <v>0.9</v>
      </c>
      <c r="L77" s="379">
        <f>I77*(1-K77)</f>
        <v>50.256029545792146</v>
      </c>
    </row>
    <row r="78" spans="2:23" ht="15" thickBot="1" x14ac:dyDescent="0.25">
      <c r="C78" s="599"/>
      <c r="D78" s="565"/>
      <c r="E78" s="370" t="s">
        <v>864</v>
      </c>
      <c r="F78" s="369" t="s">
        <v>970</v>
      </c>
      <c r="G78" s="418" t="s">
        <v>970</v>
      </c>
      <c r="H78" s="419">
        <f>L78/IF(D78=0,IF(D77=0,IF(D76=0,IF(D75=0,IF(D74=0,IF(D73=0,IF(D72=0,IF(D71=0,"Error",D71),D72),D73),D74),D75),D76),D77),D78)</f>
        <v>0.3234716677768526</v>
      </c>
      <c r="I78" s="418" t="s">
        <v>970</v>
      </c>
      <c r="J78" s="369" t="s">
        <v>970</v>
      </c>
      <c r="K78" s="420" t="s">
        <v>970</v>
      </c>
      <c r="L78" s="371">
        <f>((G76*I76)+(G77*I77))*44.01/12.01</f>
        <v>1354.7001410850139</v>
      </c>
    </row>
    <row r="79" spans="2:23" x14ac:dyDescent="0.2">
      <c r="C79" s="235"/>
      <c r="D79" s="236"/>
      <c r="E79" s="234"/>
      <c r="F79" s="237"/>
      <c r="G79" s="238"/>
      <c r="H79" s="238"/>
      <c r="I79" s="238"/>
      <c r="J79" s="237"/>
      <c r="K79" s="239"/>
      <c r="L79" s="236"/>
    </row>
    <row r="80" spans="2:23" ht="12.75" customHeight="1" thickBot="1" x14ac:dyDescent="0.25">
      <c r="C80" s="287" t="s">
        <v>1908</v>
      </c>
      <c r="D80" s="227"/>
      <c r="E80" s="227"/>
    </row>
    <row r="81" spans="2:23" ht="25.5" customHeight="1" x14ac:dyDescent="0.2">
      <c r="C81" s="545" t="s">
        <v>803</v>
      </c>
      <c r="D81" s="545" t="s">
        <v>962</v>
      </c>
      <c r="E81" s="545" t="s">
        <v>868</v>
      </c>
      <c r="F81" s="547" t="s">
        <v>963</v>
      </c>
      <c r="G81" s="606" t="s">
        <v>964</v>
      </c>
      <c r="H81" s="545" t="s">
        <v>965</v>
      </c>
      <c r="I81" s="543" t="s">
        <v>966</v>
      </c>
      <c r="J81" s="545" t="s">
        <v>967</v>
      </c>
      <c r="K81" s="547" t="s">
        <v>968</v>
      </c>
      <c r="L81" s="549" t="s">
        <v>969</v>
      </c>
    </row>
    <row r="82" spans="2:23" ht="15" thickBot="1" x14ac:dyDescent="0.25">
      <c r="C82" s="546"/>
      <c r="D82" s="546"/>
      <c r="E82" s="546"/>
      <c r="F82" s="548"/>
      <c r="G82" s="607"/>
      <c r="H82" s="546"/>
      <c r="I82" s="544"/>
      <c r="J82" s="546"/>
      <c r="K82" s="548"/>
      <c r="L82" s="550"/>
    </row>
    <row r="83" spans="2:23" ht="14.25" customHeight="1" x14ac:dyDescent="0.2">
      <c r="C83" s="554" t="s">
        <v>757</v>
      </c>
      <c r="D83" s="553">
        <v>2087.0365129151241</v>
      </c>
      <c r="E83" s="433" t="s">
        <v>1005</v>
      </c>
      <c r="F83" s="358">
        <v>3.0499999999999999E-2</v>
      </c>
      <c r="G83" s="414">
        <v>0.64580000000000004</v>
      </c>
      <c r="H83" s="261">
        <v>0.2</v>
      </c>
      <c r="I83" s="262">
        <f>D83*F83*H83</f>
        <v>12.730922728782257</v>
      </c>
      <c r="J83" s="261" t="s">
        <v>972</v>
      </c>
      <c r="K83" s="415">
        <v>0.9</v>
      </c>
      <c r="L83" s="424">
        <f>I83*(1-K83)</f>
        <v>1.2730922728782255</v>
      </c>
    </row>
    <row r="84" spans="2:23" x14ac:dyDescent="0.2">
      <c r="C84" s="595"/>
      <c r="D84" s="561"/>
      <c r="E84" s="399" t="s">
        <v>978</v>
      </c>
      <c r="F84" s="363">
        <v>9.5000000000000001E-2</v>
      </c>
      <c r="G84" s="390">
        <v>0.77749999999999997</v>
      </c>
      <c r="H84" s="361">
        <v>0.2</v>
      </c>
      <c r="I84" s="312">
        <f>D83*F84*H84</f>
        <v>39.653693745387358</v>
      </c>
      <c r="J84" s="361" t="s">
        <v>972</v>
      </c>
      <c r="K84" s="372">
        <v>0.9</v>
      </c>
      <c r="L84" s="379">
        <f>I84*(1-K84)</f>
        <v>3.9653693745387351</v>
      </c>
    </row>
    <row r="85" spans="2:23" x14ac:dyDescent="0.2">
      <c r="C85" s="595"/>
      <c r="D85" s="561"/>
      <c r="E85" s="399" t="s">
        <v>317</v>
      </c>
      <c r="F85" s="363">
        <v>0.01</v>
      </c>
      <c r="G85" s="390">
        <v>0.77749999999999997</v>
      </c>
      <c r="H85" s="361">
        <v>0.2</v>
      </c>
      <c r="I85" s="312">
        <f>D83*F85*H85</f>
        <v>4.174073025830249</v>
      </c>
      <c r="J85" s="361" t="s">
        <v>972</v>
      </c>
      <c r="K85" s="372">
        <v>0.9</v>
      </c>
      <c r="L85" s="381">
        <f>I85*(1-K85)</f>
        <v>0.41740730258302483</v>
      </c>
    </row>
    <row r="86" spans="2:23" x14ac:dyDescent="0.2">
      <c r="C86" s="595"/>
      <c r="D86" s="561"/>
      <c r="E86" s="399" t="s">
        <v>975</v>
      </c>
      <c r="F86" s="363">
        <v>0.51500000000000001</v>
      </c>
      <c r="G86" s="390">
        <v>0.50839999999999996</v>
      </c>
      <c r="H86" s="361">
        <v>0.2</v>
      </c>
      <c r="I86" s="312">
        <f>D83*F86*H86</f>
        <v>214.96476083025777</v>
      </c>
      <c r="J86" s="361" t="s">
        <v>972</v>
      </c>
      <c r="K86" s="372">
        <v>0.9</v>
      </c>
      <c r="L86" s="364">
        <f>I86*(1-K86)</f>
        <v>21.496476083025772</v>
      </c>
    </row>
    <row r="87" spans="2:23" x14ac:dyDescent="0.2">
      <c r="C87" s="595"/>
      <c r="D87" s="561"/>
      <c r="E87" s="399" t="s">
        <v>977</v>
      </c>
      <c r="F87" s="363">
        <v>3.0000000000000002E-2</v>
      </c>
      <c r="G87" s="390">
        <v>0.64580000000000004</v>
      </c>
      <c r="H87" s="361">
        <v>0.2</v>
      </c>
      <c r="I87" s="312">
        <f>D83*F87*H87</f>
        <v>12.522219077490746</v>
      </c>
      <c r="J87" s="361" t="s">
        <v>972</v>
      </c>
      <c r="K87" s="372">
        <v>0.9</v>
      </c>
      <c r="L87" s="379">
        <f>I87*(1-K87)</f>
        <v>1.2522219077490744</v>
      </c>
    </row>
    <row r="88" spans="2:23" x14ac:dyDescent="0.2">
      <c r="C88" s="595"/>
      <c r="D88" s="554"/>
      <c r="E88" s="361" t="s">
        <v>864</v>
      </c>
      <c r="F88" s="363" t="s">
        <v>970</v>
      </c>
      <c r="G88" s="390" t="s">
        <v>970</v>
      </c>
      <c r="H88" s="362">
        <f>L88/IF(D88=0,IF(D87=0,IF(D86=0,IF(D85=0,IF(D84=0,IF(D83=0,IF(D82=0,IF(D81=0,"Error",D81),D82),D83),D84),D85),D86),D87),D88)</f>
        <v>0.28035535293921726</v>
      </c>
      <c r="I88" s="390" t="s">
        <v>970</v>
      </c>
      <c r="J88" s="363" t="s">
        <v>970</v>
      </c>
      <c r="K88" s="372" t="s">
        <v>970</v>
      </c>
      <c r="L88" s="364">
        <f>((G83*I83)+(G84*I84)+(G85*I85)+(G86*I86)+(G87*I87))*44.01/12.01</f>
        <v>585.11185817535295</v>
      </c>
    </row>
    <row r="89" spans="2:23" s="233" customFormat="1" ht="14.25" customHeight="1" x14ac:dyDescent="0.2">
      <c r="B89" s="109"/>
      <c r="C89" s="595" t="s">
        <v>758</v>
      </c>
      <c r="D89" s="560">
        <v>10504.992368705734</v>
      </c>
      <c r="E89" s="361" t="s">
        <v>977</v>
      </c>
      <c r="F89" s="363">
        <v>3.0000000000000002E-2</v>
      </c>
      <c r="G89" s="390">
        <v>0.64580000000000004</v>
      </c>
      <c r="H89" s="361">
        <v>0.2</v>
      </c>
      <c r="I89" s="312">
        <f>D89*F89*H89</f>
        <v>63.029954212234408</v>
      </c>
      <c r="J89" s="361" t="s">
        <v>972</v>
      </c>
      <c r="K89" s="372">
        <v>0.9</v>
      </c>
      <c r="L89" s="379">
        <f>I89*(1-K89)</f>
        <v>6.3029954212234394</v>
      </c>
      <c r="P89" s="234"/>
      <c r="Q89" s="234"/>
      <c r="U89" s="46"/>
      <c r="V89" s="46"/>
      <c r="W89" s="46"/>
    </row>
    <row r="90" spans="2:23" x14ac:dyDescent="0.2">
      <c r="C90" s="595"/>
      <c r="D90" s="561"/>
      <c r="E90" s="361" t="s">
        <v>978</v>
      </c>
      <c r="F90" s="363">
        <v>9.5000000000000001E-2</v>
      </c>
      <c r="G90" s="390">
        <v>0.77749999999999997</v>
      </c>
      <c r="H90" s="361">
        <v>0.2</v>
      </c>
      <c r="I90" s="312">
        <f>D89*F90*H90</f>
        <v>199.59485500540896</v>
      </c>
      <c r="J90" s="361" t="s">
        <v>972</v>
      </c>
      <c r="K90" s="372">
        <v>0.9</v>
      </c>
      <c r="L90" s="379">
        <f>I90*(1-K90)</f>
        <v>19.959485500540893</v>
      </c>
    </row>
    <row r="91" spans="2:23" x14ac:dyDescent="0.2">
      <c r="C91" s="595"/>
      <c r="D91" s="561"/>
      <c r="E91" s="361" t="s">
        <v>317</v>
      </c>
      <c r="F91" s="363">
        <v>0.01</v>
      </c>
      <c r="G91" s="390">
        <v>0.77749999999999997</v>
      </c>
      <c r="H91" s="361">
        <v>0.2</v>
      </c>
      <c r="I91" s="312">
        <f>D89*F91*H91</f>
        <v>21.009984737411472</v>
      </c>
      <c r="J91" s="361" t="s">
        <v>972</v>
      </c>
      <c r="K91" s="372">
        <v>0.9</v>
      </c>
      <c r="L91" s="381">
        <f>I91*(1-K91)</f>
        <v>2.1009984737411469</v>
      </c>
    </row>
    <row r="92" spans="2:23" x14ac:dyDescent="0.2">
      <c r="C92" s="595"/>
      <c r="D92" s="561"/>
      <c r="E92" s="361" t="s">
        <v>975</v>
      </c>
      <c r="F92" s="363">
        <v>0.56000000000000005</v>
      </c>
      <c r="G92" s="390">
        <v>0.50839999999999996</v>
      </c>
      <c r="H92" s="361">
        <v>0.2</v>
      </c>
      <c r="I92" s="312">
        <f>D89*F92*H92</f>
        <v>1176.5591452950425</v>
      </c>
      <c r="J92" s="361" t="s">
        <v>972</v>
      </c>
      <c r="K92" s="372">
        <v>0.9</v>
      </c>
      <c r="L92" s="364">
        <f>I92*(1-K92)</f>
        <v>117.65591452950423</v>
      </c>
    </row>
    <row r="93" spans="2:23" x14ac:dyDescent="0.2">
      <c r="C93" s="595"/>
      <c r="D93" s="561"/>
      <c r="E93" s="361" t="s">
        <v>979</v>
      </c>
      <c r="F93" s="363">
        <v>3.0000000000000002E-2</v>
      </c>
      <c r="G93" s="390">
        <v>0.64580000000000004</v>
      </c>
      <c r="H93" s="361">
        <v>0.2</v>
      </c>
      <c r="I93" s="312">
        <f>D89*F93*H93</f>
        <v>63.029954212234408</v>
      </c>
      <c r="J93" s="361" t="s">
        <v>972</v>
      </c>
      <c r="K93" s="372">
        <v>0.9</v>
      </c>
      <c r="L93" s="379">
        <f>I93*(1-K93)</f>
        <v>6.3029954212234394</v>
      </c>
    </row>
    <row r="94" spans="2:23" x14ac:dyDescent="0.2">
      <c r="C94" s="595"/>
      <c r="D94" s="554"/>
      <c r="E94" s="361" t="s">
        <v>864</v>
      </c>
      <c r="F94" s="363" t="s">
        <v>970</v>
      </c>
      <c r="G94" s="390" t="s">
        <v>970</v>
      </c>
      <c r="H94" s="362">
        <f>L94/IF(D94=0,IF(D93=0,IF(D92=0,IF(D91=0,IF(D90=0,IF(D89=0,IF(D88=0,IF(D87=0,"Error",D87),D88),D89),D90),D91),D92),D93),D94)</f>
        <v>0.29688574346378016</v>
      </c>
      <c r="I94" s="390" t="s">
        <v>970</v>
      </c>
      <c r="J94" s="363" t="s">
        <v>970</v>
      </c>
      <c r="K94" s="372" t="s">
        <v>970</v>
      </c>
      <c r="L94" s="364">
        <f>((I89*G89)+(I90*G90)+(I91*G91)+(I92*G92)+(I93*G93))*44.01/12.01</f>
        <v>3118.7824694645392</v>
      </c>
    </row>
    <row r="95" spans="2:23" x14ac:dyDescent="0.2">
      <c r="C95" s="312" t="s">
        <v>759</v>
      </c>
      <c r="D95" s="312">
        <v>94.67273159279992</v>
      </c>
      <c r="E95" s="361" t="s">
        <v>327</v>
      </c>
      <c r="F95" s="363">
        <v>0.995</v>
      </c>
      <c r="G95" s="390" t="s">
        <v>970</v>
      </c>
      <c r="H95" s="361">
        <v>1</v>
      </c>
      <c r="I95" s="312">
        <f>D95*F95*H95</f>
        <v>94.199367934835919</v>
      </c>
      <c r="J95" s="361" t="s">
        <v>32</v>
      </c>
      <c r="K95" s="372">
        <v>0</v>
      </c>
      <c r="L95" s="364">
        <f>I95*(1-K95)</f>
        <v>94.199367934835919</v>
      </c>
    </row>
    <row r="96" spans="2:23" ht="14.25" customHeight="1" x14ac:dyDescent="0.2">
      <c r="C96" s="595" t="s">
        <v>760</v>
      </c>
      <c r="D96" s="560">
        <v>31100.013047696542</v>
      </c>
      <c r="E96" s="361" t="s">
        <v>1006</v>
      </c>
      <c r="F96" s="363">
        <v>7.5000000000000011E-2</v>
      </c>
      <c r="G96" s="390">
        <v>0.62039999999999995</v>
      </c>
      <c r="H96" s="361">
        <v>0.2</v>
      </c>
      <c r="I96" s="312">
        <f>D96*F96*H96</f>
        <v>466.50019571544817</v>
      </c>
      <c r="J96" s="361" t="s">
        <v>972</v>
      </c>
      <c r="K96" s="372">
        <v>0.9</v>
      </c>
      <c r="L96" s="364">
        <f>I96*(1-K96)</f>
        <v>46.65001957154481</v>
      </c>
    </row>
    <row r="97" spans="1:12" x14ac:dyDescent="0.2">
      <c r="C97" s="595"/>
      <c r="D97" s="561"/>
      <c r="E97" s="361" t="s">
        <v>1007</v>
      </c>
      <c r="F97" s="363">
        <v>0.01</v>
      </c>
      <c r="G97" s="390">
        <v>0.54530000000000001</v>
      </c>
      <c r="H97" s="361">
        <v>0.2</v>
      </c>
      <c r="I97" s="312">
        <f>D96*F97*H97</f>
        <v>62.200026095393085</v>
      </c>
      <c r="J97" s="361" t="s">
        <v>972</v>
      </c>
      <c r="K97" s="372">
        <v>0.9</v>
      </c>
      <c r="L97" s="379">
        <f>I97*(1-K97)</f>
        <v>6.2200026095393071</v>
      </c>
    </row>
    <row r="98" spans="1:12" x14ac:dyDescent="0.2">
      <c r="C98" s="595"/>
      <c r="D98" s="561"/>
      <c r="E98" s="361" t="s">
        <v>975</v>
      </c>
      <c r="F98" s="363">
        <v>0.65500000000000003</v>
      </c>
      <c r="G98" s="390">
        <v>0.50839999999999996</v>
      </c>
      <c r="H98" s="361">
        <v>0.2</v>
      </c>
      <c r="I98" s="312">
        <f>D96*F98*H98</f>
        <v>4074.1017092482471</v>
      </c>
      <c r="J98" s="361" t="s">
        <v>972</v>
      </c>
      <c r="K98" s="372">
        <v>0.9</v>
      </c>
      <c r="L98" s="364">
        <f>I98*(1-K98)</f>
        <v>407.41017092482463</v>
      </c>
    </row>
    <row r="99" spans="1:12" x14ac:dyDescent="0.2">
      <c r="A99" s="287" t="s">
        <v>1008</v>
      </c>
      <c r="C99" s="595"/>
      <c r="D99" s="554"/>
      <c r="E99" s="361" t="s">
        <v>864</v>
      </c>
      <c r="F99" s="363" t="s">
        <v>970</v>
      </c>
      <c r="G99" s="390" t="s">
        <v>970</v>
      </c>
      <c r="H99" s="362">
        <f>L99/IF(D99=0,IF(D98=0,IF(D97=0,IF(D96=0,IF(D95=0,IF(D94=0,IF(D93=0,IF(D92=0,"Error",D92),D93),D94),D95),D96),D97),D98),D99)</f>
        <v>0.28215137135720231</v>
      </c>
      <c r="I99" s="390" t="s">
        <v>970</v>
      </c>
      <c r="J99" s="363" t="s">
        <v>970</v>
      </c>
      <c r="K99" s="372" t="s">
        <v>970</v>
      </c>
      <c r="L99" s="364">
        <f>((I97*G97)+(I96*G96)+(I98*G98))*44.01/12.01</f>
        <v>8774.9113306344643</v>
      </c>
    </row>
    <row r="100" spans="1:12" ht="14.25" customHeight="1" x14ac:dyDescent="0.2">
      <c r="C100" s="595" t="s">
        <v>761</v>
      </c>
      <c r="D100" s="560">
        <v>5670.6322133435424</v>
      </c>
      <c r="E100" s="361" t="s">
        <v>975</v>
      </c>
      <c r="F100" s="363">
        <v>0.8</v>
      </c>
      <c r="G100" s="390">
        <v>0.50839999999999996</v>
      </c>
      <c r="H100" s="361">
        <v>0.2</v>
      </c>
      <c r="I100" s="312">
        <f>D100*F100*H100</f>
        <v>907.30115413496685</v>
      </c>
      <c r="J100" s="361" t="s">
        <v>972</v>
      </c>
      <c r="K100" s="372">
        <v>0.9</v>
      </c>
      <c r="L100" s="364">
        <f>I100*(1-K100)</f>
        <v>90.730115413496662</v>
      </c>
    </row>
    <row r="101" spans="1:12" ht="15" thickBot="1" x14ac:dyDescent="0.25">
      <c r="A101" s="287" t="s">
        <v>1008</v>
      </c>
      <c r="C101" s="599"/>
      <c r="D101" s="565"/>
      <c r="E101" s="370" t="s">
        <v>864</v>
      </c>
      <c r="F101" s="369" t="s">
        <v>970</v>
      </c>
      <c r="G101" s="418" t="s">
        <v>970</v>
      </c>
      <c r="H101" s="419">
        <f>L101/IF(D101=0,IF(D100=0,IF(D99=0,IF(D98=0,IF(D97=0,IF(D96=0,IF(D95=0,IF(D94=0,"Error",D94),D95),D96),D97),D98),D99),D100),D101)</f>
        <v>0.29808071940049957</v>
      </c>
      <c r="I101" s="418" t="s">
        <v>970</v>
      </c>
      <c r="J101" s="369" t="s">
        <v>970</v>
      </c>
      <c r="K101" s="420" t="s">
        <v>970</v>
      </c>
      <c r="L101" s="371">
        <f>I100*G100*44.01/12.01</f>
        <v>1690.3061296090902</v>
      </c>
    </row>
    <row r="102" spans="1:12" x14ac:dyDescent="0.2">
      <c r="C102" s="235"/>
      <c r="D102" s="236"/>
      <c r="E102" s="234"/>
      <c r="F102" s="237"/>
      <c r="G102" s="238"/>
      <c r="H102" s="238"/>
      <c r="I102" s="238"/>
      <c r="J102" s="237"/>
      <c r="K102" s="239"/>
      <c r="L102" s="236"/>
    </row>
    <row r="103" spans="1:12" ht="12.75" customHeight="1" thickBot="1" x14ac:dyDescent="0.25">
      <c r="C103" s="287" t="s">
        <v>1908</v>
      </c>
      <c r="D103" s="227"/>
      <c r="E103" s="227"/>
    </row>
    <row r="104" spans="1:12" ht="25.5" customHeight="1" x14ac:dyDescent="0.2">
      <c r="C104" s="545" t="s">
        <v>803</v>
      </c>
      <c r="D104" s="545" t="s">
        <v>962</v>
      </c>
      <c r="E104" s="545" t="s">
        <v>868</v>
      </c>
      <c r="F104" s="547" t="s">
        <v>963</v>
      </c>
      <c r="G104" s="606" t="s">
        <v>964</v>
      </c>
      <c r="H104" s="545" t="s">
        <v>965</v>
      </c>
      <c r="I104" s="543" t="s">
        <v>966</v>
      </c>
      <c r="J104" s="545" t="s">
        <v>967</v>
      </c>
      <c r="K104" s="547" t="s">
        <v>968</v>
      </c>
      <c r="L104" s="549" t="s">
        <v>969</v>
      </c>
    </row>
    <row r="105" spans="1:12" ht="15" thickBot="1" x14ac:dyDescent="0.25">
      <c r="C105" s="546"/>
      <c r="D105" s="546"/>
      <c r="E105" s="546"/>
      <c r="F105" s="548"/>
      <c r="G105" s="607"/>
      <c r="H105" s="546"/>
      <c r="I105" s="544"/>
      <c r="J105" s="546"/>
      <c r="K105" s="548"/>
      <c r="L105" s="550"/>
    </row>
    <row r="106" spans="1:12" ht="25.5" customHeight="1" x14ac:dyDescent="0.2">
      <c r="C106" s="554" t="s">
        <v>762</v>
      </c>
      <c r="D106" s="553">
        <v>3199.1719790172015</v>
      </c>
      <c r="E106" s="433" t="s">
        <v>1009</v>
      </c>
      <c r="F106" s="358">
        <v>0.25</v>
      </c>
      <c r="G106" s="414">
        <v>0.53310000000000002</v>
      </c>
      <c r="H106" s="434">
        <v>0.2</v>
      </c>
      <c r="I106" s="262">
        <f>D106*F106*H106</f>
        <v>159.95859895086008</v>
      </c>
      <c r="J106" s="358" t="s">
        <v>972</v>
      </c>
      <c r="K106" s="415">
        <v>0.9</v>
      </c>
      <c r="L106" s="435">
        <f>I106*(1-K106)</f>
        <v>15.995859895086005</v>
      </c>
    </row>
    <row r="107" spans="1:12" ht="38.25" x14ac:dyDescent="0.2">
      <c r="C107" s="595"/>
      <c r="D107" s="561"/>
      <c r="E107" s="399" t="s">
        <v>1003</v>
      </c>
      <c r="F107" s="363">
        <v>0.45</v>
      </c>
      <c r="G107" s="390">
        <v>0.54530000000000001</v>
      </c>
      <c r="H107" s="313">
        <v>0.2</v>
      </c>
      <c r="I107" s="312">
        <f>D106*F107*H107</f>
        <v>287.92547811154816</v>
      </c>
      <c r="J107" s="363" t="s">
        <v>972</v>
      </c>
      <c r="K107" s="372">
        <v>0.9</v>
      </c>
      <c r="L107" s="381">
        <f>I107*(1-K107)</f>
        <v>28.792547811154808</v>
      </c>
    </row>
    <row r="108" spans="1:12" x14ac:dyDescent="0.2">
      <c r="C108" s="595"/>
      <c r="D108" s="561"/>
      <c r="E108" s="399" t="s">
        <v>975</v>
      </c>
      <c r="F108" s="363">
        <v>0.25</v>
      </c>
      <c r="G108" s="390">
        <v>0.50839999999999996</v>
      </c>
      <c r="H108" s="313">
        <v>0.2</v>
      </c>
      <c r="I108" s="312">
        <f>D106*F108*H108</f>
        <v>159.95859895086008</v>
      </c>
      <c r="J108" s="363" t="s">
        <v>972</v>
      </c>
      <c r="K108" s="372">
        <v>0.9</v>
      </c>
      <c r="L108" s="381">
        <f>I108*(1-K108)</f>
        <v>15.995859895086005</v>
      </c>
    </row>
    <row r="109" spans="1:12" x14ac:dyDescent="0.2">
      <c r="C109" s="595"/>
      <c r="D109" s="554"/>
      <c r="E109" s="399" t="s">
        <v>864</v>
      </c>
      <c r="F109" s="363" t="s">
        <v>970</v>
      </c>
      <c r="G109" s="390" t="s">
        <v>970</v>
      </c>
      <c r="H109" s="362">
        <f>L109/IF(D109=0,IF(D108=0,IF(D107=0,IF(D106=0,IF(D105=0,IF(D104=0,IF(D103=0,IF(D102=0,"Error",D102),D103),D104),D105),D106),D107),D108),D109)</f>
        <v>0.37066607160699427</v>
      </c>
      <c r="I109" s="390" t="s">
        <v>970</v>
      </c>
      <c r="J109" s="363" t="s">
        <v>970</v>
      </c>
      <c r="K109" s="363" t="s">
        <v>970</v>
      </c>
      <c r="L109" s="364">
        <f>((G106*I106)+(G107*I107)+(G108*I108))*44.01/12.01</f>
        <v>1185.8245098574796</v>
      </c>
    </row>
    <row r="110" spans="1:12" ht="14.45" customHeight="1" x14ac:dyDescent="0.2">
      <c r="C110" s="595" t="s">
        <v>763</v>
      </c>
      <c r="D110" s="560">
        <v>2086.2224502026993</v>
      </c>
      <c r="E110" s="399" t="s">
        <v>975</v>
      </c>
      <c r="F110" s="363">
        <v>0.4</v>
      </c>
      <c r="G110" s="390">
        <v>0.50839999999999996</v>
      </c>
      <c r="H110" s="361">
        <v>0.2</v>
      </c>
      <c r="I110" s="312">
        <f>D110*F110*H110</f>
        <v>166.89779601621595</v>
      </c>
      <c r="J110" s="361" t="s">
        <v>972</v>
      </c>
      <c r="K110" s="372">
        <v>0.9</v>
      </c>
      <c r="L110" s="364">
        <f t="shared" ref="L110:L115" si="1">I110*(1-K110)</f>
        <v>16.689779601621591</v>
      </c>
    </row>
    <row r="111" spans="1:12" x14ac:dyDescent="0.2">
      <c r="C111" s="595"/>
      <c r="D111" s="561"/>
      <c r="E111" s="399" t="s">
        <v>978</v>
      </c>
      <c r="F111" s="363">
        <v>0.2</v>
      </c>
      <c r="G111" s="390">
        <v>0.77749999999999997</v>
      </c>
      <c r="H111" s="361">
        <v>0.2</v>
      </c>
      <c r="I111" s="312">
        <f>D110*F111*H111</f>
        <v>83.448898008107975</v>
      </c>
      <c r="J111" s="361" t="s">
        <v>972</v>
      </c>
      <c r="K111" s="372">
        <v>0.9</v>
      </c>
      <c r="L111" s="379">
        <f t="shared" si="1"/>
        <v>8.3448898008107957</v>
      </c>
    </row>
    <row r="112" spans="1:12" x14ac:dyDescent="0.2">
      <c r="C112" s="595"/>
      <c r="D112" s="561"/>
      <c r="E112" s="399" t="s">
        <v>977</v>
      </c>
      <c r="F112" s="363">
        <v>0.01</v>
      </c>
      <c r="G112" s="390">
        <v>0.64580000000000004</v>
      </c>
      <c r="H112" s="361">
        <v>0.2</v>
      </c>
      <c r="I112" s="312">
        <f>D110*F112*H112</f>
        <v>4.1724449004053987</v>
      </c>
      <c r="J112" s="361" t="s">
        <v>972</v>
      </c>
      <c r="K112" s="372">
        <v>0.9</v>
      </c>
      <c r="L112" s="379">
        <f t="shared" si="1"/>
        <v>0.41724449004053976</v>
      </c>
    </row>
    <row r="113" spans="3:12" x14ac:dyDescent="0.2">
      <c r="C113" s="595"/>
      <c r="D113" s="561"/>
      <c r="E113" s="399" t="s">
        <v>1005</v>
      </c>
      <c r="F113" s="363">
        <v>0.01</v>
      </c>
      <c r="G113" s="390">
        <v>0.64580000000000004</v>
      </c>
      <c r="H113" s="361">
        <v>0.2</v>
      </c>
      <c r="I113" s="312">
        <f>D110*F113*H113</f>
        <v>4.1724449004053987</v>
      </c>
      <c r="J113" s="361" t="s">
        <v>972</v>
      </c>
      <c r="K113" s="372">
        <v>0.9</v>
      </c>
      <c r="L113" s="379">
        <f t="shared" si="1"/>
        <v>0.41724449004053976</v>
      </c>
    </row>
    <row r="114" spans="3:12" ht="25.5" x14ac:dyDescent="0.2">
      <c r="C114" s="595"/>
      <c r="D114" s="561"/>
      <c r="E114" s="399" t="s">
        <v>1010</v>
      </c>
      <c r="F114" s="363">
        <v>0.01</v>
      </c>
      <c r="G114" s="390">
        <v>1</v>
      </c>
      <c r="H114" s="313">
        <v>0.2</v>
      </c>
      <c r="I114" s="312">
        <f>D110*F114*H114</f>
        <v>4.1724449004053987</v>
      </c>
      <c r="J114" s="361" t="s">
        <v>972</v>
      </c>
      <c r="K114" s="372">
        <v>0.9</v>
      </c>
      <c r="L114" s="379">
        <f t="shared" si="1"/>
        <v>0.41724449004053976</v>
      </c>
    </row>
    <row r="115" spans="3:12" ht="25.5" x14ac:dyDescent="0.2">
      <c r="C115" s="595"/>
      <c r="D115" s="561"/>
      <c r="E115" s="399" t="s">
        <v>1011</v>
      </c>
      <c r="F115" s="372">
        <v>1E-3</v>
      </c>
      <c r="G115" s="390">
        <v>1</v>
      </c>
      <c r="H115" s="313">
        <v>0.2</v>
      </c>
      <c r="I115" s="327">
        <f>D110*F115*H115</f>
        <v>0.41724449004053987</v>
      </c>
      <c r="J115" s="361" t="s">
        <v>972</v>
      </c>
      <c r="K115" s="372">
        <v>0.9</v>
      </c>
      <c r="L115" s="379">
        <f t="shared" si="1"/>
        <v>4.1724449004053976E-2</v>
      </c>
    </row>
    <row r="116" spans="3:12" x14ac:dyDescent="0.2">
      <c r="C116" s="595"/>
      <c r="D116" s="554"/>
      <c r="E116" s="399" t="s">
        <v>864</v>
      </c>
      <c r="F116" s="363" t="s">
        <v>970</v>
      </c>
      <c r="G116" s="390" t="s">
        <v>970</v>
      </c>
      <c r="H116" s="390" t="s">
        <v>970</v>
      </c>
      <c r="I116" s="390" t="s">
        <v>970</v>
      </c>
      <c r="J116" s="363" t="s">
        <v>970</v>
      </c>
      <c r="K116" s="363" t="s">
        <v>970</v>
      </c>
      <c r="L116" s="364">
        <f>((G110*I110)+(G111*I111)+(G112*I112)*(G113*I113)+(G114*I114)+(G115*I115))*44.01/12.01</f>
        <v>592.11122589862202</v>
      </c>
    </row>
    <row r="117" spans="3:12" ht="14.45" customHeight="1" x14ac:dyDescent="0.2">
      <c r="C117" s="595" t="s">
        <v>764</v>
      </c>
      <c r="D117" s="560">
        <v>219.64124546668276</v>
      </c>
      <c r="E117" s="399" t="s">
        <v>975</v>
      </c>
      <c r="F117" s="363">
        <v>0.4</v>
      </c>
      <c r="G117" s="390">
        <v>0.50839999999999996</v>
      </c>
      <c r="H117" s="361">
        <v>0.2</v>
      </c>
      <c r="I117" s="312">
        <f>D117*F117*H117</f>
        <v>17.571299637334622</v>
      </c>
      <c r="J117" s="361" t="s">
        <v>972</v>
      </c>
      <c r="K117" s="372">
        <v>0.9</v>
      </c>
      <c r="L117" s="364">
        <f>I117*(1-K117)</f>
        <v>1.7571299637334619</v>
      </c>
    </row>
    <row r="118" spans="3:12" x14ac:dyDescent="0.2">
      <c r="C118" s="595"/>
      <c r="D118" s="561"/>
      <c r="E118" s="399" t="s">
        <v>978</v>
      </c>
      <c r="F118" s="363">
        <v>0.2</v>
      </c>
      <c r="G118" s="390">
        <v>0.77749999999999997</v>
      </c>
      <c r="H118" s="361">
        <v>0.2</v>
      </c>
      <c r="I118" s="312">
        <f>D117*F118*H118</f>
        <v>8.7856498186673111</v>
      </c>
      <c r="J118" s="361" t="s">
        <v>972</v>
      </c>
      <c r="K118" s="372">
        <v>0.9</v>
      </c>
      <c r="L118" s="379">
        <f>I118*(1-K118)</f>
        <v>0.87856498186673093</v>
      </c>
    </row>
    <row r="119" spans="3:12" x14ac:dyDescent="0.2">
      <c r="C119" s="595"/>
      <c r="D119" s="561"/>
      <c r="E119" s="399" t="s">
        <v>977</v>
      </c>
      <c r="F119" s="363">
        <v>0.01</v>
      </c>
      <c r="G119" s="390">
        <v>0.64580000000000004</v>
      </c>
      <c r="H119" s="361">
        <v>0.2</v>
      </c>
      <c r="I119" s="312">
        <f>D117*F119*H119</f>
        <v>0.43928249093336558</v>
      </c>
      <c r="J119" s="361" t="s">
        <v>972</v>
      </c>
      <c r="K119" s="372">
        <v>0.9</v>
      </c>
      <c r="L119" s="379">
        <f>I119*(1-K119)</f>
        <v>4.3928249093336549E-2</v>
      </c>
    </row>
    <row r="120" spans="3:12" x14ac:dyDescent="0.2">
      <c r="C120" s="595"/>
      <c r="D120" s="561"/>
      <c r="E120" s="399" t="s">
        <v>1005</v>
      </c>
      <c r="F120" s="363">
        <v>0.01</v>
      </c>
      <c r="G120" s="390">
        <v>0.64580000000000004</v>
      </c>
      <c r="H120" s="361">
        <v>0.2</v>
      </c>
      <c r="I120" s="312">
        <f>D117*F120*H120</f>
        <v>0.43928249093336558</v>
      </c>
      <c r="J120" s="361" t="s">
        <v>972</v>
      </c>
      <c r="K120" s="372">
        <v>0.9</v>
      </c>
      <c r="L120" s="379">
        <f>I120*(1-K120)</f>
        <v>4.3928249093336549E-2</v>
      </c>
    </row>
    <row r="121" spans="3:12" ht="25.5" x14ac:dyDescent="0.2">
      <c r="C121" s="595"/>
      <c r="D121" s="561"/>
      <c r="E121" s="399" t="s">
        <v>1010</v>
      </c>
      <c r="F121" s="363">
        <v>0.01</v>
      </c>
      <c r="G121" s="390">
        <v>1</v>
      </c>
      <c r="H121" s="313">
        <v>0.2</v>
      </c>
      <c r="I121" s="319">
        <f>D117*F121*H121</f>
        <v>0.43928249093336558</v>
      </c>
      <c r="J121" s="361" t="s">
        <v>972</v>
      </c>
      <c r="K121" s="372">
        <v>0.9</v>
      </c>
      <c r="L121" s="379">
        <f t="shared" ref="L121:L122" si="2">I121*(1-K121)</f>
        <v>4.3928249093336549E-2</v>
      </c>
    </row>
    <row r="122" spans="3:12" ht="25.5" x14ac:dyDescent="0.2">
      <c r="C122" s="595"/>
      <c r="D122" s="561"/>
      <c r="E122" s="399" t="s">
        <v>1011</v>
      </c>
      <c r="F122" s="372">
        <v>1E-3</v>
      </c>
      <c r="G122" s="390">
        <v>1</v>
      </c>
      <c r="H122" s="313">
        <v>0.2</v>
      </c>
      <c r="I122" s="413">
        <f>D117*F122*H122</f>
        <v>4.3928249093336556E-2</v>
      </c>
      <c r="J122" s="361" t="s">
        <v>972</v>
      </c>
      <c r="K122" s="372">
        <v>0.9</v>
      </c>
      <c r="L122" s="379">
        <f t="shared" si="2"/>
        <v>4.3928249093336544E-3</v>
      </c>
    </row>
    <row r="123" spans="3:12" x14ac:dyDescent="0.2">
      <c r="C123" s="595"/>
      <c r="D123" s="554"/>
      <c r="E123" s="399" t="s">
        <v>864</v>
      </c>
      <c r="F123" s="363" t="s">
        <v>970</v>
      </c>
      <c r="G123" s="390" t="s">
        <v>970</v>
      </c>
      <c r="H123" s="390" t="s">
        <v>970</v>
      </c>
      <c r="I123" s="390" t="s">
        <v>970</v>
      </c>
      <c r="J123" s="363" t="s">
        <v>970</v>
      </c>
      <c r="K123" s="363" t="s">
        <v>970</v>
      </c>
      <c r="L123" s="364">
        <f>((G117*I117)+(G118*I118)+(G119*I119)*(G120*I120)+(G121*I121)+(G122*I122))*44.01/12.01</f>
        <v>59.83227823584059</v>
      </c>
    </row>
    <row r="124" spans="3:12" ht="14.45" customHeight="1" x14ac:dyDescent="0.2">
      <c r="C124" s="595" t="s">
        <v>765</v>
      </c>
      <c r="D124" s="560">
        <v>1176.5034688000001</v>
      </c>
      <c r="E124" s="399" t="s">
        <v>975</v>
      </c>
      <c r="F124" s="363">
        <v>0.85000000000000009</v>
      </c>
      <c r="G124" s="390">
        <v>0.50839999999999996</v>
      </c>
      <c r="H124" s="361">
        <v>0.2</v>
      </c>
      <c r="I124" s="312">
        <f>D124*F124*H124</f>
        <v>200.00558969600004</v>
      </c>
      <c r="J124" s="361" t="s">
        <v>972</v>
      </c>
      <c r="K124" s="372">
        <v>0.9</v>
      </c>
      <c r="L124" s="364">
        <f>I124*(1-K124)</f>
        <v>20.0005589696</v>
      </c>
    </row>
    <row r="125" spans="3:12" ht="25.5" x14ac:dyDescent="0.2">
      <c r="C125" s="595"/>
      <c r="D125" s="561"/>
      <c r="E125" s="399" t="s">
        <v>1010</v>
      </c>
      <c r="F125" s="372">
        <v>5.4999999999999997E-3</v>
      </c>
      <c r="G125" s="390">
        <v>1</v>
      </c>
      <c r="H125" s="361">
        <v>0.2</v>
      </c>
      <c r="I125" s="312">
        <f>D124*F125*H125</f>
        <v>1.2941538156800001</v>
      </c>
      <c r="J125" s="361" t="s">
        <v>972</v>
      </c>
      <c r="K125" s="372">
        <v>0.9</v>
      </c>
      <c r="L125" s="364">
        <f>I125*(1-K125)</f>
        <v>0.12941538156799998</v>
      </c>
    </row>
    <row r="126" spans="3:12" x14ac:dyDescent="0.2">
      <c r="C126" s="595"/>
      <c r="D126" s="554"/>
      <c r="E126" s="399" t="s">
        <v>864</v>
      </c>
      <c r="F126" s="363" t="s">
        <v>970</v>
      </c>
      <c r="G126" s="390" t="s">
        <v>970</v>
      </c>
      <c r="H126" s="390" t="s">
        <v>970</v>
      </c>
      <c r="I126" s="390" t="s">
        <v>970</v>
      </c>
      <c r="J126" s="363" t="s">
        <v>970</v>
      </c>
      <c r="K126" s="363" t="s">
        <v>970</v>
      </c>
      <c r="L126" s="364">
        <f>((G124*I124)+(G125*I125))*44.01/12.01</f>
        <v>377.35367003411608</v>
      </c>
    </row>
    <row r="127" spans="3:12" ht="38.25" customHeight="1" x14ac:dyDescent="0.2">
      <c r="C127" s="595" t="s">
        <v>766</v>
      </c>
      <c r="D127" s="560">
        <v>2983.4202871181569</v>
      </c>
      <c r="E127" s="360" t="s">
        <v>1003</v>
      </c>
      <c r="F127" s="363">
        <v>0.5</v>
      </c>
      <c r="G127" s="390">
        <v>0.53310000000000002</v>
      </c>
      <c r="H127" s="313">
        <v>0.2</v>
      </c>
      <c r="I127" s="312">
        <f>D127*F127*H127</f>
        <v>298.34202871181571</v>
      </c>
      <c r="J127" s="363" t="s">
        <v>972</v>
      </c>
      <c r="K127" s="372">
        <v>0.9</v>
      </c>
      <c r="L127" s="381">
        <f>I127*(1-K127)</f>
        <v>29.834202871181564</v>
      </c>
    </row>
    <row r="128" spans="3:12" ht="26.45" customHeight="1" x14ac:dyDescent="0.2">
      <c r="C128" s="595"/>
      <c r="D128" s="561"/>
      <c r="E128" s="360" t="s">
        <v>1009</v>
      </c>
      <c r="F128" s="363">
        <v>0.25</v>
      </c>
      <c r="G128" s="390">
        <v>0.54530000000000001</v>
      </c>
      <c r="H128" s="313">
        <v>0.2</v>
      </c>
      <c r="I128" s="312">
        <f>D127*F128*H128</f>
        <v>149.17101435590786</v>
      </c>
      <c r="J128" s="363" t="s">
        <v>972</v>
      </c>
      <c r="K128" s="372">
        <v>0.9</v>
      </c>
      <c r="L128" s="381">
        <f>I128*(1-K128)</f>
        <v>14.917101435590782</v>
      </c>
    </row>
    <row r="129" spans="3:12" ht="26.45" customHeight="1" x14ac:dyDescent="0.2">
      <c r="C129" s="595"/>
      <c r="D129" s="561"/>
      <c r="E129" s="360" t="s">
        <v>975</v>
      </c>
      <c r="F129" s="372">
        <v>5.5E-2</v>
      </c>
      <c r="G129" s="390">
        <v>0.50839999999999996</v>
      </c>
      <c r="H129" s="361">
        <v>0.2</v>
      </c>
      <c r="I129" s="312">
        <f>D127*F129*H129</f>
        <v>32.817623158299732</v>
      </c>
      <c r="J129" s="361" t="s">
        <v>972</v>
      </c>
      <c r="K129" s="372">
        <v>0.9</v>
      </c>
      <c r="L129" s="364">
        <f>I129*(1-K129)</f>
        <v>3.2817623158299725</v>
      </c>
    </row>
    <row r="130" spans="3:12" x14ac:dyDescent="0.2">
      <c r="C130" s="595"/>
      <c r="D130" s="554"/>
      <c r="E130" s="399" t="s">
        <v>864</v>
      </c>
      <c r="F130" s="363" t="s">
        <v>970</v>
      </c>
      <c r="G130" s="390" t="s">
        <v>970</v>
      </c>
      <c r="H130" s="390" t="s">
        <v>970</v>
      </c>
      <c r="I130" s="390" t="s">
        <v>970</v>
      </c>
      <c r="J130" s="363" t="s">
        <v>970</v>
      </c>
      <c r="K130" s="363" t="s">
        <v>970</v>
      </c>
      <c r="L130" s="364">
        <f>((G127*I127)+(G128*I128)+(G129*I129))*44.01/12.01</f>
        <v>942.03228831093986</v>
      </c>
    </row>
    <row r="131" spans="3:12" ht="38.25" customHeight="1" x14ac:dyDescent="0.2">
      <c r="C131" s="595" t="s">
        <v>767</v>
      </c>
      <c r="D131" s="560">
        <v>0</v>
      </c>
      <c r="E131" s="399" t="s">
        <v>1003</v>
      </c>
      <c r="F131" s="363">
        <v>1</v>
      </c>
      <c r="G131" s="390">
        <v>0.53310000000000002</v>
      </c>
      <c r="H131" s="313">
        <v>0.2</v>
      </c>
      <c r="I131" s="312">
        <f>D131*F131*H131</f>
        <v>0</v>
      </c>
      <c r="J131" s="363" t="s">
        <v>972</v>
      </c>
      <c r="K131" s="372">
        <v>0.9</v>
      </c>
      <c r="L131" s="381">
        <f>I131*(1-K131)</f>
        <v>0</v>
      </c>
    </row>
    <row r="132" spans="3:12" ht="25.5" x14ac:dyDescent="0.2">
      <c r="C132" s="595"/>
      <c r="D132" s="561"/>
      <c r="E132" s="399" t="s">
        <v>1012</v>
      </c>
      <c r="F132" s="363">
        <v>0.05</v>
      </c>
      <c r="G132" s="390">
        <v>1</v>
      </c>
      <c r="H132" s="313">
        <v>0.2</v>
      </c>
      <c r="I132" s="312">
        <f>D131*F132*H132</f>
        <v>0</v>
      </c>
      <c r="J132" s="363" t="s">
        <v>972</v>
      </c>
      <c r="K132" s="372">
        <v>0.9</v>
      </c>
      <c r="L132" s="381">
        <f>I132*(1-K132)</f>
        <v>0</v>
      </c>
    </row>
    <row r="133" spans="3:12" ht="25.5" x14ac:dyDescent="0.2">
      <c r="C133" s="595"/>
      <c r="D133" s="561"/>
      <c r="E133" s="399" t="s">
        <v>1013</v>
      </c>
      <c r="F133" s="363">
        <v>0.01</v>
      </c>
      <c r="G133" s="390">
        <v>1</v>
      </c>
      <c r="H133" s="313">
        <v>0.2</v>
      </c>
      <c r="I133" s="312">
        <f>D131*F133*H133</f>
        <v>0</v>
      </c>
      <c r="J133" s="363" t="s">
        <v>972</v>
      </c>
      <c r="K133" s="372">
        <v>0.9</v>
      </c>
      <c r="L133" s="381">
        <f>I133*(1-K133)</f>
        <v>0</v>
      </c>
    </row>
    <row r="134" spans="3:12" x14ac:dyDescent="0.2">
      <c r="C134" s="595"/>
      <c r="D134" s="554"/>
      <c r="E134" s="399" t="s">
        <v>864</v>
      </c>
      <c r="F134" s="363" t="s">
        <v>970</v>
      </c>
      <c r="G134" s="390" t="s">
        <v>970</v>
      </c>
      <c r="H134" s="390" t="s">
        <v>970</v>
      </c>
      <c r="I134" s="390" t="s">
        <v>970</v>
      </c>
      <c r="J134" s="363" t="s">
        <v>970</v>
      </c>
      <c r="K134" s="363" t="s">
        <v>970</v>
      </c>
      <c r="L134" s="364">
        <f>((G131*I131)+(G132*I132)+(G133*I133))*44.01/12.01</f>
        <v>0</v>
      </c>
    </row>
    <row r="135" spans="3:12" ht="14.25" customHeight="1" x14ac:dyDescent="0.2">
      <c r="C135" s="595" t="s">
        <v>768</v>
      </c>
      <c r="D135" s="560">
        <v>547.52</v>
      </c>
      <c r="E135" s="399" t="s">
        <v>975</v>
      </c>
      <c r="F135" s="363">
        <v>0.33</v>
      </c>
      <c r="G135" s="390">
        <v>0.50839999999999996</v>
      </c>
      <c r="H135" s="361">
        <v>0.2</v>
      </c>
      <c r="I135" s="315">
        <f>D135*F135*H135</f>
        <v>36.136320000000005</v>
      </c>
      <c r="J135" s="361" t="s">
        <v>972</v>
      </c>
      <c r="K135" s="372">
        <v>0.9</v>
      </c>
      <c r="L135" s="364">
        <f t="shared" ref="L135:L142" si="3">I135*(1-K135)</f>
        <v>3.6136319999999995</v>
      </c>
    </row>
    <row r="136" spans="3:12" x14ac:dyDescent="0.2">
      <c r="C136" s="595"/>
      <c r="D136" s="561"/>
      <c r="E136" s="399" t="s">
        <v>978</v>
      </c>
      <c r="F136" s="363">
        <v>0.15000000000000002</v>
      </c>
      <c r="G136" s="390">
        <v>0.77749999999999997</v>
      </c>
      <c r="H136" s="361">
        <v>0.2</v>
      </c>
      <c r="I136" s="315">
        <f>D135*F136*H136</f>
        <v>16.425600000000003</v>
      </c>
      <c r="J136" s="361" t="s">
        <v>972</v>
      </c>
      <c r="K136" s="372">
        <v>0.9</v>
      </c>
      <c r="L136" s="379">
        <f t="shared" si="3"/>
        <v>1.64256</v>
      </c>
    </row>
    <row r="137" spans="3:12" ht="25.5" x14ac:dyDescent="0.2">
      <c r="C137" s="595"/>
      <c r="D137" s="561"/>
      <c r="E137" s="399" t="s">
        <v>1014</v>
      </c>
      <c r="F137" s="363">
        <v>5.5E-2</v>
      </c>
      <c r="G137" s="390">
        <v>1</v>
      </c>
      <c r="H137" s="313">
        <v>0.2</v>
      </c>
      <c r="I137" s="315">
        <f>D135*F137*H137</f>
        <v>6.0227199999999996</v>
      </c>
      <c r="J137" s="361" t="s">
        <v>972</v>
      </c>
      <c r="K137" s="372">
        <v>0.9</v>
      </c>
      <c r="L137" s="379">
        <f t="shared" si="3"/>
        <v>0.60227199999999981</v>
      </c>
    </row>
    <row r="138" spans="3:12" x14ac:dyDescent="0.2">
      <c r="C138" s="595"/>
      <c r="D138" s="561"/>
      <c r="E138" s="399" t="s">
        <v>1005</v>
      </c>
      <c r="F138" s="363">
        <v>5.5E-2</v>
      </c>
      <c r="G138" s="390">
        <v>0.64580000000000004</v>
      </c>
      <c r="H138" s="361">
        <v>0.2</v>
      </c>
      <c r="I138" s="315">
        <f>D135*F138*H138</f>
        <v>6.0227199999999996</v>
      </c>
      <c r="J138" s="361" t="s">
        <v>972</v>
      </c>
      <c r="K138" s="372">
        <v>0.9</v>
      </c>
      <c r="L138" s="379">
        <f t="shared" si="3"/>
        <v>0.60227199999999981</v>
      </c>
    </row>
    <row r="139" spans="3:12" x14ac:dyDescent="0.2">
      <c r="C139" s="595"/>
      <c r="D139" s="561"/>
      <c r="E139" s="399" t="s">
        <v>977</v>
      </c>
      <c r="F139" s="363">
        <v>5.5E-2</v>
      </c>
      <c r="G139" s="390">
        <v>0.64580000000000004</v>
      </c>
      <c r="H139" s="361">
        <v>0.2</v>
      </c>
      <c r="I139" s="315">
        <f>D135*F139*H139</f>
        <v>6.0227199999999996</v>
      </c>
      <c r="J139" s="361" t="s">
        <v>972</v>
      </c>
      <c r="K139" s="372">
        <v>0.9</v>
      </c>
      <c r="L139" s="379">
        <f t="shared" si="3"/>
        <v>0.60227199999999981</v>
      </c>
    </row>
    <row r="140" spans="3:12" x14ac:dyDescent="0.2">
      <c r="C140" s="595"/>
      <c r="D140" s="561"/>
      <c r="E140" s="399" t="s">
        <v>317</v>
      </c>
      <c r="F140" s="363">
        <v>0.01</v>
      </c>
      <c r="G140" s="390">
        <v>0.77749999999999997</v>
      </c>
      <c r="H140" s="361">
        <v>0.2</v>
      </c>
      <c r="I140" s="315">
        <f>D135*F140*H140</f>
        <v>1.09504</v>
      </c>
      <c r="J140" s="361" t="s">
        <v>972</v>
      </c>
      <c r="K140" s="372">
        <v>0.9</v>
      </c>
      <c r="L140" s="381">
        <f>I140*(1-K140)</f>
        <v>0.10950399999999998</v>
      </c>
    </row>
    <row r="141" spans="3:12" ht="25.5" x14ac:dyDescent="0.2">
      <c r="C141" s="595"/>
      <c r="D141" s="561"/>
      <c r="E141" s="399" t="s">
        <v>1015</v>
      </c>
      <c r="F141" s="363">
        <v>0.01</v>
      </c>
      <c r="G141" s="390">
        <v>1</v>
      </c>
      <c r="H141" s="313">
        <v>0.2</v>
      </c>
      <c r="I141" s="315">
        <f>D135*F141*H141</f>
        <v>1.09504</v>
      </c>
      <c r="J141" s="361" t="s">
        <v>972</v>
      </c>
      <c r="K141" s="372">
        <v>0.9</v>
      </c>
      <c r="L141" s="381">
        <f t="shared" si="3"/>
        <v>0.10950399999999998</v>
      </c>
    </row>
    <row r="142" spans="3:12" x14ac:dyDescent="0.2">
      <c r="C142" s="595"/>
      <c r="D142" s="561"/>
      <c r="E142" s="399" t="s">
        <v>321</v>
      </c>
      <c r="F142" s="363">
        <v>2E-3</v>
      </c>
      <c r="G142" s="390">
        <v>0.54530000000000001</v>
      </c>
      <c r="H142" s="361">
        <v>0.2</v>
      </c>
      <c r="I142" s="319">
        <f>D135*F142*H142</f>
        <v>0.21900800000000001</v>
      </c>
      <c r="J142" s="361" t="s">
        <v>972</v>
      </c>
      <c r="K142" s="372">
        <v>0.9</v>
      </c>
      <c r="L142" s="379">
        <f t="shared" si="3"/>
        <v>2.1900799999999995E-2</v>
      </c>
    </row>
    <row r="143" spans="3:12" x14ac:dyDescent="0.2">
      <c r="C143" s="595"/>
      <c r="D143" s="554"/>
      <c r="E143" s="399" t="s">
        <v>864</v>
      </c>
      <c r="F143" s="363" t="s">
        <v>970</v>
      </c>
      <c r="G143" s="390" t="s">
        <v>970</v>
      </c>
      <c r="H143" s="390" t="s">
        <v>970</v>
      </c>
      <c r="I143" s="390" t="s">
        <v>970</v>
      </c>
      <c r="J143" s="363" t="s">
        <v>970</v>
      </c>
      <c r="K143" s="363" t="s">
        <v>970</v>
      </c>
      <c r="L143" s="364">
        <f>(((G135*I135)+(G136*I136)+(G137*I137)+(G138*I138)+(G139*I139)*G140*I140)+(G141*I141)+(G142*I142))*44.01/12.01</f>
        <v>167.02816935279384</v>
      </c>
    </row>
    <row r="144" spans="3:12" ht="38.25" customHeight="1" x14ac:dyDescent="0.2">
      <c r="C144" s="595" t="s">
        <v>769</v>
      </c>
      <c r="D144" s="560">
        <v>1140.4833333333333</v>
      </c>
      <c r="E144" s="399" t="s">
        <v>1003</v>
      </c>
      <c r="F144" s="363">
        <v>1</v>
      </c>
      <c r="G144" s="390">
        <v>0.53310000000000002</v>
      </c>
      <c r="H144" s="313">
        <v>0.2</v>
      </c>
      <c r="I144" s="312">
        <f>D144*F144*H144</f>
        <v>228.09666666666669</v>
      </c>
      <c r="J144" s="363" t="s">
        <v>972</v>
      </c>
      <c r="K144" s="372">
        <v>0.9</v>
      </c>
      <c r="L144" s="381">
        <f>I144*(1-K144)</f>
        <v>22.809666666666665</v>
      </c>
    </row>
    <row r="145" spans="1:18" ht="26.45" customHeight="1" thickBot="1" x14ac:dyDescent="0.25">
      <c r="C145" s="599"/>
      <c r="D145" s="565"/>
      <c r="E145" s="436" t="s">
        <v>864</v>
      </c>
      <c r="F145" s="369" t="s">
        <v>970</v>
      </c>
      <c r="G145" s="418" t="s">
        <v>970</v>
      </c>
      <c r="H145" s="369" t="s">
        <v>970</v>
      </c>
      <c r="I145" s="418" t="s">
        <v>970</v>
      </c>
      <c r="J145" s="369" t="s">
        <v>970</v>
      </c>
      <c r="K145" s="418" t="s">
        <v>970</v>
      </c>
      <c r="L145" s="371">
        <f>(G144*I144)*44.01/12.01</f>
        <v>445.59056081015819</v>
      </c>
    </row>
    <row r="146" spans="1:18" ht="12.75" x14ac:dyDescent="0.2">
      <c r="A146" s="241"/>
      <c r="B146" s="242"/>
      <c r="C146" s="243" t="s">
        <v>856</v>
      </c>
      <c r="D146" s="243"/>
      <c r="E146" s="244"/>
      <c r="F146" s="245"/>
      <c r="G146" s="245"/>
      <c r="H146" s="245"/>
      <c r="I146" s="246"/>
      <c r="J146" s="246"/>
      <c r="K146" s="244"/>
      <c r="L146" s="245"/>
      <c r="M146" s="246"/>
      <c r="P146" s="46"/>
      <c r="R146" s="230"/>
    </row>
    <row r="147" spans="1:18" ht="30.75" customHeight="1" x14ac:dyDescent="0.2">
      <c r="A147" s="241"/>
      <c r="B147" s="242">
        <v>1</v>
      </c>
      <c r="C147" s="608" t="s">
        <v>1016</v>
      </c>
      <c r="D147" s="608"/>
      <c r="E147" s="608"/>
      <c r="F147" s="608"/>
      <c r="G147" s="608"/>
      <c r="H147" s="608"/>
      <c r="I147" s="608"/>
      <c r="J147" s="608"/>
      <c r="K147" s="608"/>
      <c r="L147" s="608"/>
      <c r="M147" s="241"/>
      <c r="P147" s="46"/>
      <c r="R147" s="230"/>
    </row>
    <row r="148" spans="1:18" ht="12.75" x14ac:dyDescent="0.2">
      <c r="A148" s="241"/>
      <c r="B148" s="242">
        <v>2</v>
      </c>
      <c r="C148" s="241" t="s">
        <v>1901</v>
      </c>
      <c r="D148" s="241"/>
      <c r="E148" s="241"/>
      <c r="F148" s="241"/>
      <c r="G148" s="241"/>
      <c r="H148" s="241"/>
      <c r="I148" s="241"/>
      <c r="J148" s="241"/>
      <c r="K148" s="241"/>
      <c r="L148" s="241"/>
      <c r="M148" s="241"/>
      <c r="P148" s="46"/>
      <c r="R148" s="230"/>
    </row>
    <row r="149" spans="1:18" ht="12.75" x14ac:dyDescent="0.2">
      <c r="A149" s="241"/>
      <c r="B149" s="242">
        <v>3</v>
      </c>
      <c r="C149" s="241" t="s">
        <v>858</v>
      </c>
      <c r="D149" s="241"/>
      <c r="E149" s="241"/>
      <c r="F149" s="241"/>
      <c r="G149" s="241"/>
      <c r="H149" s="241"/>
      <c r="I149" s="241"/>
      <c r="J149" s="241"/>
      <c r="K149" s="241"/>
      <c r="L149" s="241"/>
      <c r="M149" s="241"/>
      <c r="P149" s="46"/>
      <c r="R149" s="230"/>
    </row>
    <row r="150" spans="1:18" x14ac:dyDescent="0.2">
      <c r="C150" s="248" t="s">
        <v>1017</v>
      </c>
      <c r="D150" s="248"/>
      <c r="E150" s="249"/>
      <c r="F150" s="249"/>
      <c r="G150" s="250"/>
      <c r="H150" s="251"/>
      <c r="I150" s="249"/>
      <c r="J150" s="252"/>
      <c r="K150" s="249"/>
      <c r="L150" s="250"/>
      <c r="M150" s="252"/>
      <c r="N150" s="270"/>
    </row>
    <row r="151" spans="1:18" x14ac:dyDescent="0.2">
      <c r="C151" s="248" t="s">
        <v>1018</v>
      </c>
      <c r="D151" s="248"/>
      <c r="E151" s="249"/>
      <c r="F151" s="249"/>
      <c r="G151" s="250"/>
      <c r="H151" s="251"/>
      <c r="I151" s="249"/>
      <c r="J151" s="252"/>
      <c r="K151" s="249"/>
      <c r="L151" s="250"/>
      <c r="M151" s="252"/>
    </row>
    <row r="152" spans="1:18" ht="12.75" x14ac:dyDescent="0.2">
      <c r="A152" s="241"/>
      <c r="B152" s="242">
        <v>4</v>
      </c>
      <c r="C152" s="241" t="s">
        <v>1019</v>
      </c>
      <c r="D152" s="241"/>
      <c r="E152" s="241"/>
      <c r="F152" s="241"/>
      <c r="G152" s="241"/>
      <c r="H152" s="241"/>
      <c r="I152" s="241"/>
      <c r="J152" s="241"/>
      <c r="K152" s="241"/>
      <c r="L152" s="241"/>
      <c r="M152" s="241"/>
      <c r="P152" s="46"/>
      <c r="R152" s="230"/>
    </row>
    <row r="153" spans="1:18" x14ac:dyDescent="0.25">
      <c r="A153" s="241"/>
      <c r="B153" s="242">
        <v>5</v>
      </c>
      <c r="C153" s="241" t="s">
        <v>1020</v>
      </c>
      <c r="D153" s="241"/>
      <c r="E153" s="241"/>
      <c r="F153" s="241"/>
      <c r="G153" s="241"/>
      <c r="H153" s="241"/>
      <c r="I153" s="241"/>
      <c r="J153" s="241"/>
      <c r="K153" s="241"/>
      <c r="L153" s="241"/>
      <c r="M153" s="241"/>
      <c r="P153" s="46"/>
      <c r="R153" s="230"/>
    </row>
    <row r="154" spans="1:18" ht="14.25" customHeight="1" x14ac:dyDescent="0.2">
      <c r="A154" s="241"/>
      <c r="B154" s="242">
        <v>6</v>
      </c>
      <c r="C154" s="241" t="s">
        <v>1021</v>
      </c>
      <c r="D154" s="241"/>
      <c r="E154" s="241"/>
      <c r="F154" s="241"/>
      <c r="G154" s="241"/>
      <c r="H154" s="241"/>
      <c r="I154" s="241"/>
      <c r="J154" s="241"/>
      <c r="K154" s="241"/>
      <c r="L154" s="241"/>
      <c r="M154" s="241"/>
      <c r="P154" s="46"/>
      <c r="R154" s="230"/>
    </row>
    <row r="155" spans="1:18" ht="14.25" customHeight="1" x14ac:dyDescent="0.25">
      <c r="A155" s="241"/>
      <c r="B155" s="242"/>
      <c r="C155" s="241" t="s">
        <v>1022</v>
      </c>
      <c r="D155" s="241"/>
      <c r="E155" s="241"/>
      <c r="F155" s="241"/>
      <c r="G155" s="241"/>
      <c r="H155" s="241"/>
      <c r="I155" s="241"/>
      <c r="J155" s="241"/>
      <c r="K155" s="241"/>
      <c r="L155" s="241"/>
      <c r="M155" s="241"/>
      <c r="P155" s="46"/>
      <c r="R155" s="230"/>
    </row>
    <row r="156" spans="1:18" ht="14.25" customHeight="1" x14ac:dyDescent="0.2">
      <c r="A156" s="241"/>
      <c r="B156" s="242">
        <v>7</v>
      </c>
      <c r="C156" s="241" t="s">
        <v>860</v>
      </c>
      <c r="D156" s="241"/>
      <c r="E156" s="241"/>
      <c r="F156" s="241"/>
      <c r="G156" s="241"/>
      <c r="H156" s="241"/>
      <c r="I156" s="241"/>
      <c r="J156" s="241"/>
      <c r="K156" s="241"/>
      <c r="L156" s="241"/>
      <c r="M156" s="241"/>
      <c r="P156" s="46"/>
      <c r="R156" s="230"/>
    </row>
    <row r="157" spans="1:18" ht="14.25" customHeight="1" x14ac:dyDescent="0.2">
      <c r="A157" s="241"/>
      <c r="B157" s="242">
        <v>8</v>
      </c>
      <c r="C157" s="241" t="s">
        <v>861</v>
      </c>
      <c r="D157" s="241"/>
      <c r="E157" s="241"/>
      <c r="F157" s="241"/>
      <c r="G157" s="241"/>
      <c r="H157" s="241"/>
      <c r="I157" s="241"/>
      <c r="J157" s="241"/>
      <c r="K157" s="241"/>
      <c r="L157" s="241"/>
      <c r="M157" s="241"/>
      <c r="P157" s="46"/>
      <c r="R157" s="230"/>
    </row>
    <row r="158" spans="1:18" ht="14.25" customHeight="1" x14ac:dyDescent="0.2">
      <c r="A158" s="241"/>
      <c r="B158" s="242">
        <v>9</v>
      </c>
      <c r="C158" s="241" t="s">
        <v>862</v>
      </c>
      <c r="D158" s="241"/>
      <c r="E158" s="241"/>
      <c r="F158" s="241"/>
      <c r="G158" s="241"/>
      <c r="H158" s="241"/>
      <c r="I158" s="241"/>
      <c r="J158" s="241"/>
      <c r="K158" s="241"/>
      <c r="L158" s="241"/>
      <c r="M158" s="241"/>
      <c r="P158" s="46"/>
      <c r="R158" s="230"/>
    </row>
    <row r="159" spans="1:18" x14ac:dyDescent="0.2">
      <c r="B159" s="109">
        <v>10</v>
      </c>
      <c r="C159" s="241" t="s">
        <v>863</v>
      </c>
      <c r="D159" s="241"/>
      <c r="E159" s="241"/>
      <c r="F159" s="241"/>
      <c r="G159" s="241"/>
      <c r="H159" s="241"/>
      <c r="I159" s="241"/>
      <c r="J159" s="241"/>
      <c r="K159" s="241"/>
      <c r="L159" s="241"/>
      <c r="M159" s="241"/>
    </row>
    <row r="160" spans="1:18" x14ac:dyDescent="0.2">
      <c r="E160" s="253"/>
    </row>
    <row r="161" spans="2:22" s="233" customFormat="1" x14ac:dyDescent="0.2">
      <c r="B161" s="109"/>
      <c r="C161" s="255"/>
      <c r="D161" s="256"/>
      <c r="E161" s="234"/>
      <c r="F161" s="237"/>
      <c r="G161" s="238"/>
      <c r="H161" s="234"/>
      <c r="I161" s="236"/>
      <c r="J161" s="234"/>
      <c r="K161" s="237"/>
      <c r="L161" s="236"/>
      <c r="P161" s="234"/>
      <c r="Q161" s="234"/>
      <c r="U161" s="46"/>
      <c r="V161" s="46"/>
    </row>
    <row r="162" spans="2:22" s="233" customFormat="1" x14ac:dyDescent="0.2">
      <c r="B162" s="109"/>
      <c r="C162" s="257"/>
      <c r="D162" s="256"/>
      <c r="E162" s="234"/>
      <c r="F162" s="237"/>
      <c r="G162" s="238"/>
      <c r="H162" s="234"/>
      <c r="I162" s="236"/>
      <c r="J162" s="234"/>
      <c r="K162" s="237"/>
      <c r="L162" s="236"/>
      <c r="P162" s="234"/>
      <c r="Q162" s="234"/>
      <c r="U162" s="46"/>
      <c r="V162" s="46"/>
    </row>
    <row r="163" spans="2:22" s="233" customFormat="1" x14ac:dyDescent="0.2">
      <c r="B163" s="109"/>
      <c r="C163" s="255"/>
      <c r="D163" s="256"/>
      <c r="E163" s="234"/>
      <c r="F163" s="237"/>
      <c r="G163" s="238"/>
      <c r="H163" s="234"/>
      <c r="I163" s="236"/>
      <c r="J163" s="234"/>
      <c r="K163" s="237"/>
      <c r="L163" s="236"/>
      <c r="P163" s="234"/>
      <c r="Q163" s="234"/>
      <c r="U163" s="46"/>
      <c r="V163" s="46"/>
    </row>
    <row r="164" spans="2:22" s="233" customFormat="1" x14ac:dyDescent="0.2">
      <c r="B164" s="109"/>
      <c r="C164" s="255"/>
      <c r="D164" s="256"/>
      <c r="E164" s="234"/>
      <c r="F164" s="237"/>
      <c r="G164" s="238"/>
      <c r="H164" s="234"/>
      <c r="I164" s="236"/>
      <c r="J164" s="234"/>
      <c r="K164" s="237"/>
      <c r="L164" s="236"/>
      <c r="P164" s="234"/>
      <c r="Q164" s="234"/>
      <c r="U164" s="46"/>
      <c r="V164" s="46"/>
    </row>
    <row r="165" spans="2:22" x14ac:dyDescent="0.2">
      <c r="C165" s="47"/>
      <c r="G165" s="258"/>
    </row>
    <row r="166" spans="2:22" x14ac:dyDescent="0.2">
      <c r="C166" s="259"/>
    </row>
  </sheetData>
  <mergeCells count="107">
    <mergeCell ref="C144:C145"/>
    <mergeCell ref="D144:D145"/>
    <mergeCell ref="C147:L147"/>
    <mergeCell ref="C127:C130"/>
    <mergeCell ref="D127:D130"/>
    <mergeCell ref="C131:C134"/>
    <mergeCell ref="D131:D134"/>
    <mergeCell ref="C135:C143"/>
    <mergeCell ref="D135:D143"/>
    <mergeCell ref="C110:C116"/>
    <mergeCell ref="D110:D116"/>
    <mergeCell ref="C117:C123"/>
    <mergeCell ref="D117:D123"/>
    <mergeCell ref="C124:C126"/>
    <mergeCell ref="D124:D126"/>
    <mergeCell ref="I104:I105"/>
    <mergeCell ref="J104:J105"/>
    <mergeCell ref="K104:K105"/>
    <mergeCell ref="L104:L105"/>
    <mergeCell ref="C106:C109"/>
    <mergeCell ref="D106:D109"/>
    <mergeCell ref="C104:C105"/>
    <mergeCell ref="D104:D105"/>
    <mergeCell ref="E104:E105"/>
    <mergeCell ref="F104:F105"/>
    <mergeCell ref="G104:G105"/>
    <mergeCell ref="H104:H105"/>
    <mergeCell ref="C89:C94"/>
    <mergeCell ref="D89:D94"/>
    <mergeCell ref="C96:C99"/>
    <mergeCell ref="D96:D99"/>
    <mergeCell ref="C100:C101"/>
    <mergeCell ref="D100:D101"/>
    <mergeCell ref="I81:I82"/>
    <mergeCell ref="J81:J82"/>
    <mergeCell ref="K81:K82"/>
    <mergeCell ref="L81:L82"/>
    <mergeCell ref="C83:C88"/>
    <mergeCell ref="D83:D88"/>
    <mergeCell ref="C81:C82"/>
    <mergeCell ref="D81:D82"/>
    <mergeCell ref="E81:E82"/>
    <mergeCell ref="F81:F82"/>
    <mergeCell ref="G81:G82"/>
    <mergeCell ref="H81:H82"/>
    <mergeCell ref="C68:C72"/>
    <mergeCell ref="D68:D72"/>
    <mergeCell ref="C73:C75"/>
    <mergeCell ref="D73:D75"/>
    <mergeCell ref="C76:C78"/>
    <mergeCell ref="D76:D78"/>
    <mergeCell ref="I62:I63"/>
    <mergeCell ref="J62:J63"/>
    <mergeCell ref="K62:K63"/>
    <mergeCell ref="L62:L63"/>
    <mergeCell ref="C65:C66"/>
    <mergeCell ref="D65:D66"/>
    <mergeCell ref="C62:C63"/>
    <mergeCell ref="D62:D63"/>
    <mergeCell ref="E62:E63"/>
    <mergeCell ref="F62:F63"/>
    <mergeCell ref="G62:G63"/>
    <mergeCell ref="H62:H63"/>
    <mergeCell ref="C37:C40"/>
    <mergeCell ref="D37:D40"/>
    <mergeCell ref="C41:C46"/>
    <mergeCell ref="D41:D46"/>
    <mergeCell ref="C56:C59"/>
    <mergeCell ref="D56:D59"/>
    <mergeCell ref="C25:C29"/>
    <mergeCell ref="D25:D29"/>
    <mergeCell ref="C30:C32"/>
    <mergeCell ref="D30:D32"/>
    <mergeCell ref="C33:C36"/>
    <mergeCell ref="D33:D36"/>
    <mergeCell ref="C48:C55"/>
    <mergeCell ref="D48:D55"/>
    <mergeCell ref="G22:G23"/>
    <mergeCell ref="H22:H23"/>
    <mergeCell ref="I22:I23"/>
    <mergeCell ref="J22:J23"/>
    <mergeCell ref="K22:K23"/>
    <mergeCell ref="L22:L23"/>
    <mergeCell ref="C15:C19"/>
    <mergeCell ref="D15:D19"/>
    <mergeCell ref="C22:C23"/>
    <mergeCell ref="D22:D23"/>
    <mergeCell ref="E22:E23"/>
    <mergeCell ref="F22:F23"/>
    <mergeCell ref="C7:C8"/>
    <mergeCell ref="D7:D8"/>
    <mergeCell ref="C9:C11"/>
    <mergeCell ref="D9:D11"/>
    <mergeCell ref="C12:C14"/>
    <mergeCell ref="D12:D14"/>
    <mergeCell ref="I2:I3"/>
    <mergeCell ref="J2:J3"/>
    <mergeCell ref="K2:K3"/>
    <mergeCell ref="L2:L3"/>
    <mergeCell ref="C5:C6"/>
    <mergeCell ref="D5:D6"/>
    <mergeCell ref="C2:C3"/>
    <mergeCell ref="D2:D3"/>
    <mergeCell ref="E2:E3"/>
    <mergeCell ref="F2:F3"/>
    <mergeCell ref="G2:G3"/>
    <mergeCell ref="H2:H3"/>
  </mergeCells>
  <pageMargins left="0.75" right="0.75" top="1" bottom="1" header="0.5" footer="0.5"/>
  <pageSetup scale="76"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rowBreaks count="6" manualBreakCount="6">
    <brk id="20" max="13" man="1"/>
    <brk id="60" max="13" man="1"/>
    <brk id="79" max="13" man="1"/>
    <brk id="102" max="13" man="1"/>
    <brk id="132" max="13" man="1"/>
    <brk id="15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9ED0-0158-4912-84E6-65B30C9B5904}">
  <sheetPr>
    <pageSetUpPr fitToPage="1"/>
  </sheetPr>
  <dimension ref="A1:U194"/>
  <sheetViews>
    <sheetView topLeftCell="A159" workbookViewId="0">
      <selection activeCell="C189" sqref="C189"/>
    </sheetView>
  </sheetViews>
  <sheetFormatPr defaultColWidth="9.140625" defaultRowHeight="14.25" x14ac:dyDescent="0.2"/>
  <cols>
    <col min="1" max="1" width="2.140625" style="119" customWidth="1"/>
    <col min="2" max="2" width="48.85546875" style="106" customWidth="1"/>
    <col min="3" max="3" width="38.7109375" style="106" customWidth="1"/>
    <col min="4" max="4" width="20.7109375" style="106" customWidth="1"/>
    <col min="5" max="5" width="9.140625" style="106"/>
    <col min="6" max="6" width="11.5703125" style="106" bestFit="1" customWidth="1"/>
    <col min="7" max="7" width="9.140625" style="106"/>
    <col min="8" max="9" width="10" style="106" customWidth="1"/>
    <col min="10" max="11" width="9.140625" style="196"/>
    <col min="12" max="16" width="9.140625" style="106"/>
    <col min="17" max="17" width="9.42578125" style="106" bestFit="1" customWidth="1"/>
    <col min="18" max="16384" width="9.140625" style="106"/>
  </cols>
  <sheetData>
    <row r="1" spans="1:21" ht="12.75" x14ac:dyDescent="0.2">
      <c r="A1" s="338"/>
    </row>
    <row r="2" spans="1:21" ht="15" thickBot="1" x14ac:dyDescent="0.25">
      <c r="B2" s="306" t="s">
        <v>1909</v>
      </c>
    </row>
    <row r="3" spans="1:21" x14ac:dyDescent="0.2">
      <c r="B3" s="186" t="s">
        <v>1024</v>
      </c>
      <c r="C3" s="187">
        <f>12.565*3*8760</f>
        <v>330208.2</v>
      </c>
      <c r="D3" s="188"/>
    </row>
    <row r="4" spans="1:21" x14ac:dyDescent="0.2">
      <c r="B4" s="216"/>
      <c r="C4" s="189"/>
      <c r="D4" s="217"/>
      <c r="J4" s="220"/>
      <c r="L4" s="190"/>
      <c r="N4" s="190"/>
      <c r="Q4" s="190"/>
      <c r="T4" s="191"/>
      <c r="U4" s="57"/>
    </row>
    <row r="5" spans="1:21" ht="27" x14ac:dyDescent="0.2">
      <c r="B5" s="192" t="s">
        <v>1025</v>
      </c>
      <c r="C5" s="193" t="s">
        <v>1026</v>
      </c>
      <c r="D5" s="194" t="s">
        <v>1027</v>
      </c>
      <c r="J5" s="220"/>
      <c r="L5" s="190"/>
      <c r="N5" s="190"/>
      <c r="Q5" s="190"/>
      <c r="T5" s="191"/>
      <c r="U5" s="57"/>
    </row>
    <row r="6" spans="1:21" x14ac:dyDescent="0.2">
      <c r="B6" s="195" t="s">
        <v>822</v>
      </c>
      <c r="C6" s="196">
        <v>0.04</v>
      </c>
      <c r="D6" s="197">
        <f>$C$3*C6</f>
        <v>13208.328000000001</v>
      </c>
      <c r="J6" s="220"/>
      <c r="L6" s="190"/>
      <c r="N6" s="190"/>
      <c r="Q6" s="190"/>
      <c r="T6" s="191"/>
      <c r="U6" s="57"/>
    </row>
    <row r="7" spans="1:21" x14ac:dyDescent="0.25">
      <c r="B7" s="195" t="s">
        <v>1028</v>
      </c>
      <c r="C7" s="196">
        <v>0.04</v>
      </c>
      <c r="D7" s="197">
        <f t="shared" ref="D7:D14" si="0">$C$3*C7</f>
        <v>13208.328000000001</v>
      </c>
      <c r="J7" s="220"/>
      <c r="L7" s="190"/>
      <c r="N7" s="190"/>
      <c r="Q7" s="190"/>
      <c r="T7" s="191"/>
      <c r="U7" s="57"/>
    </row>
    <row r="8" spans="1:21" x14ac:dyDescent="0.25">
      <c r="B8" s="195" t="s">
        <v>1029</v>
      </c>
      <c r="C8" s="198">
        <v>7.4999999999999997E-3</v>
      </c>
      <c r="D8" s="197">
        <f>$C$3*C8</f>
        <v>2476.5614999999998</v>
      </c>
      <c r="J8" s="220"/>
      <c r="L8" s="190"/>
      <c r="N8" s="190"/>
      <c r="Q8" s="190"/>
      <c r="T8" s="191"/>
      <c r="U8" s="57"/>
    </row>
    <row r="9" spans="1:21" x14ac:dyDescent="0.25">
      <c r="B9" s="195" t="s">
        <v>866</v>
      </c>
      <c r="C9" s="196">
        <v>1.6999999999999999E-3</v>
      </c>
      <c r="D9" s="197">
        <f t="shared" si="0"/>
        <v>561.35393999999997</v>
      </c>
      <c r="J9" s="220"/>
      <c r="L9" s="190"/>
      <c r="N9" s="190"/>
      <c r="Q9" s="190"/>
      <c r="T9" s="191"/>
      <c r="U9" s="57"/>
    </row>
    <row r="10" spans="1:21" x14ac:dyDescent="0.2">
      <c r="B10" s="195" t="s">
        <v>1030</v>
      </c>
      <c r="C10" s="196">
        <v>1.6E-2</v>
      </c>
      <c r="D10" s="197">
        <f t="shared" si="0"/>
        <v>5283.3312000000005</v>
      </c>
    </row>
    <row r="11" spans="1:21" x14ac:dyDescent="0.2">
      <c r="B11" s="195" t="s">
        <v>1031</v>
      </c>
      <c r="C11" s="199">
        <v>1.8401152046783626E-3</v>
      </c>
      <c r="D11" s="197">
        <f t="shared" si="0"/>
        <v>607.62112952947371</v>
      </c>
    </row>
    <row r="12" spans="1:21" x14ac:dyDescent="0.25">
      <c r="B12" s="195" t="s">
        <v>864</v>
      </c>
      <c r="C12" s="200">
        <v>117</v>
      </c>
      <c r="D12" s="197">
        <f>$C$3*C12</f>
        <v>38634359.399999999</v>
      </c>
    </row>
    <row r="13" spans="1:21" x14ac:dyDescent="0.25">
      <c r="B13" s="195" t="s">
        <v>1032</v>
      </c>
      <c r="C13" s="196">
        <v>2.2049999999999999E-3</v>
      </c>
      <c r="D13" s="197">
        <f>$C$3*C13</f>
        <v>728.10908099999995</v>
      </c>
    </row>
    <row r="14" spans="1:21" ht="15" thickBot="1" x14ac:dyDescent="0.3">
      <c r="B14" s="201" t="s">
        <v>865</v>
      </c>
      <c r="C14" s="202">
        <v>2.2049999999999999E-4</v>
      </c>
      <c r="D14" s="203">
        <f t="shared" si="0"/>
        <v>72.810908100000006</v>
      </c>
    </row>
    <row r="15" spans="1:21" x14ac:dyDescent="0.2">
      <c r="A15" s="119">
        <v>1</v>
      </c>
      <c r="B15" s="108" t="s">
        <v>1033</v>
      </c>
      <c r="C15" s="196"/>
      <c r="D15" s="204"/>
    </row>
    <row r="16" spans="1:21" x14ac:dyDescent="0.2">
      <c r="A16" s="119">
        <v>2</v>
      </c>
      <c r="B16" s="108" t="s">
        <v>1034</v>
      </c>
      <c r="C16" s="196"/>
      <c r="D16" s="204"/>
    </row>
    <row r="17" spans="1:4" x14ac:dyDescent="0.2">
      <c r="A17" s="119">
        <v>3</v>
      </c>
      <c r="B17" s="108" t="s">
        <v>1035</v>
      </c>
      <c r="C17" s="196"/>
      <c r="D17" s="204"/>
    </row>
    <row r="18" spans="1:4" x14ac:dyDescent="0.2">
      <c r="B18" s="205" t="s">
        <v>822</v>
      </c>
      <c r="C18" s="196" t="s">
        <v>1036</v>
      </c>
      <c r="D18" s="204"/>
    </row>
    <row r="19" spans="1:4" x14ac:dyDescent="0.25">
      <c r="B19" s="205" t="s">
        <v>1037</v>
      </c>
      <c r="C19" s="196" t="s">
        <v>1036</v>
      </c>
      <c r="D19" s="204"/>
    </row>
    <row r="20" spans="1:4" x14ac:dyDescent="0.25">
      <c r="B20" s="205" t="s">
        <v>1038</v>
      </c>
      <c r="C20" s="196" t="s">
        <v>1036</v>
      </c>
      <c r="D20" s="204"/>
    </row>
    <row r="21" spans="1:4" x14ac:dyDescent="0.2">
      <c r="B21" s="206" t="s">
        <v>1039</v>
      </c>
      <c r="C21" s="196" t="s">
        <v>1036</v>
      </c>
      <c r="D21" s="204"/>
    </row>
    <row r="22" spans="1:4" x14ac:dyDescent="0.2">
      <c r="B22" s="205" t="s">
        <v>1030</v>
      </c>
      <c r="C22" s="196" t="s">
        <v>1036</v>
      </c>
      <c r="D22" s="204"/>
    </row>
    <row r="23" spans="1:4" x14ac:dyDescent="0.2">
      <c r="B23" s="205" t="s">
        <v>1031</v>
      </c>
      <c r="C23" s="207" t="s">
        <v>1040</v>
      </c>
      <c r="D23" s="204"/>
    </row>
    <row r="24" spans="1:4" x14ac:dyDescent="0.25">
      <c r="B24" s="205" t="s">
        <v>1041</v>
      </c>
      <c r="C24" s="196" t="s">
        <v>1042</v>
      </c>
      <c r="D24" s="204"/>
    </row>
    <row r="25" spans="1:4" x14ac:dyDescent="0.25">
      <c r="B25" s="205" t="s">
        <v>1043</v>
      </c>
      <c r="C25" s="196" t="s">
        <v>1044</v>
      </c>
      <c r="D25" s="204"/>
    </row>
    <row r="26" spans="1:4" x14ac:dyDescent="0.25">
      <c r="B26" s="205" t="s">
        <v>1045</v>
      </c>
      <c r="C26" s="196" t="s">
        <v>1044</v>
      </c>
      <c r="D26" s="204"/>
    </row>
    <row r="27" spans="1:4" x14ac:dyDescent="0.2">
      <c r="B27" s="108"/>
      <c r="C27" s="196"/>
      <c r="D27" s="204"/>
    </row>
    <row r="28" spans="1:4" x14ac:dyDescent="0.2">
      <c r="B28" s="108"/>
      <c r="C28" s="196"/>
      <c r="D28" s="204"/>
    </row>
    <row r="29" spans="1:4" x14ac:dyDescent="0.2">
      <c r="C29" s="196"/>
      <c r="D29" s="204"/>
    </row>
    <row r="30" spans="1:4" ht="15" thickBot="1" x14ac:dyDescent="0.25">
      <c r="B30" s="306" t="s">
        <v>1910</v>
      </c>
    </row>
    <row r="31" spans="1:4" x14ac:dyDescent="0.2">
      <c r="B31" s="186" t="s">
        <v>1046</v>
      </c>
      <c r="C31" s="187">
        <f>29.291*3*8760</f>
        <v>769767.4800000001</v>
      </c>
      <c r="D31" s="188"/>
    </row>
    <row r="32" spans="1:4" x14ac:dyDescent="0.2">
      <c r="B32" s="216"/>
      <c r="C32" s="189"/>
      <c r="D32" s="217"/>
    </row>
    <row r="33" spans="1:4" ht="27" x14ac:dyDescent="0.2">
      <c r="B33" s="192" t="s">
        <v>1025</v>
      </c>
      <c r="C33" s="193" t="s">
        <v>1026</v>
      </c>
      <c r="D33" s="194" t="s">
        <v>1027</v>
      </c>
    </row>
    <row r="34" spans="1:4" x14ac:dyDescent="0.2">
      <c r="B34" s="195" t="s">
        <v>822</v>
      </c>
      <c r="C34" s="196">
        <v>3.6999999999999998E-2</v>
      </c>
      <c r="D34" s="197">
        <f>$C$31*C34</f>
        <v>28481.396760000003</v>
      </c>
    </row>
    <row r="35" spans="1:4" x14ac:dyDescent="0.25">
      <c r="B35" s="195" t="s">
        <v>1028</v>
      </c>
      <c r="C35" s="196">
        <v>3.5000000000000003E-2</v>
      </c>
      <c r="D35" s="197">
        <f t="shared" ref="D35:D42" si="1">$C$31*C35</f>
        <v>26941.861800000006</v>
      </c>
    </row>
    <row r="36" spans="1:4" x14ac:dyDescent="0.25">
      <c r="B36" s="195" t="s">
        <v>1029</v>
      </c>
      <c r="C36" s="198">
        <v>7.4999999999999997E-3</v>
      </c>
      <c r="D36" s="197">
        <f t="shared" si="1"/>
        <v>5773.2561000000005</v>
      </c>
    </row>
    <row r="37" spans="1:4" x14ac:dyDescent="0.25">
      <c r="B37" s="195" t="s">
        <v>866</v>
      </c>
      <c r="C37" s="196">
        <v>1.6999999999999999E-3</v>
      </c>
      <c r="D37" s="197">
        <f t="shared" si="1"/>
        <v>1308.6047160000001</v>
      </c>
    </row>
    <row r="38" spans="1:4" x14ac:dyDescent="0.2">
      <c r="B38" s="195" t="s">
        <v>1030</v>
      </c>
      <c r="C38" s="196">
        <v>1.6E-2</v>
      </c>
      <c r="D38" s="197">
        <f>$C$31*C38</f>
        <v>12316.279680000001</v>
      </c>
    </row>
    <row r="39" spans="1:4" x14ac:dyDescent="0.2">
      <c r="B39" s="195" t="s">
        <v>1031</v>
      </c>
      <c r="C39" s="199">
        <f>C11</f>
        <v>1.8401152046783626E-3</v>
      </c>
      <c r="D39" s="197">
        <f t="shared" si="1"/>
        <v>1416.4608440149475</v>
      </c>
    </row>
    <row r="40" spans="1:4" x14ac:dyDescent="0.25">
      <c r="B40" s="195" t="s">
        <v>864</v>
      </c>
      <c r="C40" s="200">
        <v>117</v>
      </c>
      <c r="D40" s="197">
        <f t="shared" si="1"/>
        <v>90062795.160000011</v>
      </c>
    </row>
    <row r="41" spans="1:4" x14ac:dyDescent="0.25">
      <c r="B41" s="195" t="s">
        <v>1032</v>
      </c>
      <c r="C41" s="196">
        <v>2.2049999999999999E-3</v>
      </c>
      <c r="D41" s="197">
        <f t="shared" si="1"/>
        <v>1697.3372934000001</v>
      </c>
    </row>
    <row r="42" spans="1:4" ht="15" thickBot="1" x14ac:dyDescent="0.3">
      <c r="B42" s="201" t="s">
        <v>865</v>
      </c>
      <c r="C42" s="202">
        <v>2.2049999999999999E-4</v>
      </c>
      <c r="D42" s="203">
        <f t="shared" si="1"/>
        <v>169.73372934000002</v>
      </c>
    </row>
    <row r="43" spans="1:4" x14ac:dyDescent="0.2">
      <c r="A43" s="119">
        <v>1</v>
      </c>
      <c r="B43" s="108" t="s">
        <v>1033</v>
      </c>
      <c r="C43" s="196"/>
      <c r="D43" s="204"/>
    </row>
    <row r="44" spans="1:4" x14ac:dyDescent="0.2">
      <c r="A44" s="119">
        <v>2</v>
      </c>
      <c r="B44" s="108" t="s">
        <v>1034</v>
      </c>
      <c r="C44" s="196"/>
      <c r="D44" s="204"/>
    </row>
    <row r="45" spans="1:4" x14ac:dyDescent="0.2">
      <c r="A45" s="119">
        <v>3</v>
      </c>
      <c r="B45" s="108" t="s">
        <v>1035</v>
      </c>
      <c r="C45" s="196"/>
      <c r="D45" s="204"/>
    </row>
    <row r="46" spans="1:4" x14ac:dyDescent="0.2">
      <c r="B46" s="205" t="s">
        <v>822</v>
      </c>
      <c r="C46" s="196" t="s">
        <v>1036</v>
      </c>
      <c r="D46" s="204"/>
    </row>
    <row r="47" spans="1:4" x14ac:dyDescent="0.25">
      <c r="B47" s="205" t="s">
        <v>1037</v>
      </c>
      <c r="C47" s="196" t="s">
        <v>1036</v>
      </c>
      <c r="D47" s="204"/>
    </row>
    <row r="48" spans="1:4" x14ac:dyDescent="0.25">
      <c r="B48" s="205" t="s">
        <v>1038</v>
      </c>
      <c r="C48" s="196" t="s">
        <v>1036</v>
      </c>
      <c r="D48" s="204"/>
    </row>
    <row r="49" spans="2:4" x14ac:dyDescent="0.25">
      <c r="B49" s="205" t="s">
        <v>1039</v>
      </c>
      <c r="C49" s="196" t="s">
        <v>1036</v>
      </c>
      <c r="D49" s="204"/>
    </row>
    <row r="50" spans="2:4" x14ac:dyDescent="0.2">
      <c r="B50" s="205" t="s">
        <v>1030</v>
      </c>
      <c r="C50" s="196" t="s">
        <v>1036</v>
      </c>
      <c r="D50" s="204"/>
    </row>
    <row r="51" spans="2:4" x14ac:dyDescent="0.2">
      <c r="B51" s="205" t="s">
        <v>1031</v>
      </c>
      <c r="C51" s="207" t="s">
        <v>1040</v>
      </c>
      <c r="D51" s="204"/>
    </row>
    <row r="52" spans="2:4" x14ac:dyDescent="0.25">
      <c r="B52" s="205" t="s">
        <v>1041</v>
      </c>
      <c r="C52" s="196" t="s">
        <v>1042</v>
      </c>
      <c r="D52" s="204"/>
    </row>
    <row r="53" spans="2:4" x14ac:dyDescent="0.25">
      <c r="B53" s="205" t="s">
        <v>1043</v>
      </c>
      <c r="C53" s="196" t="s">
        <v>1044</v>
      </c>
      <c r="D53" s="204"/>
    </row>
    <row r="54" spans="2:4" x14ac:dyDescent="0.25">
      <c r="B54" s="205" t="s">
        <v>1045</v>
      </c>
      <c r="C54" s="196" t="s">
        <v>1044</v>
      </c>
      <c r="D54" s="204"/>
    </row>
    <row r="55" spans="2:4" x14ac:dyDescent="0.2">
      <c r="B55" s="108"/>
      <c r="C55" s="196"/>
      <c r="D55" s="204"/>
    </row>
    <row r="56" spans="2:4" x14ac:dyDescent="0.2">
      <c r="B56" s="108"/>
      <c r="C56" s="196"/>
      <c r="D56" s="204"/>
    </row>
    <row r="57" spans="2:4" ht="15" thickBot="1" x14ac:dyDescent="0.25">
      <c r="B57" s="306" t="s">
        <v>1911</v>
      </c>
    </row>
    <row r="58" spans="2:4" x14ac:dyDescent="0.2">
      <c r="B58" s="186" t="s">
        <v>1047</v>
      </c>
      <c r="C58" s="187">
        <f>10.043*8760*2</f>
        <v>175953.36</v>
      </c>
      <c r="D58" s="188"/>
    </row>
    <row r="59" spans="2:4" x14ac:dyDescent="0.2">
      <c r="B59" s="208"/>
      <c r="C59" s="204"/>
      <c r="D59" s="209"/>
    </row>
    <row r="60" spans="2:4" x14ac:dyDescent="0.2">
      <c r="B60" s="216"/>
      <c r="C60" s="189"/>
      <c r="D60" s="217"/>
    </row>
    <row r="61" spans="2:4" ht="27" x14ac:dyDescent="0.2">
      <c r="B61" s="192" t="s">
        <v>1025</v>
      </c>
      <c r="C61" s="193" t="s">
        <v>1026</v>
      </c>
      <c r="D61" s="194" t="s">
        <v>1027</v>
      </c>
    </row>
    <row r="62" spans="2:4" x14ac:dyDescent="0.2">
      <c r="B62" s="195" t="s">
        <v>822</v>
      </c>
      <c r="C62" s="196">
        <v>7.1800000000000003E-2</v>
      </c>
      <c r="D62" s="197">
        <f>$C$58*C62</f>
        <v>12633.451247999999</v>
      </c>
    </row>
    <row r="63" spans="2:4" x14ac:dyDescent="0.25">
      <c r="B63" s="195" t="s">
        <v>1028</v>
      </c>
      <c r="C63" s="196">
        <v>4.2099999999999999E-2</v>
      </c>
      <c r="D63" s="197">
        <f t="shared" ref="D63:D70" si="2">$C$58*C63</f>
        <v>7407.6364559999993</v>
      </c>
    </row>
    <row r="64" spans="2:4" x14ac:dyDescent="0.25">
      <c r="B64" s="195" t="s">
        <v>1029</v>
      </c>
      <c r="C64" s="198">
        <f>2.5/1026</f>
        <v>2.4366471734892786E-3</v>
      </c>
      <c r="D64" s="197">
        <f t="shared" si="2"/>
        <v>428.73625730994144</v>
      </c>
    </row>
    <row r="65" spans="1:4" x14ac:dyDescent="0.25">
      <c r="B65" s="195" t="s">
        <v>866</v>
      </c>
      <c r="C65" s="196">
        <f>0.6/1026</f>
        <v>5.8479532163742691E-4</v>
      </c>
      <c r="D65" s="197">
        <f t="shared" si="2"/>
        <v>102.89670175438596</v>
      </c>
    </row>
    <row r="66" spans="1:4" x14ac:dyDescent="0.2">
      <c r="B66" s="195" t="s">
        <v>1030</v>
      </c>
      <c r="C66" s="196">
        <f>5.5/1026</f>
        <v>5.360623781676413E-3</v>
      </c>
      <c r="D66" s="197">
        <f t="shared" si="2"/>
        <v>943.21976608187117</v>
      </c>
    </row>
    <row r="67" spans="1:4" x14ac:dyDescent="0.2">
      <c r="B67" s="195" t="s">
        <v>1031</v>
      </c>
      <c r="C67" s="199">
        <f>C39</f>
        <v>1.8401152046783626E-3</v>
      </c>
      <c r="D67" s="197">
        <f t="shared" si="2"/>
        <v>323.7744530502456</v>
      </c>
    </row>
    <row r="68" spans="1:4" x14ac:dyDescent="0.25">
      <c r="B68" s="195" t="s">
        <v>864</v>
      </c>
      <c r="C68" s="200">
        <v>117</v>
      </c>
      <c r="D68" s="197">
        <f t="shared" si="2"/>
        <v>20586543.119999997</v>
      </c>
    </row>
    <row r="69" spans="1:4" x14ac:dyDescent="0.25">
      <c r="B69" s="195" t="s">
        <v>1032</v>
      </c>
      <c r="C69" s="196">
        <v>2.2049999999999999E-3</v>
      </c>
      <c r="D69" s="197">
        <f t="shared" si="2"/>
        <v>387.97715879999998</v>
      </c>
    </row>
    <row r="70" spans="1:4" ht="15" thickBot="1" x14ac:dyDescent="0.3">
      <c r="B70" s="201" t="s">
        <v>865</v>
      </c>
      <c r="C70" s="202">
        <v>2.2049999999999999E-4</v>
      </c>
      <c r="D70" s="203">
        <f t="shared" si="2"/>
        <v>38.797715879999998</v>
      </c>
    </row>
    <row r="71" spans="1:4" x14ac:dyDescent="0.2">
      <c r="A71" s="119">
        <v>1</v>
      </c>
      <c r="B71" s="108" t="s">
        <v>1048</v>
      </c>
      <c r="C71" s="196"/>
      <c r="D71" s="204"/>
    </row>
    <row r="72" spans="1:4" x14ac:dyDescent="0.2">
      <c r="A72" s="119">
        <v>2</v>
      </c>
      <c r="B72" s="108" t="s">
        <v>1034</v>
      </c>
      <c r="C72" s="196"/>
      <c r="D72" s="204"/>
    </row>
    <row r="73" spans="1:4" x14ac:dyDescent="0.2">
      <c r="A73" s="119">
        <v>3</v>
      </c>
      <c r="B73" s="108" t="s">
        <v>1035</v>
      </c>
      <c r="C73" s="196"/>
      <c r="D73" s="204"/>
    </row>
    <row r="74" spans="1:4" x14ac:dyDescent="0.2">
      <c r="B74" s="205" t="s">
        <v>822</v>
      </c>
      <c r="C74" s="196" t="s">
        <v>1049</v>
      </c>
      <c r="D74" s="204"/>
    </row>
    <row r="75" spans="1:4" x14ac:dyDescent="0.25">
      <c r="B75" s="205" t="s">
        <v>1037</v>
      </c>
      <c r="C75" s="196" t="s">
        <v>1049</v>
      </c>
      <c r="D75" s="204"/>
    </row>
    <row r="76" spans="1:4" x14ac:dyDescent="0.25">
      <c r="B76" s="205" t="s">
        <v>1038</v>
      </c>
      <c r="C76" s="196" t="s">
        <v>1049</v>
      </c>
      <c r="D76" s="204"/>
    </row>
    <row r="77" spans="1:4" x14ac:dyDescent="0.25">
      <c r="B77" s="205" t="s">
        <v>1039</v>
      </c>
      <c r="C77" s="196" t="s">
        <v>1049</v>
      </c>
      <c r="D77" s="204"/>
    </row>
    <row r="78" spans="1:4" x14ac:dyDescent="0.2">
      <c r="B78" s="205" t="s">
        <v>1030</v>
      </c>
      <c r="C78" s="196" t="s">
        <v>1049</v>
      </c>
      <c r="D78" s="204"/>
    </row>
    <row r="79" spans="1:4" ht="29.25" customHeight="1" x14ac:dyDescent="0.2">
      <c r="B79" s="205" t="s">
        <v>1031</v>
      </c>
      <c r="C79" s="207" t="s">
        <v>1040</v>
      </c>
      <c r="D79" s="204"/>
    </row>
    <row r="80" spans="1:4" x14ac:dyDescent="0.25">
      <c r="B80" s="205" t="s">
        <v>1041</v>
      </c>
      <c r="C80" s="196" t="s">
        <v>1042</v>
      </c>
      <c r="D80" s="204"/>
    </row>
    <row r="81" spans="2:11" x14ac:dyDescent="0.25">
      <c r="B81" s="205" t="s">
        <v>1043</v>
      </c>
      <c r="C81" s="196" t="s">
        <v>1044</v>
      </c>
      <c r="D81" s="204"/>
    </row>
    <row r="82" spans="2:11" x14ac:dyDescent="0.25">
      <c r="B82" s="205" t="s">
        <v>1045</v>
      </c>
      <c r="C82" s="196" t="s">
        <v>1044</v>
      </c>
      <c r="D82" s="204"/>
    </row>
    <row r="83" spans="2:11" x14ac:dyDescent="0.2">
      <c r="B83" s="108"/>
      <c r="C83" s="196"/>
      <c r="D83" s="204"/>
    </row>
    <row r="84" spans="2:11" x14ac:dyDescent="0.2">
      <c r="B84" s="108"/>
      <c r="C84" s="196"/>
      <c r="D84" s="204"/>
    </row>
    <row r="85" spans="2:11" ht="15" thickBot="1" x14ac:dyDescent="0.25">
      <c r="B85" s="306" t="s">
        <v>1912</v>
      </c>
      <c r="I85" s="307"/>
    </row>
    <row r="86" spans="2:11" x14ac:dyDescent="0.2">
      <c r="B86" s="186" t="s">
        <v>1050</v>
      </c>
      <c r="C86" s="187">
        <v>13212.218483054379</v>
      </c>
      <c r="D86" s="188"/>
    </row>
    <row r="87" spans="2:11" x14ac:dyDescent="0.2">
      <c r="B87" s="208" t="s">
        <v>1051</v>
      </c>
      <c r="C87" s="210">
        <v>0.13800000000000001</v>
      </c>
      <c r="D87" s="209"/>
    </row>
    <row r="88" spans="2:11" x14ac:dyDescent="0.2">
      <c r="B88" s="216"/>
      <c r="C88" s="189"/>
      <c r="D88" s="217"/>
    </row>
    <row r="89" spans="2:11" ht="27" x14ac:dyDescent="0.2">
      <c r="B89" s="192" t="s">
        <v>1025</v>
      </c>
      <c r="C89" s="193" t="s">
        <v>1052</v>
      </c>
      <c r="D89" s="194" t="s">
        <v>1027</v>
      </c>
      <c r="K89" s="210"/>
    </row>
    <row r="90" spans="2:11" x14ac:dyDescent="0.2">
      <c r="B90" s="195" t="s">
        <v>822</v>
      </c>
      <c r="C90" s="196">
        <v>9.8000000000000007</v>
      </c>
      <c r="D90" s="197">
        <f t="shared" ref="D90:D95" si="3">$C$86*C90/1000</f>
        <v>129.47974113393292</v>
      </c>
    </row>
    <row r="91" spans="2:11" x14ac:dyDescent="0.25">
      <c r="B91" s="195" t="s">
        <v>1028</v>
      </c>
      <c r="C91" s="196">
        <v>16.8</v>
      </c>
      <c r="D91" s="197">
        <f t="shared" si="3"/>
        <v>221.96527051531356</v>
      </c>
    </row>
    <row r="92" spans="2:11" x14ac:dyDescent="0.25">
      <c r="B92" s="195" t="s">
        <v>1029</v>
      </c>
      <c r="C92" s="196">
        <v>4.2</v>
      </c>
      <c r="D92" s="197">
        <f t="shared" si="3"/>
        <v>55.491317628828391</v>
      </c>
    </row>
    <row r="93" spans="2:11" x14ac:dyDescent="0.25">
      <c r="B93" s="195" t="s">
        <v>866</v>
      </c>
      <c r="C93" s="196">
        <v>50.26</v>
      </c>
      <c r="D93" s="197">
        <f t="shared" si="3"/>
        <v>664.0461009583131</v>
      </c>
    </row>
    <row r="94" spans="2:11" x14ac:dyDescent="0.2">
      <c r="B94" s="195" t="s">
        <v>1030</v>
      </c>
      <c r="C94" s="196">
        <v>4.0599999999999996</v>
      </c>
      <c r="D94" s="197">
        <f t="shared" si="3"/>
        <v>53.641607041200778</v>
      </c>
    </row>
    <row r="95" spans="2:11" x14ac:dyDescent="0.2">
      <c r="B95" s="195" t="s">
        <v>1031</v>
      </c>
      <c r="C95" s="198">
        <v>4.1013176099999993E-2</v>
      </c>
      <c r="D95" s="211">
        <f t="shared" si="3"/>
        <v>0.54187504331718406</v>
      </c>
    </row>
    <row r="96" spans="2:11" ht="27" x14ac:dyDescent="0.2">
      <c r="B96" s="212" t="s">
        <v>1025</v>
      </c>
      <c r="C96" s="213" t="s">
        <v>1053</v>
      </c>
      <c r="D96" s="194" t="s">
        <v>1027</v>
      </c>
    </row>
    <row r="97" spans="1:14" x14ac:dyDescent="0.25">
      <c r="B97" s="195" t="s">
        <v>864</v>
      </c>
      <c r="C97" s="200">
        <v>163.1</v>
      </c>
      <c r="D97" s="197">
        <f>$C$86*$C$87*C97</f>
        <v>297377.97117289138</v>
      </c>
      <c r="N97" s="107"/>
    </row>
    <row r="98" spans="1:14" x14ac:dyDescent="0.25">
      <c r="B98" s="195" t="s">
        <v>1032</v>
      </c>
      <c r="C98" s="196">
        <v>6.6140000000000001E-3</v>
      </c>
      <c r="D98" s="197">
        <f>$C$86*$C$87*C98</f>
        <v>12.05921460047519</v>
      </c>
      <c r="N98" s="107"/>
    </row>
    <row r="99" spans="1:14" ht="15" thickBot="1" x14ac:dyDescent="0.3">
      <c r="B99" s="201" t="s">
        <v>865</v>
      </c>
      <c r="C99" s="202">
        <v>1.323E-3</v>
      </c>
      <c r="D99" s="203">
        <f>$C$86*$C$87*C99</f>
        <v>2.4122075773251703</v>
      </c>
      <c r="N99" s="107"/>
    </row>
    <row r="100" spans="1:14" x14ac:dyDescent="0.2">
      <c r="A100" s="119">
        <v>1</v>
      </c>
      <c r="B100" s="108" t="s">
        <v>1054</v>
      </c>
      <c r="C100" s="196"/>
      <c r="D100" s="204"/>
      <c r="N100" s="107"/>
    </row>
    <row r="101" spans="1:14" x14ac:dyDescent="0.2">
      <c r="A101" s="119">
        <v>2</v>
      </c>
      <c r="B101" s="108" t="s">
        <v>1035</v>
      </c>
      <c r="C101" s="196"/>
      <c r="D101" s="204"/>
      <c r="N101" s="107"/>
    </row>
    <row r="102" spans="1:14" x14ac:dyDescent="0.2">
      <c r="B102" s="205" t="s">
        <v>822</v>
      </c>
      <c r="C102" s="196" t="s">
        <v>1036</v>
      </c>
      <c r="D102" s="204"/>
      <c r="N102" s="107"/>
    </row>
    <row r="103" spans="1:14" x14ac:dyDescent="0.25">
      <c r="B103" s="205" t="s">
        <v>1037</v>
      </c>
      <c r="C103" s="196" t="s">
        <v>1036</v>
      </c>
      <c r="D103" s="204"/>
      <c r="N103" s="107"/>
    </row>
    <row r="104" spans="1:14" x14ac:dyDescent="0.25">
      <c r="B104" s="205" t="s">
        <v>1038</v>
      </c>
      <c r="C104" s="196" t="s">
        <v>1036</v>
      </c>
      <c r="D104" s="204"/>
      <c r="N104" s="107"/>
    </row>
    <row r="105" spans="1:14" x14ac:dyDescent="0.25">
      <c r="B105" s="205" t="s">
        <v>1039</v>
      </c>
      <c r="C105" s="196" t="s">
        <v>1036</v>
      </c>
      <c r="D105" s="204"/>
      <c r="N105" s="107"/>
    </row>
    <row r="106" spans="1:14" x14ac:dyDescent="0.2">
      <c r="B106" s="205" t="s">
        <v>1030</v>
      </c>
      <c r="C106" s="196" t="s">
        <v>1036</v>
      </c>
      <c r="D106" s="204"/>
      <c r="N106" s="107"/>
    </row>
    <row r="107" spans="1:14" x14ac:dyDescent="0.2">
      <c r="B107" s="205" t="s">
        <v>1031</v>
      </c>
      <c r="C107" s="196" t="s">
        <v>1055</v>
      </c>
      <c r="D107" s="204"/>
      <c r="N107" s="107"/>
    </row>
    <row r="108" spans="1:14" x14ac:dyDescent="0.25">
      <c r="B108" s="205" t="s">
        <v>1041</v>
      </c>
      <c r="C108" s="196" t="s">
        <v>1042</v>
      </c>
      <c r="D108" s="204"/>
      <c r="N108" s="107"/>
    </row>
    <row r="109" spans="1:14" x14ac:dyDescent="0.25">
      <c r="B109" s="205" t="s">
        <v>1043</v>
      </c>
      <c r="C109" s="196" t="s">
        <v>1044</v>
      </c>
      <c r="D109" s="204"/>
      <c r="N109" s="107"/>
    </row>
    <row r="110" spans="1:14" x14ac:dyDescent="0.25">
      <c r="B110" s="205" t="s">
        <v>1045</v>
      </c>
      <c r="C110" s="196" t="s">
        <v>1044</v>
      </c>
      <c r="D110" s="204"/>
      <c r="N110" s="107"/>
    </row>
    <row r="111" spans="1:14" x14ac:dyDescent="0.2">
      <c r="B111" s="108"/>
      <c r="C111" s="196"/>
      <c r="D111" s="204"/>
      <c r="N111" s="107"/>
    </row>
    <row r="112" spans="1:14" x14ac:dyDescent="0.2">
      <c r="C112" s="196"/>
      <c r="D112" s="204"/>
      <c r="N112" s="107"/>
    </row>
    <row r="113" spans="1:14" ht="15" thickBot="1" x14ac:dyDescent="0.25">
      <c r="B113" s="306" t="s">
        <v>1913</v>
      </c>
      <c r="N113" s="107"/>
    </row>
    <row r="114" spans="1:14" x14ac:dyDescent="0.2">
      <c r="B114" s="186" t="s">
        <v>1050</v>
      </c>
      <c r="C114" s="187">
        <v>30782.409254171907</v>
      </c>
      <c r="D114" s="188"/>
      <c r="N114" s="107"/>
    </row>
    <row r="115" spans="1:14" x14ac:dyDescent="0.2">
      <c r="B115" s="208" t="s">
        <v>1051</v>
      </c>
      <c r="C115" s="210">
        <v>0.13800000000000001</v>
      </c>
      <c r="D115" s="209"/>
      <c r="N115" s="107"/>
    </row>
    <row r="116" spans="1:14" x14ac:dyDescent="0.2">
      <c r="B116" s="216"/>
      <c r="C116" s="189"/>
      <c r="D116" s="217"/>
      <c r="N116" s="107"/>
    </row>
    <row r="117" spans="1:14" ht="27" x14ac:dyDescent="0.2">
      <c r="B117" s="192" t="s">
        <v>1025</v>
      </c>
      <c r="C117" s="193" t="s">
        <v>1052</v>
      </c>
      <c r="D117" s="194" t="s">
        <v>1027</v>
      </c>
      <c r="I117" s="307"/>
      <c r="N117" s="107"/>
    </row>
    <row r="118" spans="1:14" x14ac:dyDescent="0.2">
      <c r="B118" s="195" t="s">
        <v>822</v>
      </c>
      <c r="C118" s="196">
        <v>9.8000000000000007</v>
      </c>
      <c r="D118" s="197">
        <f>$C$114*C118/1000</f>
        <v>301.66761069088471</v>
      </c>
    </row>
    <row r="119" spans="1:14" x14ac:dyDescent="0.25">
      <c r="B119" s="195" t="s">
        <v>1028</v>
      </c>
      <c r="C119" s="196">
        <v>26.6</v>
      </c>
      <c r="D119" s="197">
        <f>$C$114*C119/1000</f>
        <v>818.81208616097285</v>
      </c>
    </row>
    <row r="120" spans="1:14" x14ac:dyDescent="0.25">
      <c r="B120" s="195" t="s">
        <v>1029</v>
      </c>
      <c r="C120" s="196">
        <v>3.36</v>
      </c>
      <c r="D120" s="197">
        <f>$C$114*C120/1000</f>
        <v>103.42889509401761</v>
      </c>
    </row>
    <row r="121" spans="1:14" x14ac:dyDescent="0.25">
      <c r="B121" s="195" t="s">
        <v>866</v>
      </c>
      <c r="C121" s="196">
        <v>57.68</v>
      </c>
      <c r="D121" s="197">
        <f>$C$114*C121/1000</f>
        <v>1775.5293657806355</v>
      </c>
    </row>
    <row r="122" spans="1:14" x14ac:dyDescent="0.2">
      <c r="B122" s="195" t="s">
        <v>1030</v>
      </c>
      <c r="C122" s="196">
        <v>4.2</v>
      </c>
      <c r="D122" s="197">
        <f>$C$114*C122/1000</f>
        <v>129.28611886752202</v>
      </c>
    </row>
    <row r="123" spans="1:14" x14ac:dyDescent="0.2">
      <c r="B123" s="195" t="s">
        <v>1031</v>
      </c>
      <c r="C123" s="198">
        <f>C95</f>
        <v>4.1013176099999993E-2</v>
      </c>
      <c r="D123" s="211">
        <f>$C$86*C123/1000</f>
        <v>0.54187504331718406</v>
      </c>
    </row>
    <row r="124" spans="1:14" ht="27" x14ac:dyDescent="0.2">
      <c r="B124" s="212" t="s">
        <v>1025</v>
      </c>
      <c r="C124" s="213" t="s">
        <v>1053</v>
      </c>
      <c r="D124" s="194" t="s">
        <v>1027</v>
      </c>
    </row>
    <row r="125" spans="1:14" x14ac:dyDescent="0.25">
      <c r="B125" s="195" t="s">
        <v>864</v>
      </c>
      <c r="C125" s="200">
        <v>163.1</v>
      </c>
      <c r="D125" s="197">
        <f>$C$114*$C$115*C125</f>
        <v>692844.31101105059</v>
      </c>
    </row>
    <row r="126" spans="1:14" x14ac:dyDescent="0.25">
      <c r="B126" s="195" t="s">
        <v>1032</v>
      </c>
      <c r="C126" s="196">
        <v>6.6140000000000001E-3</v>
      </c>
      <c r="D126" s="197">
        <f>$C$114*$C$115*C126</f>
        <v>28.096089963378837</v>
      </c>
      <c r="L126" s="51"/>
    </row>
    <row r="127" spans="1:14" ht="15" thickBot="1" x14ac:dyDescent="0.3">
      <c r="B127" s="201" t="s">
        <v>865</v>
      </c>
      <c r="C127" s="202">
        <v>1.323E-3</v>
      </c>
      <c r="D127" s="203">
        <f>$C$114*$C$115*C127</f>
        <v>5.6200675871711825</v>
      </c>
    </row>
    <row r="128" spans="1:14" x14ac:dyDescent="0.2">
      <c r="A128" s="119">
        <v>1</v>
      </c>
      <c r="B128" s="108" t="s">
        <v>1054</v>
      </c>
      <c r="C128" s="196"/>
      <c r="D128" s="204"/>
    </row>
    <row r="129" spans="1:4" x14ac:dyDescent="0.2">
      <c r="A129" s="119">
        <v>2</v>
      </c>
      <c r="B129" s="108" t="s">
        <v>1035</v>
      </c>
      <c r="C129" s="196"/>
      <c r="D129" s="204"/>
    </row>
    <row r="130" spans="1:4" x14ac:dyDescent="0.2">
      <c r="B130" s="205" t="s">
        <v>822</v>
      </c>
      <c r="C130" s="196" t="s">
        <v>1036</v>
      </c>
      <c r="D130" s="204"/>
    </row>
    <row r="131" spans="1:4" x14ac:dyDescent="0.25">
      <c r="B131" s="205" t="s">
        <v>1037</v>
      </c>
      <c r="C131" s="196" t="s">
        <v>1036</v>
      </c>
      <c r="D131" s="204"/>
    </row>
    <row r="132" spans="1:4" x14ac:dyDescent="0.25">
      <c r="B132" s="205" t="s">
        <v>1038</v>
      </c>
      <c r="C132" s="196" t="s">
        <v>1036</v>
      </c>
      <c r="D132" s="204"/>
    </row>
    <row r="133" spans="1:4" x14ac:dyDescent="0.25">
      <c r="B133" s="205" t="s">
        <v>1039</v>
      </c>
      <c r="C133" s="196" t="s">
        <v>1036</v>
      </c>
      <c r="D133" s="204"/>
    </row>
    <row r="134" spans="1:4" x14ac:dyDescent="0.2">
      <c r="B134" s="205" t="s">
        <v>1030</v>
      </c>
      <c r="C134" s="196" t="s">
        <v>1036</v>
      </c>
      <c r="D134" s="204"/>
    </row>
    <row r="135" spans="1:4" x14ac:dyDescent="0.2">
      <c r="B135" s="205" t="s">
        <v>1031</v>
      </c>
      <c r="C135" s="196" t="s">
        <v>1055</v>
      </c>
      <c r="D135" s="204"/>
    </row>
    <row r="136" spans="1:4" x14ac:dyDescent="0.25">
      <c r="B136" s="205" t="s">
        <v>1041</v>
      </c>
      <c r="C136" s="196" t="s">
        <v>1042</v>
      </c>
      <c r="D136" s="204"/>
    </row>
    <row r="137" spans="1:4" x14ac:dyDescent="0.25">
      <c r="B137" s="205" t="s">
        <v>1043</v>
      </c>
      <c r="C137" s="196" t="s">
        <v>1044</v>
      </c>
      <c r="D137" s="204"/>
    </row>
    <row r="138" spans="1:4" x14ac:dyDescent="0.25">
      <c r="B138" s="205" t="s">
        <v>1045</v>
      </c>
      <c r="C138" s="196" t="s">
        <v>1044</v>
      </c>
      <c r="D138" s="204"/>
    </row>
    <row r="139" spans="1:4" x14ac:dyDescent="0.2">
      <c r="B139" s="205"/>
      <c r="C139" s="196"/>
      <c r="D139" s="204"/>
    </row>
    <row r="140" spans="1:4" x14ac:dyDescent="0.2">
      <c r="B140" s="108"/>
      <c r="C140" s="196"/>
      <c r="D140" s="204"/>
    </row>
    <row r="141" spans="1:4" ht="15" thickBot="1" x14ac:dyDescent="0.25">
      <c r="B141" s="306" t="s">
        <v>1914</v>
      </c>
    </row>
    <row r="142" spans="1:4" x14ac:dyDescent="0.2">
      <c r="B142" s="186" t="s">
        <v>1050</v>
      </c>
      <c r="C142" s="187">
        <f>127.1*48</f>
        <v>6100.7999999999993</v>
      </c>
      <c r="D142" s="188"/>
    </row>
    <row r="143" spans="1:4" x14ac:dyDescent="0.2">
      <c r="B143" s="208" t="s">
        <v>1051</v>
      </c>
      <c r="C143" s="210">
        <v>0.13800000000000001</v>
      </c>
      <c r="D143" s="209"/>
    </row>
    <row r="144" spans="1:4" x14ac:dyDescent="0.2">
      <c r="B144" s="216"/>
      <c r="C144" s="189"/>
      <c r="D144" s="217"/>
    </row>
    <row r="145" spans="1:4" ht="27" x14ac:dyDescent="0.2">
      <c r="B145" s="192" t="s">
        <v>1025</v>
      </c>
      <c r="C145" s="193" t="s">
        <v>1052</v>
      </c>
      <c r="D145" s="194" t="s">
        <v>1027</v>
      </c>
    </row>
    <row r="146" spans="1:4" x14ac:dyDescent="0.2">
      <c r="B146" s="195" t="s">
        <v>822</v>
      </c>
      <c r="C146" s="196">
        <v>5</v>
      </c>
      <c r="D146" s="197">
        <f t="shared" ref="D146:D151" si="4">$C$142*C146/1000</f>
        <v>30.503999999999998</v>
      </c>
    </row>
    <row r="147" spans="1:4" x14ac:dyDescent="0.25">
      <c r="B147" s="195" t="s">
        <v>1028</v>
      </c>
      <c r="C147" s="196">
        <v>20</v>
      </c>
      <c r="D147" s="197">
        <f t="shared" si="4"/>
        <v>122.01599999999999</v>
      </c>
    </row>
    <row r="148" spans="1:4" x14ac:dyDescent="0.25">
      <c r="B148" s="195" t="s">
        <v>1029</v>
      </c>
      <c r="C148" s="196">
        <v>3.3</v>
      </c>
      <c r="D148" s="197">
        <f t="shared" si="4"/>
        <v>20.132639999999995</v>
      </c>
    </row>
    <row r="149" spans="1:4" x14ac:dyDescent="0.25">
      <c r="B149" s="195" t="s">
        <v>866</v>
      </c>
      <c r="C149" s="196">
        <v>0.21299999999999999</v>
      </c>
      <c r="D149" s="197">
        <f t="shared" si="4"/>
        <v>1.2994703999999999</v>
      </c>
    </row>
    <row r="150" spans="1:4" x14ac:dyDescent="0.2">
      <c r="B150" s="195" t="s">
        <v>1030</v>
      </c>
      <c r="C150" s="196">
        <v>0.252</v>
      </c>
      <c r="D150" s="197">
        <f t="shared" si="4"/>
        <v>1.5374015999999999</v>
      </c>
    </row>
    <row r="151" spans="1:4" x14ac:dyDescent="0.2">
      <c r="B151" s="195" t="s">
        <v>1031</v>
      </c>
      <c r="C151" s="198">
        <f>C123</f>
        <v>4.1013176099999993E-2</v>
      </c>
      <c r="D151" s="211">
        <f t="shared" si="4"/>
        <v>0.25021318475087989</v>
      </c>
    </row>
    <row r="152" spans="1:4" ht="27" x14ac:dyDescent="0.2">
      <c r="B152" s="212" t="s">
        <v>1025</v>
      </c>
      <c r="C152" s="213" t="s">
        <v>1053</v>
      </c>
      <c r="D152" s="194" t="s">
        <v>1027</v>
      </c>
    </row>
    <row r="153" spans="1:4" x14ac:dyDescent="0.25">
      <c r="B153" s="195" t="s">
        <v>864</v>
      </c>
      <c r="C153" s="200">
        <v>163.1</v>
      </c>
      <c r="D153" s="197">
        <f>$C$142*$C$143*C153</f>
        <v>137315.58624</v>
      </c>
    </row>
    <row r="154" spans="1:4" x14ac:dyDescent="0.25">
      <c r="B154" s="195" t="s">
        <v>1032</v>
      </c>
      <c r="C154" s="196">
        <v>6.6140000000000001E-3</v>
      </c>
      <c r="D154" s="197">
        <f>$C$114*$C$115*C154</f>
        <v>28.096089963378837</v>
      </c>
    </row>
    <row r="155" spans="1:4" ht="15" thickBot="1" x14ac:dyDescent="0.3">
      <c r="B155" s="201" t="s">
        <v>865</v>
      </c>
      <c r="C155" s="202">
        <v>1.323E-3</v>
      </c>
      <c r="D155" s="203">
        <f>$C$114*$C$115*C155</f>
        <v>5.6200675871711825</v>
      </c>
    </row>
    <row r="156" spans="1:4" x14ac:dyDescent="0.2">
      <c r="A156" s="119">
        <v>1</v>
      </c>
      <c r="B156" s="108" t="s">
        <v>1054</v>
      </c>
      <c r="C156" s="196"/>
      <c r="D156" s="204"/>
    </row>
    <row r="157" spans="1:4" x14ac:dyDescent="0.2">
      <c r="A157" s="119">
        <v>2</v>
      </c>
      <c r="B157" s="108" t="s">
        <v>1035</v>
      </c>
      <c r="C157" s="196"/>
      <c r="D157" s="204"/>
    </row>
    <row r="158" spans="1:4" x14ac:dyDescent="0.2">
      <c r="B158" s="205" t="s">
        <v>822</v>
      </c>
      <c r="C158" s="196" t="s">
        <v>1049</v>
      </c>
      <c r="D158" s="204"/>
    </row>
    <row r="159" spans="1:4" x14ac:dyDescent="0.25">
      <c r="B159" s="205" t="s">
        <v>1037</v>
      </c>
      <c r="C159" s="196" t="s">
        <v>1049</v>
      </c>
      <c r="D159" s="204"/>
    </row>
    <row r="160" spans="1:4" x14ac:dyDescent="0.25">
      <c r="B160" s="205" t="s">
        <v>1038</v>
      </c>
      <c r="C160" s="196" t="s">
        <v>1049</v>
      </c>
      <c r="D160" s="204"/>
    </row>
    <row r="161" spans="2:11" x14ac:dyDescent="0.25">
      <c r="B161" s="205" t="s">
        <v>1039</v>
      </c>
      <c r="C161" s="196" t="s">
        <v>1049</v>
      </c>
      <c r="D161" s="204"/>
    </row>
    <row r="162" spans="2:11" x14ac:dyDescent="0.2">
      <c r="B162" s="205" t="s">
        <v>1030</v>
      </c>
      <c r="C162" s="196" t="s">
        <v>1049</v>
      </c>
      <c r="D162" s="204"/>
    </row>
    <row r="163" spans="2:11" x14ac:dyDescent="0.2">
      <c r="B163" s="205" t="s">
        <v>1031</v>
      </c>
      <c r="C163" s="196" t="s">
        <v>1055</v>
      </c>
      <c r="D163" s="204"/>
    </row>
    <row r="164" spans="2:11" x14ac:dyDescent="0.25">
      <c r="B164" s="205" t="s">
        <v>1041</v>
      </c>
      <c r="C164" s="196" t="s">
        <v>1042</v>
      </c>
      <c r="D164" s="204"/>
    </row>
    <row r="165" spans="2:11" x14ac:dyDescent="0.25">
      <c r="B165" s="205" t="s">
        <v>1043</v>
      </c>
      <c r="C165" s="196" t="s">
        <v>1044</v>
      </c>
      <c r="D165" s="204"/>
    </row>
    <row r="166" spans="2:11" x14ac:dyDescent="0.25">
      <c r="B166" s="205" t="s">
        <v>1045</v>
      </c>
      <c r="C166" s="196" t="s">
        <v>1044</v>
      </c>
      <c r="D166" s="204"/>
    </row>
    <row r="167" spans="2:11" x14ac:dyDescent="0.2">
      <c r="B167" s="205"/>
      <c r="C167" s="196"/>
      <c r="D167" s="204"/>
    </row>
    <row r="168" spans="2:11" x14ac:dyDescent="0.2">
      <c r="B168" s="205"/>
      <c r="C168" s="196"/>
      <c r="D168" s="204"/>
    </row>
    <row r="169" spans="2:11" ht="15" thickBot="1" x14ac:dyDescent="0.25">
      <c r="B169" s="286" t="s">
        <v>1915</v>
      </c>
    </row>
    <row r="170" spans="2:11" ht="25.5" x14ac:dyDescent="0.2">
      <c r="B170" s="214" t="s">
        <v>1056</v>
      </c>
      <c r="C170" s="215">
        <f>(3*3*8760)</f>
        <v>78840</v>
      </c>
      <c r="D170" s="188"/>
    </row>
    <row r="171" spans="2:11" x14ac:dyDescent="0.2">
      <c r="B171" s="216"/>
      <c r="C171" s="189"/>
      <c r="D171" s="217"/>
    </row>
    <row r="172" spans="2:11" x14ac:dyDescent="0.2">
      <c r="B172" s="192"/>
      <c r="C172" s="218"/>
      <c r="D172" s="219"/>
    </row>
    <row r="173" spans="2:11" ht="27" x14ac:dyDescent="0.2">
      <c r="B173" s="192" t="s">
        <v>1025</v>
      </c>
      <c r="C173" s="213" t="s">
        <v>1053</v>
      </c>
      <c r="D173" s="194" t="s">
        <v>1027</v>
      </c>
      <c r="H173" s="609"/>
      <c r="I173" s="609"/>
    </row>
    <row r="174" spans="2:11" x14ac:dyDescent="0.2">
      <c r="B174" s="195" t="s">
        <v>822</v>
      </c>
      <c r="C174" s="220">
        <v>1.2233333333333334</v>
      </c>
      <c r="D174" s="197">
        <f>$C$170*C174</f>
        <v>96447.6</v>
      </c>
      <c r="F174" s="221"/>
      <c r="G174" s="222"/>
      <c r="H174" s="609"/>
      <c r="I174" s="609"/>
      <c r="J174" s="220"/>
    </row>
    <row r="175" spans="2:11" x14ac:dyDescent="0.25">
      <c r="B175" s="195" t="s">
        <v>1028</v>
      </c>
      <c r="C175" s="220">
        <v>0.16400000000000001</v>
      </c>
      <c r="D175" s="197">
        <f>$C$170*C175</f>
        <v>12929.76</v>
      </c>
      <c r="F175" s="221"/>
      <c r="G175" s="222"/>
      <c r="H175" s="609"/>
      <c r="I175" s="609"/>
      <c r="J175" s="220"/>
      <c r="K175" s="220"/>
    </row>
    <row r="176" spans="2:11" x14ac:dyDescent="0.25">
      <c r="B176" s="195" t="s">
        <v>1029</v>
      </c>
      <c r="C176" s="198">
        <v>7.3000000000000001E-3</v>
      </c>
      <c r="D176" s="197">
        <f t="shared" ref="D176:D182" si="5">$C$170*C176</f>
        <v>575.53200000000004</v>
      </c>
      <c r="G176" s="222"/>
      <c r="H176" s="609"/>
      <c r="I176" s="609"/>
    </row>
    <row r="177" spans="1:11" x14ac:dyDescent="0.25">
      <c r="B177" s="195" t="s">
        <v>866</v>
      </c>
      <c r="C177" s="196">
        <v>5.8E-4</v>
      </c>
      <c r="D177" s="197">
        <f t="shared" si="5"/>
        <v>45.727200000000003</v>
      </c>
      <c r="G177" s="223"/>
      <c r="H177" s="609"/>
      <c r="I177" s="609"/>
      <c r="J177" s="220"/>
      <c r="K177" s="220"/>
    </row>
    <row r="178" spans="1:11" x14ac:dyDescent="0.2">
      <c r="B178" s="195" t="s">
        <v>1030</v>
      </c>
      <c r="C178" s="198">
        <v>5.3E-3</v>
      </c>
      <c r="D178" s="197">
        <f t="shared" si="5"/>
        <v>417.85199999999998</v>
      </c>
      <c r="G178" s="222"/>
    </row>
    <row r="179" spans="1:11" x14ac:dyDescent="0.2">
      <c r="B179" s="195" t="s">
        <v>1031</v>
      </c>
      <c r="C179" s="199">
        <f>C11</f>
        <v>1.8401152046783626E-3</v>
      </c>
      <c r="D179" s="197">
        <f t="shared" si="5"/>
        <v>145.07468273684211</v>
      </c>
      <c r="G179" s="222"/>
    </row>
    <row r="180" spans="1:11" x14ac:dyDescent="0.25">
      <c r="B180" s="195" t="s">
        <v>864</v>
      </c>
      <c r="C180" s="196">
        <v>117</v>
      </c>
      <c r="D180" s="197">
        <f t="shared" si="5"/>
        <v>9224280</v>
      </c>
      <c r="G180" s="222"/>
    </row>
    <row r="181" spans="1:11" x14ac:dyDescent="0.25">
      <c r="B181" s="195" t="s">
        <v>1032</v>
      </c>
      <c r="C181" s="196">
        <v>2.2049999999999999E-3</v>
      </c>
      <c r="D181" s="197">
        <f t="shared" si="5"/>
        <v>173.84219999999999</v>
      </c>
      <c r="G181" s="222"/>
    </row>
    <row r="182" spans="1:11" ht="15" thickBot="1" x14ac:dyDescent="0.3">
      <c r="B182" s="201" t="s">
        <v>865</v>
      </c>
      <c r="C182" s="202">
        <v>2.2049999999999999E-4</v>
      </c>
      <c r="D182" s="224">
        <f t="shared" si="5"/>
        <v>17.384219999999999</v>
      </c>
      <c r="G182" s="222"/>
    </row>
    <row r="183" spans="1:11" x14ac:dyDescent="0.2">
      <c r="A183" s="119">
        <v>1</v>
      </c>
      <c r="B183" s="108" t="s">
        <v>1057</v>
      </c>
    </row>
    <row r="184" spans="1:11" x14ac:dyDescent="0.2">
      <c r="A184" s="119">
        <v>2</v>
      </c>
      <c r="B184" s="108" t="s">
        <v>1058</v>
      </c>
    </row>
    <row r="186" spans="1:11" x14ac:dyDescent="0.2">
      <c r="C186" s="204"/>
    </row>
    <row r="187" spans="1:11" x14ac:dyDescent="0.2">
      <c r="C187" s="204"/>
    </row>
    <row r="188" spans="1:11" x14ac:dyDescent="0.2">
      <c r="C188" s="204"/>
    </row>
    <row r="189" spans="1:11" x14ac:dyDescent="0.2">
      <c r="C189" s="204"/>
    </row>
    <row r="191" spans="1:11" x14ac:dyDescent="0.2">
      <c r="C191" s="226"/>
      <c r="D191" s="223"/>
    </row>
    <row r="192" spans="1:11" x14ac:dyDescent="0.2">
      <c r="C192" s="225"/>
    </row>
    <row r="194" spans="3:3" x14ac:dyDescent="0.2">
      <c r="C194" s="225"/>
    </row>
  </sheetData>
  <mergeCells count="5">
    <mergeCell ref="H173:I173"/>
    <mergeCell ref="H174:I174"/>
    <mergeCell ref="H175:I175"/>
    <mergeCell ref="H176:I176"/>
    <mergeCell ref="H177:I177"/>
  </mergeCells>
  <pageMargins left="0.75" right="0.75" top="1" bottom="1" header="0.5" footer="0.5"/>
  <pageSetup scale="88"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rowBreaks count="6" manualBreakCount="6">
    <brk id="29" max="6" man="1"/>
    <brk id="56" max="6" man="1"/>
    <brk id="84" max="6" man="1"/>
    <brk id="112" max="6" man="1"/>
    <brk id="140" max="6" man="1"/>
    <brk id="16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D59C-9708-4A40-B39D-A13438B2B571}">
  <sheetPr>
    <pageSetUpPr fitToPage="1"/>
  </sheetPr>
  <dimension ref="A1:AR182"/>
  <sheetViews>
    <sheetView topLeftCell="D58" zoomScale="55" zoomScaleNormal="55" workbookViewId="0">
      <selection activeCell="K61" sqref="K61"/>
    </sheetView>
  </sheetViews>
  <sheetFormatPr defaultColWidth="9.140625" defaultRowHeight="14.25" x14ac:dyDescent="0.2"/>
  <cols>
    <col min="1" max="1" width="9.5703125" style="117" customWidth="1"/>
    <col min="2" max="2" width="2.140625" style="118" customWidth="1"/>
    <col min="3" max="3" width="30.42578125" style="117" customWidth="1"/>
    <col min="4" max="4" width="28.42578125" style="117" customWidth="1"/>
    <col min="5" max="5" width="19.5703125" style="117" customWidth="1"/>
    <col min="6" max="6" width="19.140625" style="117" customWidth="1"/>
    <col min="7" max="7" width="3.28515625" style="119" customWidth="1"/>
    <col min="8" max="8" width="29.140625" style="106" customWidth="1"/>
    <col min="9" max="9" width="15.7109375" style="106" customWidth="1"/>
    <col min="10" max="10" width="16.5703125" style="106" customWidth="1"/>
    <col min="11" max="11" width="19.140625" style="106" customWidth="1"/>
    <col min="12" max="12" width="18.140625" style="106" customWidth="1"/>
    <col min="13" max="13" width="12.42578125" style="106" customWidth="1"/>
    <col min="14" max="14" width="13.7109375" style="106" customWidth="1"/>
    <col min="15" max="15" width="12.42578125" style="106" customWidth="1"/>
    <col min="16" max="16" width="19.140625" style="106" customWidth="1"/>
    <col min="17" max="17" width="12.42578125" style="106" customWidth="1"/>
    <col min="18" max="18" width="21.7109375" style="106" customWidth="1"/>
    <col min="19" max="19" width="13.5703125" style="106" customWidth="1"/>
    <col min="20" max="20" width="12" style="106" customWidth="1"/>
    <col min="21" max="21" width="17.5703125" style="106" customWidth="1"/>
    <col min="22" max="22" width="11.85546875" style="106" customWidth="1"/>
    <col min="23" max="23" width="13.42578125" style="106" customWidth="1"/>
    <col min="24" max="24" width="16.85546875" style="106" customWidth="1"/>
    <col min="25" max="25" width="9.140625" style="106"/>
    <col min="26" max="27" width="12.7109375" style="184" customWidth="1"/>
    <col min="28" max="33" width="12.7109375" style="120" customWidth="1"/>
    <col min="34" max="37" width="12.7109375" style="184" customWidth="1"/>
    <col min="38" max="38" width="15.7109375" style="106" customWidth="1"/>
    <col min="39" max="39" width="21.85546875" style="106" customWidth="1"/>
    <col min="40" max="40" width="20.5703125" style="106" customWidth="1"/>
    <col min="41" max="41" width="14.28515625" style="106" customWidth="1"/>
    <col min="42" max="42" width="9.140625" style="106"/>
    <col min="43" max="43" width="14.42578125" style="106" customWidth="1"/>
    <col min="44" max="44" width="14.5703125" style="106" customWidth="1"/>
    <col min="45" max="16384" width="9.140625" style="106"/>
  </cols>
  <sheetData>
    <row r="1" spans="1:44" x14ac:dyDescent="0.2">
      <c r="A1" s="338"/>
    </row>
    <row r="2" spans="1:44" ht="16.5" customHeight="1" x14ac:dyDescent="0.2"/>
    <row r="3" spans="1:44" ht="15" thickBot="1" x14ac:dyDescent="0.25">
      <c r="H3" s="288" t="s">
        <v>1919</v>
      </c>
      <c r="I3" s="117"/>
      <c r="J3" s="117"/>
      <c r="K3" s="117"/>
      <c r="L3" s="117"/>
      <c r="M3" s="117"/>
      <c r="N3" s="117"/>
      <c r="O3" s="117"/>
      <c r="P3" s="117"/>
      <c r="Q3" s="117"/>
      <c r="R3" s="117"/>
      <c r="S3" s="117"/>
      <c r="T3" s="117"/>
      <c r="U3" s="117"/>
      <c r="V3" s="117"/>
      <c r="W3" s="117"/>
      <c r="X3" s="117"/>
      <c r="Z3" s="285" t="s">
        <v>1920</v>
      </c>
      <c r="AM3" s="286" t="s">
        <v>1921</v>
      </c>
    </row>
    <row r="4" spans="1:44" ht="15.75" customHeight="1" thickBot="1" x14ac:dyDescent="0.25">
      <c r="H4" s="628" t="s">
        <v>0</v>
      </c>
      <c r="I4" s="630" t="s">
        <v>1059</v>
      </c>
      <c r="J4" s="635" t="s">
        <v>1060</v>
      </c>
      <c r="K4" s="632" t="s">
        <v>1061</v>
      </c>
      <c r="L4" s="633"/>
      <c r="M4" s="625" t="s">
        <v>1062</v>
      </c>
      <c r="N4" s="626"/>
      <c r="O4" s="626"/>
      <c r="P4" s="626"/>
      <c r="Q4" s="626"/>
      <c r="R4" s="627"/>
      <c r="S4" s="625" t="s">
        <v>1063</v>
      </c>
      <c r="T4" s="626"/>
      <c r="U4" s="626"/>
      <c r="V4" s="626"/>
      <c r="W4" s="626"/>
      <c r="X4" s="627"/>
      <c r="Z4" s="619" t="s">
        <v>1064</v>
      </c>
      <c r="AA4" s="620"/>
      <c r="AB4" s="620"/>
      <c r="AC4" s="620"/>
      <c r="AD4" s="620"/>
      <c r="AE4" s="621"/>
      <c r="AF4" s="619" t="s">
        <v>1065</v>
      </c>
      <c r="AG4" s="620"/>
      <c r="AH4" s="620"/>
      <c r="AI4" s="620"/>
      <c r="AJ4" s="620"/>
      <c r="AK4" s="621"/>
      <c r="AM4" s="613" t="s">
        <v>1066</v>
      </c>
      <c r="AN4" s="611" t="s">
        <v>1067</v>
      </c>
      <c r="AO4" s="617" t="s">
        <v>1068</v>
      </c>
      <c r="AP4" s="617" t="s">
        <v>1069</v>
      </c>
      <c r="AQ4" s="617" t="s">
        <v>1070</v>
      </c>
      <c r="AR4" s="615" t="s">
        <v>1071</v>
      </c>
    </row>
    <row r="5" spans="1:44" ht="39" thickBot="1" x14ac:dyDescent="0.25">
      <c r="C5" s="282" t="s">
        <v>1916</v>
      </c>
      <c r="H5" s="629"/>
      <c r="I5" s="631"/>
      <c r="J5" s="636"/>
      <c r="K5" s="121" t="s">
        <v>1072</v>
      </c>
      <c r="L5" s="122" t="s">
        <v>1073</v>
      </c>
      <c r="M5" s="123" t="s">
        <v>30</v>
      </c>
      <c r="N5" s="124" t="s">
        <v>37</v>
      </c>
      <c r="O5" s="124" t="s">
        <v>39</v>
      </c>
      <c r="P5" s="124" t="s">
        <v>42</v>
      </c>
      <c r="Q5" s="124" t="s">
        <v>44</v>
      </c>
      <c r="R5" s="125" t="s">
        <v>46</v>
      </c>
      <c r="S5" s="126" t="s">
        <v>30</v>
      </c>
      <c r="T5" s="124" t="s">
        <v>37</v>
      </c>
      <c r="U5" s="124" t="s">
        <v>39</v>
      </c>
      <c r="V5" s="124" t="s">
        <v>42</v>
      </c>
      <c r="W5" s="124" t="s">
        <v>44</v>
      </c>
      <c r="X5" s="125" t="s">
        <v>46</v>
      </c>
      <c r="Z5" s="289" t="s">
        <v>30</v>
      </c>
      <c r="AA5" s="290" t="s">
        <v>37</v>
      </c>
      <c r="AB5" s="290" t="s">
        <v>39</v>
      </c>
      <c r="AC5" s="290" t="s">
        <v>42</v>
      </c>
      <c r="AD5" s="290" t="s">
        <v>44</v>
      </c>
      <c r="AE5" s="291" t="s">
        <v>46</v>
      </c>
      <c r="AF5" s="292" t="s">
        <v>30</v>
      </c>
      <c r="AG5" s="290" t="s">
        <v>37</v>
      </c>
      <c r="AH5" s="290" t="s">
        <v>39</v>
      </c>
      <c r="AI5" s="290" t="s">
        <v>42</v>
      </c>
      <c r="AJ5" s="290" t="s">
        <v>44</v>
      </c>
      <c r="AK5" s="291" t="s">
        <v>46</v>
      </c>
      <c r="AM5" s="614"/>
      <c r="AN5" s="612"/>
      <c r="AO5" s="618"/>
      <c r="AP5" s="618"/>
      <c r="AQ5" s="618"/>
      <c r="AR5" s="616"/>
    </row>
    <row r="6" spans="1:44" x14ac:dyDescent="0.2">
      <c r="C6" s="437" t="s">
        <v>1074</v>
      </c>
      <c r="D6" s="438">
        <v>208</v>
      </c>
      <c r="E6" s="439"/>
      <c r="H6" s="127" t="s">
        <v>234</v>
      </c>
      <c r="I6" s="128" t="s">
        <v>233</v>
      </c>
      <c r="J6" s="129" t="s">
        <v>1075</v>
      </c>
      <c r="K6" s="130">
        <v>0.21740000000000001</v>
      </c>
      <c r="L6" s="131">
        <v>0.21740000000000001</v>
      </c>
      <c r="M6" s="132">
        <f t="shared" ref="M6:M37" si="0">IFERROR($AQ$6*$L6,0)+IFERROR(IF($J6="yes",($AN$6/1000)*$L6*$M$62*$H$67,0),0)</f>
        <v>0.39574562629333332</v>
      </c>
      <c r="N6" s="133">
        <f t="shared" ref="N6:N37" si="1">IFERROR($AQ$7*$L6,0)+IFERROR(IF($J6="yes",($AN$7/1000)*$L6*$M$62*$H$67,0),0)</f>
        <v>0.39574562629333332</v>
      </c>
      <c r="O6" s="133">
        <f t="shared" ref="O6:O37" si="2">IFERROR($AQ$8*$L6,0)+IFERROR(IF($J6="yes",($AN$8/1000)*$L6*$M$62*$H$67,0),0)</f>
        <v>0.49681831155111106</v>
      </c>
      <c r="P6" s="133">
        <f t="shared" ref="P6:P37" si="3">IFERROR($AQ$9*$L6,0)+IFERROR(IF($J6="yes",($AN$9/1000)*$L6*$M$62*$H$67,0),0)</f>
        <v>0.49681831155111106</v>
      </c>
      <c r="Q6" s="133">
        <f t="shared" ref="Q6:Q37" si="4">IFERROR($AQ$10*$L6,0)+IFERROR(IF($J6="yes",($AN$10/1000)*$L6*$M$62*$H$67,0),0)</f>
        <v>0.49681831155111106</v>
      </c>
      <c r="R6" s="134">
        <f t="shared" ref="R6:R33" si="5">IFERROR($AQ$11*$L6,0)+IFERROR(IF($J6="yes",($AN$11/1000)*$L6*$M$62*$H$67,0),0)</f>
        <v>4.3393160777777773E-2</v>
      </c>
      <c r="S6" s="135">
        <f t="shared" ref="S6:S37" si="6">IFERROR($AR$6*$L6,0)+IFERROR(IF($J6="yes",($AN$6/1000)*$L6*$M$62*$J$67,0),0)</f>
        <v>0.10380142725333334</v>
      </c>
      <c r="T6" s="136">
        <f t="shared" ref="T6:T37" si="7">IFERROR($AR$7*$L6,0)+IFERROR(IF($J6="yes",($AN$7/1000)*$L6*$M$62*$J$67,0),0)</f>
        <v>0.10380142725333334</v>
      </c>
      <c r="U6" s="136">
        <f t="shared" ref="U6:U37" si="8">IFERROR($AR$8*$L6,0)+IFERROR(IF($J6="yes",($AN$8/1000)*$L6*$M$62*$J$67,0),0)</f>
        <v>0.13031211565777778</v>
      </c>
      <c r="V6" s="133">
        <f t="shared" ref="V6:V37" si="9">IFERROR($AR$9*$L6,0)+IFERROR(IF($J6="yes",($AN$9/1000)*$L6*$M$62*$J$67,0),0)</f>
        <v>0.13031211565777778</v>
      </c>
      <c r="W6" s="133">
        <f t="shared" ref="W6:W37" si="10">IFERROR($AR$10*$L6,0)+IFERROR(IF($J6="yes",($AN$10/1000)*$L6*$M$62*$J$67,0),0)</f>
        <v>0.13031211565777778</v>
      </c>
      <c r="X6" s="134">
        <f t="shared" ref="X6:X33" si="11">IFERROR($AR$11*$L6,0)+IFERROR(IF($J6="yes",($AN$11/1000)*$L6*$M$62*$J$67,0),0)</f>
        <v>1.1381735444444445E-2</v>
      </c>
      <c r="Z6" s="293">
        <f t="shared" ref="Z6:Z37" si="12">M6/$AQ$6</f>
        <v>0.22252902962962962</v>
      </c>
      <c r="AA6" s="294">
        <f t="shared" ref="AA6:AA37" si="13">N6/$AQ$7</f>
        <v>0.22252902962962962</v>
      </c>
      <c r="AB6" s="294">
        <f t="shared" ref="AB6:AB37" si="14">O6/$AQ$8</f>
        <v>0.22252902962962964</v>
      </c>
      <c r="AC6" s="294">
        <f t="shared" ref="AC6:AC37" si="15">P6/$AQ$9</f>
        <v>0.22252902962962964</v>
      </c>
      <c r="AD6" s="294">
        <f t="shared" ref="AD6:AD37" si="16">Q6/$AQ$10</f>
        <v>0.22252902962962964</v>
      </c>
      <c r="AE6" s="295">
        <f t="shared" ref="AE6:AE37" si="17">R6/$AQ$11</f>
        <v>0.22252902962962959</v>
      </c>
      <c r="AF6" s="296">
        <f t="shared" ref="AF6:AF37" si="18">S6/$AR$6</f>
        <v>0.2188795277777778</v>
      </c>
      <c r="AG6" s="297">
        <f t="shared" ref="AG6:AG37" si="19">T6/$AR$7</f>
        <v>0.2188795277777778</v>
      </c>
      <c r="AH6" s="297">
        <f t="shared" ref="AH6:AH37" si="20">U6/$AR$8</f>
        <v>0.21887952777777778</v>
      </c>
      <c r="AI6" s="294">
        <f t="shared" ref="AI6:AI37" si="21">V6/$AR$9</f>
        <v>0.21887952777777778</v>
      </c>
      <c r="AJ6" s="294">
        <f t="shared" ref="AJ6:AJ37" si="22">W6/$AR$10</f>
        <v>0.21887952777777778</v>
      </c>
      <c r="AK6" s="295">
        <f t="shared" ref="AK6:AK37" si="23">X6/$AR$11</f>
        <v>0.2188795277777778</v>
      </c>
      <c r="AM6" s="298" t="s">
        <v>30</v>
      </c>
      <c r="AN6" s="299">
        <v>59.28</v>
      </c>
      <c r="AO6" s="299">
        <v>30</v>
      </c>
      <c r="AP6" s="299">
        <v>8</v>
      </c>
      <c r="AQ6" s="299">
        <f>AN6*AO6/1000</f>
        <v>1.7784</v>
      </c>
      <c r="AR6" s="300">
        <f>AN6*AP6/1000</f>
        <v>0.47423999999999999</v>
      </c>
    </row>
    <row r="7" spans="1:44" x14ac:dyDescent="0.2">
      <c r="C7" s="137" t="s">
        <v>1076</v>
      </c>
      <c r="D7" s="138">
        <v>13</v>
      </c>
      <c r="E7" s="139"/>
      <c r="H7" s="440" t="s">
        <v>1077</v>
      </c>
      <c r="I7" s="354" t="s">
        <v>1078</v>
      </c>
      <c r="J7" s="140" t="s">
        <v>1075</v>
      </c>
      <c r="K7" s="441">
        <v>7.3461430796324472E-4</v>
      </c>
      <c r="L7" s="333" t="s">
        <v>364</v>
      </c>
      <c r="M7" s="442">
        <f t="shared" si="0"/>
        <v>0</v>
      </c>
      <c r="N7" s="443">
        <f t="shared" si="1"/>
        <v>0</v>
      </c>
      <c r="O7" s="443">
        <f t="shared" si="2"/>
        <v>0</v>
      </c>
      <c r="P7" s="443">
        <f t="shared" si="3"/>
        <v>0</v>
      </c>
      <c r="Q7" s="443">
        <f t="shared" si="4"/>
        <v>0</v>
      </c>
      <c r="R7" s="444">
        <f t="shared" si="5"/>
        <v>0</v>
      </c>
      <c r="S7" s="445">
        <f t="shared" si="6"/>
        <v>0</v>
      </c>
      <c r="T7" s="446">
        <f t="shared" si="7"/>
        <v>0</v>
      </c>
      <c r="U7" s="446">
        <f t="shared" si="8"/>
        <v>0</v>
      </c>
      <c r="V7" s="443">
        <f t="shared" si="9"/>
        <v>0</v>
      </c>
      <c r="W7" s="443">
        <f t="shared" si="10"/>
        <v>0</v>
      </c>
      <c r="X7" s="444">
        <f t="shared" si="11"/>
        <v>0</v>
      </c>
      <c r="Z7" s="447">
        <f t="shared" si="12"/>
        <v>0</v>
      </c>
      <c r="AA7" s="448">
        <f t="shared" si="13"/>
        <v>0</v>
      </c>
      <c r="AB7" s="448">
        <f t="shared" si="14"/>
        <v>0</v>
      </c>
      <c r="AC7" s="448">
        <f t="shared" si="15"/>
        <v>0</v>
      </c>
      <c r="AD7" s="448">
        <f t="shared" si="16"/>
        <v>0</v>
      </c>
      <c r="AE7" s="449">
        <f t="shared" si="17"/>
        <v>0</v>
      </c>
      <c r="AF7" s="450">
        <f t="shared" si="18"/>
        <v>0</v>
      </c>
      <c r="AG7" s="451">
        <f t="shared" si="19"/>
        <v>0</v>
      </c>
      <c r="AH7" s="451">
        <f t="shared" si="20"/>
        <v>0</v>
      </c>
      <c r="AI7" s="448">
        <f t="shared" si="21"/>
        <v>0</v>
      </c>
      <c r="AJ7" s="448">
        <f t="shared" si="22"/>
        <v>0</v>
      </c>
      <c r="AK7" s="449">
        <f t="shared" si="23"/>
        <v>0</v>
      </c>
      <c r="AM7" s="452" t="s">
        <v>37</v>
      </c>
      <c r="AN7" s="356">
        <v>59.28</v>
      </c>
      <c r="AO7" s="356">
        <v>30</v>
      </c>
      <c r="AP7" s="356">
        <v>8</v>
      </c>
      <c r="AQ7" s="356">
        <f t="shared" ref="AQ7:AQ11" si="24">AN7*AO7/1000</f>
        <v>1.7784</v>
      </c>
      <c r="AR7" s="453">
        <f t="shared" ref="AR7:AR11" si="25">AN7*AP7/1000</f>
        <v>0.47423999999999999</v>
      </c>
    </row>
    <row r="8" spans="1:44" x14ac:dyDescent="0.2">
      <c r="C8" s="137" t="s">
        <v>1079</v>
      </c>
      <c r="D8" s="141">
        <v>1.1499999999999999</v>
      </c>
      <c r="E8" s="139"/>
      <c r="H8" s="454" t="s">
        <v>1080</v>
      </c>
      <c r="I8" s="354" t="s">
        <v>1081</v>
      </c>
      <c r="J8" s="283" t="s">
        <v>1075</v>
      </c>
      <c r="K8" s="441">
        <v>8.0981637303101373E-4</v>
      </c>
      <c r="L8" s="333" t="s">
        <v>364</v>
      </c>
      <c r="M8" s="442">
        <f t="shared" si="0"/>
        <v>0</v>
      </c>
      <c r="N8" s="443">
        <f t="shared" si="1"/>
        <v>0</v>
      </c>
      <c r="O8" s="443">
        <f t="shared" si="2"/>
        <v>0</v>
      </c>
      <c r="P8" s="443">
        <f t="shared" si="3"/>
        <v>0</v>
      </c>
      <c r="Q8" s="443">
        <f t="shared" si="4"/>
        <v>0</v>
      </c>
      <c r="R8" s="444">
        <f t="shared" si="5"/>
        <v>0</v>
      </c>
      <c r="S8" s="445">
        <f t="shared" si="6"/>
        <v>0</v>
      </c>
      <c r="T8" s="446">
        <f t="shared" si="7"/>
        <v>0</v>
      </c>
      <c r="U8" s="446">
        <f t="shared" si="8"/>
        <v>0</v>
      </c>
      <c r="V8" s="443">
        <f t="shared" si="9"/>
        <v>0</v>
      </c>
      <c r="W8" s="443">
        <f t="shared" si="10"/>
        <v>0</v>
      </c>
      <c r="X8" s="444">
        <f t="shared" si="11"/>
        <v>0</v>
      </c>
      <c r="Z8" s="447">
        <f t="shared" si="12"/>
        <v>0</v>
      </c>
      <c r="AA8" s="448">
        <f t="shared" si="13"/>
        <v>0</v>
      </c>
      <c r="AB8" s="448">
        <f t="shared" si="14"/>
        <v>0</v>
      </c>
      <c r="AC8" s="448">
        <f t="shared" si="15"/>
        <v>0</v>
      </c>
      <c r="AD8" s="448">
        <f t="shared" si="16"/>
        <v>0</v>
      </c>
      <c r="AE8" s="449">
        <f t="shared" si="17"/>
        <v>0</v>
      </c>
      <c r="AF8" s="450">
        <f t="shared" si="18"/>
        <v>0</v>
      </c>
      <c r="AG8" s="451">
        <f t="shared" si="19"/>
        <v>0</v>
      </c>
      <c r="AH8" s="451">
        <f t="shared" si="20"/>
        <v>0</v>
      </c>
      <c r="AI8" s="448">
        <f t="shared" si="21"/>
        <v>0</v>
      </c>
      <c r="AJ8" s="448">
        <f t="shared" si="22"/>
        <v>0</v>
      </c>
      <c r="AK8" s="449">
        <f t="shared" si="23"/>
        <v>0</v>
      </c>
      <c r="AM8" s="452" t="s">
        <v>39</v>
      </c>
      <c r="AN8" s="356">
        <v>74.42</v>
      </c>
      <c r="AO8" s="356">
        <v>30</v>
      </c>
      <c r="AP8" s="356">
        <v>8</v>
      </c>
      <c r="AQ8" s="356">
        <f t="shared" si="24"/>
        <v>2.2325999999999997</v>
      </c>
      <c r="AR8" s="453">
        <f t="shared" si="25"/>
        <v>0.59536</v>
      </c>
    </row>
    <row r="9" spans="1:44" x14ac:dyDescent="0.2">
      <c r="C9" s="137" t="s">
        <v>1082</v>
      </c>
      <c r="D9" s="142">
        <v>164</v>
      </c>
      <c r="E9" s="139"/>
      <c r="H9" s="454" t="s">
        <v>248</v>
      </c>
      <c r="I9" s="354" t="s">
        <v>247</v>
      </c>
      <c r="J9" s="332" t="s">
        <v>1075</v>
      </c>
      <c r="K9" s="441">
        <v>0.7833</v>
      </c>
      <c r="L9" s="333">
        <v>0.7833</v>
      </c>
      <c r="M9" s="442">
        <f t="shared" si="0"/>
        <v>1.4258856903199999</v>
      </c>
      <c r="N9" s="443">
        <f t="shared" si="1"/>
        <v>1.4258856903199999</v>
      </c>
      <c r="O9" s="443">
        <f t="shared" si="2"/>
        <v>1.7900542016466663</v>
      </c>
      <c r="P9" s="443">
        <f t="shared" si="3"/>
        <v>1.7900542016466663</v>
      </c>
      <c r="Q9" s="443">
        <f t="shared" si="4"/>
        <v>1.7900542016466663</v>
      </c>
      <c r="R9" s="444">
        <f t="shared" si="5"/>
        <v>0.15634711516666666</v>
      </c>
      <c r="S9" s="445">
        <f t="shared" si="6"/>
        <v>0.37400026663999997</v>
      </c>
      <c r="T9" s="446">
        <f t="shared" si="7"/>
        <v>0.37400026663999997</v>
      </c>
      <c r="U9" s="446">
        <f t="shared" si="8"/>
        <v>0.46951922812666663</v>
      </c>
      <c r="V9" s="443">
        <f t="shared" si="9"/>
        <v>0.46951922812666663</v>
      </c>
      <c r="W9" s="443">
        <f t="shared" si="10"/>
        <v>0.46951922812666663</v>
      </c>
      <c r="X9" s="444">
        <f t="shared" si="11"/>
        <v>4.1008801166666664E-2</v>
      </c>
      <c r="Z9" s="447">
        <f t="shared" si="12"/>
        <v>0.80178007777777771</v>
      </c>
      <c r="AA9" s="448">
        <f t="shared" si="13"/>
        <v>0.80178007777777771</v>
      </c>
      <c r="AB9" s="448">
        <f t="shared" si="14"/>
        <v>0.80178007777777771</v>
      </c>
      <c r="AC9" s="448">
        <f t="shared" si="15"/>
        <v>0.80178007777777771</v>
      </c>
      <c r="AD9" s="448">
        <f t="shared" si="16"/>
        <v>0.80178007777777771</v>
      </c>
      <c r="AE9" s="449">
        <f t="shared" si="17"/>
        <v>0.80178007777777771</v>
      </c>
      <c r="AF9" s="450">
        <f t="shared" si="18"/>
        <v>0.78863079166666661</v>
      </c>
      <c r="AG9" s="451">
        <f t="shared" si="19"/>
        <v>0.78863079166666661</v>
      </c>
      <c r="AH9" s="451">
        <f t="shared" si="20"/>
        <v>0.78863079166666661</v>
      </c>
      <c r="AI9" s="448">
        <f t="shared" si="21"/>
        <v>0.78863079166666661</v>
      </c>
      <c r="AJ9" s="448">
        <f t="shared" si="22"/>
        <v>0.78863079166666661</v>
      </c>
      <c r="AK9" s="449">
        <f t="shared" si="23"/>
        <v>0.78863079166666661</v>
      </c>
      <c r="AM9" s="452" t="s">
        <v>42</v>
      </c>
      <c r="AN9" s="356">
        <v>74.42</v>
      </c>
      <c r="AO9" s="356">
        <v>30</v>
      </c>
      <c r="AP9" s="356">
        <v>8</v>
      </c>
      <c r="AQ9" s="356">
        <f t="shared" si="24"/>
        <v>2.2325999999999997</v>
      </c>
      <c r="AR9" s="453">
        <f t="shared" si="25"/>
        <v>0.59536</v>
      </c>
    </row>
    <row r="10" spans="1:44" x14ac:dyDescent="0.2">
      <c r="C10" s="143"/>
      <c r="E10" s="139"/>
      <c r="H10" s="454" t="s">
        <v>250</v>
      </c>
      <c r="I10" s="354" t="s">
        <v>249</v>
      </c>
      <c r="J10" s="332" t="s">
        <v>1075</v>
      </c>
      <c r="K10" s="441">
        <v>3.39E-2</v>
      </c>
      <c r="L10" s="333">
        <v>3.39E-2</v>
      </c>
      <c r="M10" s="442">
        <f t="shared" si="0"/>
        <v>6.1710104559999993E-2</v>
      </c>
      <c r="N10" s="443">
        <f t="shared" si="1"/>
        <v>6.1710104559999993E-2</v>
      </c>
      <c r="O10" s="443">
        <f t="shared" si="2"/>
        <v>7.7470748673333312E-2</v>
      </c>
      <c r="P10" s="443">
        <f t="shared" si="3"/>
        <v>7.7470748673333312E-2</v>
      </c>
      <c r="Q10" s="443">
        <f t="shared" si="4"/>
        <v>7.7470748673333312E-2</v>
      </c>
      <c r="R10" s="444">
        <f t="shared" si="5"/>
        <v>6.7664588333333333E-3</v>
      </c>
      <c r="S10" s="445">
        <f t="shared" si="6"/>
        <v>1.6186147120000001E-2</v>
      </c>
      <c r="T10" s="446">
        <f t="shared" si="7"/>
        <v>1.6186147120000001E-2</v>
      </c>
      <c r="U10" s="446">
        <f t="shared" si="8"/>
        <v>2.0320058513333333E-2</v>
      </c>
      <c r="V10" s="443">
        <f t="shared" si="9"/>
        <v>2.0320058513333333E-2</v>
      </c>
      <c r="W10" s="443">
        <f t="shared" si="10"/>
        <v>2.0320058513333333E-2</v>
      </c>
      <c r="X10" s="444">
        <f t="shared" si="11"/>
        <v>1.7747968333333333E-3</v>
      </c>
      <c r="Z10" s="447">
        <f t="shared" si="12"/>
        <v>3.4699788888888888E-2</v>
      </c>
      <c r="AA10" s="448">
        <f t="shared" si="13"/>
        <v>3.4699788888888888E-2</v>
      </c>
      <c r="AB10" s="448">
        <f t="shared" si="14"/>
        <v>3.4699788888888881E-2</v>
      </c>
      <c r="AC10" s="448">
        <f t="shared" si="15"/>
        <v>3.4699788888888881E-2</v>
      </c>
      <c r="AD10" s="448">
        <f t="shared" si="16"/>
        <v>3.4699788888888881E-2</v>
      </c>
      <c r="AE10" s="449">
        <f t="shared" si="17"/>
        <v>3.4699788888888888E-2</v>
      </c>
      <c r="AF10" s="450">
        <f t="shared" si="18"/>
        <v>3.4130708333333336E-2</v>
      </c>
      <c r="AG10" s="451">
        <f t="shared" si="19"/>
        <v>3.4130708333333336E-2</v>
      </c>
      <c r="AH10" s="451">
        <f t="shared" si="20"/>
        <v>3.4130708333333329E-2</v>
      </c>
      <c r="AI10" s="448">
        <f t="shared" si="21"/>
        <v>3.4130708333333329E-2</v>
      </c>
      <c r="AJ10" s="448">
        <f t="shared" si="22"/>
        <v>3.4130708333333329E-2</v>
      </c>
      <c r="AK10" s="449">
        <f t="shared" si="23"/>
        <v>3.4130708333333336E-2</v>
      </c>
      <c r="AM10" s="452" t="s">
        <v>44</v>
      </c>
      <c r="AN10" s="356">
        <v>74.42</v>
      </c>
      <c r="AO10" s="356">
        <v>30</v>
      </c>
      <c r="AP10" s="356">
        <v>8</v>
      </c>
      <c r="AQ10" s="356">
        <f t="shared" si="24"/>
        <v>2.2325999999999997</v>
      </c>
      <c r="AR10" s="453">
        <f t="shared" si="25"/>
        <v>0.59536</v>
      </c>
    </row>
    <row r="11" spans="1:44" ht="27.75" thickBot="1" x14ac:dyDescent="0.25">
      <c r="C11" s="144" t="s">
        <v>1025</v>
      </c>
      <c r="D11" s="301" t="s">
        <v>1083</v>
      </c>
      <c r="E11" s="145" t="s">
        <v>1027</v>
      </c>
      <c r="H11" s="454" t="s">
        <v>1084</v>
      </c>
      <c r="I11" s="354" t="s">
        <v>251</v>
      </c>
      <c r="J11" s="332" t="s">
        <v>1085</v>
      </c>
      <c r="K11" s="441">
        <v>0.8</v>
      </c>
      <c r="L11" s="333">
        <v>0.8</v>
      </c>
      <c r="M11" s="442">
        <f t="shared" si="0"/>
        <v>1.42272</v>
      </c>
      <c r="N11" s="443">
        <f t="shared" si="1"/>
        <v>1.42272</v>
      </c>
      <c r="O11" s="443">
        <f t="shared" si="2"/>
        <v>1.7860799999999999</v>
      </c>
      <c r="P11" s="443">
        <f t="shared" si="3"/>
        <v>1.7860799999999999</v>
      </c>
      <c r="Q11" s="443">
        <f t="shared" si="4"/>
        <v>1.7860799999999999</v>
      </c>
      <c r="R11" s="444">
        <f t="shared" si="5"/>
        <v>0.15600000000000003</v>
      </c>
      <c r="S11" s="445">
        <f t="shared" si="6"/>
        <v>0.37939200000000001</v>
      </c>
      <c r="T11" s="446">
        <f t="shared" si="7"/>
        <v>0.37939200000000001</v>
      </c>
      <c r="U11" s="446">
        <f t="shared" si="8"/>
        <v>0.47628800000000004</v>
      </c>
      <c r="V11" s="443">
        <f t="shared" si="9"/>
        <v>0.47628800000000004</v>
      </c>
      <c r="W11" s="443">
        <f t="shared" si="10"/>
        <v>0.47628800000000004</v>
      </c>
      <c r="X11" s="444">
        <f t="shared" si="11"/>
        <v>4.1599999999999998E-2</v>
      </c>
      <c r="Z11" s="447">
        <f t="shared" si="12"/>
        <v>0.8</v>
      </c>
      <c r="AA11" s="448">
        <f t="shared" si="13"/>
        <v>0.8</v>
      </c>
      <c r="AB11" s="448">
        <f t="shared" si="14"/>
        <v>0.8</v>
      </c>
      <c r="AC11" s="448">
        <f t="shared" si="15"/>
        <v>0.8</v>
      </c>
      <c r="AD11" s="448">
        <f t="shared" si="16"/>
        <v>0.8</v>
      </c>
      <c r="AE11" s="449">
        <f t="shared" si="17"/>
        <v>0.80000000000000016</v>
      </c>
      <c r="AF11" s="450">
        <f t="shared" si="18"/>
        <v>0.8</v>
      </c>
      <c r="AG11" s="451">
        <f t="shared" si="19"/>
        <v>0.8</v>
      </c>
      <c r="AH11" s="451">
        <f t="shared" si="20"/>
        <v>0.8</v>
      </c>
      <c r="AI11" s="448">
        <f t="shared" si="21"/>
        <v>0.8</v>
      </c>
      <c r="AJ11" s="448">
        <f t="shared" si="22"/>
        <v>0.8</v>
      </c>
      <c r="AK11" s="449">
        <f t="shared" si="23"/>
        <v>0.8</v>
      </c>
      <c r="AM11" s="357" t="s">
        <v>46</v>
      </c>
      <c r="AN11" s="302">
        <v>6.5</v>
      </c>
      <c r="AO11" s="302">
        <v>30</v>
      </c>
      <c r="AP11" s="302">
        <v>8</v>
      </c>
      <c r="AQ11" s="302">
        <f t="shared" si="24"/>
        <v>0.19500000000000001</v>
      </c>
      <c r="AR11" s="455">
        <f t="shared" si="25"/>
        <v>5.1999999999999998E-2</v>
      </c>
    </row>
    <row r="12" spans="1:44" x14ac:dyDescent="0.2">
      <c r="C12" s="146" t="s">
        <v>822</v>
      </c>
      <c r="D12" s="138">
        <v>6.6800000000000002E-3</v>
      </c>
      <c r="E12" s="147">
        <f>$D$6*$D$7*D12</f>
        <v>18.062719999999999</v>
      </c>
      <c r="H12" s="454" t="s">
        <v>1086</v>
      </c>
      <c r="I12" s="354" t="s">
        <v>1087</v>
      </c>
      <c r="J12" s="332" t="s">
        <v>1075</v>
      </c>
      <c r="K12" s="441">
        <v>4.5209000937094504E-4</v>
      </c>
      <c r="L12" s="333" t="s">
        <v>364</v>
      </c>
      <c r="M12" s="442">
        <f t="shared" si="0"/>
        <v>0</v>
      </c>
      <c r="N12" s="443">
        <f t="shared" si="1"/>
        <v>0</v>
      </c>
      <c r="O12" s="443">
        <f t="shared" si="2"/>
        <v>0</v>
      </c>
      <c r="P12" s="443">
        <f t="shared" si="3"/>
        <v>0</v>
      </c>
      <c r="Q12" s="443">
        <f t="shared" si="4"/>
        <v>0</v>
      </c>
      <c r="R12" s="444">
        <f t="shared" si="5"/>
        <v>0</v>
      </c>
      <c r="S12" s="445">
        <f t="shared" si="6"/>
        <v>0</v>
      </c>
      <c r="T12" s="446">
        <f t="shared" si="7"/>
        <v>0</v>
      </c>
      <c r="U12" s="446">
        <f t="shared" si="8"/>
        <v>0</v>
      </c>
      <c r="V12" s="443">
        <f t="shared" si="9"/>
        <v>0</v>
      </c>
      <c r="W12" s="443">
        <f t="shared" si="10"/>
        <v>0</v>
      </c>
      <c r="X12" s="444">
        <f t="shared" si="11"/>
        <v>0</v>
      </c>
      <c r="Z12" s="447">
        <f t="shared" si="12"/>
        <v>0</v>
      </c>
      <c r="AA12" s="448">
        <f t="shared" si="13"/>
        <v>0</v>
      </c>
      <c r="AB12" s="448">
        <f t="shared" si="14"/>
        <v>0</v>
      </c>
      <c r="AC12" s="448">
        <f t="shared" si="15"/>
        <v>0</v>
      </c>
      <c r="AD12" s="448">
        <f t="shared" si="16"/>
        <v>0</v>
      </c>
      <c r="AE12" s="449">
        <f t="shared" si="17"/>
        <v>0</v>
      </c>
      <c r="AF12" s="450">
        <f t="shared" si="18"/>
        <v>0</v>
      </c>
      <c r="AG12" s="451">
        <f t="shared" si="19"/>
        <v>0</v>
      </c>
      <c r="AH12" s="451">
        <f t="shared" si="20"/>
        <v>0</v>
      </c>
      <c r="AI12" s="448">
        <f t="shared" si="21"/>
        <v>0</v>
      </c>
      <c r="AJ12" s="448">
        <f t="shared" si="22"/>
        <v>0</v>
      </c>
      <c r="AK12" s="449">
        <f t="shared" si="23"/>
        <v>0</v>
      </c>
    </row>
    <row r="13" spans="1:44" x14ac:dyDescent="0.25">
      <c r="C13" s="146" t="s">
        <v>1028</v>
      </c>
      <c r="D13" s="138">
        <v>3.1E-2</v>
      </c>
      <c r="E13" s="147">
        <f>$D$6*$D$7*D13</f>
        <v>83.823999999999998</v>
      </c>
      <c r="H13" s="454" t="s">
        <v>379</v>
      </c>
      <c r="I13" s="354" t="s">
        <v>354</v>
      </c>
      <c r="J13" s="332" t="s">
        <v>1085</v>
      </c>
      <c r="K13" s="441">
        <v>3.1818727304855452E-4</v>
      </c>
      <c r="L13" s="333">
        <v>3.1818727304855452E-4</v>
      </c>
      <c r="M13" s="442">
        <f t="shared" si="0"/>
        <v>5.658642463895494E-4</v>
      </c>
      <c r="N13" s="443">
        <f t="shared" si="1"/>
        <v>5.658642463895494E-4</v>
      </c>
      <c r="O13" s="443">
        <f t="shared" si="2"/>
        <v>7.1038490580820274E-4</v>
      </c>
      <c r="P13" s="443">
        <f t="shared" si="3"/>
        <v>7.1038490580820274E-4</v>
      </c>
      <c r="Q13" s="443">
        <f t="shared" si="4"/>
        <v>7.1038490580820274E-4</v>
      </c>
      <c r="R13" s="444">
        <f t="shared" si="5"/>
        <v>6.2046518244468127E-5</v>
      </c>
      <c r="S13" s="445">
        <f t="shared" si="6"/>
        <v>1.5089713237054651E-4</v>
      </c>
      <c r="T13" s="446">
        <f t="shared" si="7"/>
        <v>1.5089713237054651E-4</v>
      </c>
      <c r="U13" s="446">
        <f t="shared" si="8"/>
        <v>1.8943597488218741E-4</v>
      </c>
      <c r="V13" s="443">
        <f t="shared" si="9"/>
        <v>1.8943597488218741E-4</v>
      </c>
      <c r="W13" s="443">
        <f t="shared" si="10"/>
        <v>1.8943597488218741E-4</v>
      </c>
      <c r="X13" s="444">
        <f t="shared" si="11"/>
        <v>1.6545738198524835E-5</v>
      </c>
      <c r="Z13" s="447">
        <f t="shared" si="12"/>
        <v>3.1818727304855457E-4</v>
      </c>
      <c r="AA13" s="448">
        <f t="shared" si="13"/>
        <v>3.1818727304855457E-4</v>
      </c>
      <c r="AB13" s="448">
        <f t="shared" si="14"/>
        <v>3.1818727304855452E-4</v>
      </c>
      <c r="AC13" s="448">
        <f t="shared" si="15"/>
        <v>3.1818727304855452E-4</v>
      </c>
      <c r="AD13" s="448">
        <f t="shared" si="16"/>
        <v>3.1818727304855452E-4</v>
      </c>
      <c r="AE13" s="449">
        <f t="shared" si="17"/>
        <v>3.1818727304855446E-4</v>
      </c>
      <c r="AF13" s="450">
        <f t="shared" si="18"/>
        <v>3.1818727304855452E-4</v>
      </c>
      <c r="AG13" s="451">
        <f t="shared" si="19"/>
        <v>3.1818727304855452E-4</v>
      </c>
      <c r="AH13" s="451">
        <f t="shared" si="20"/>
        <v>3.1818727304855452E-4</v>
      </c>
      <c r="AI13" s="448">
        <f t="shared" si="21"/>
        <v>3.1818727304855452E-4</v>
      </c>
      <c r="AJ13" s="448">
        <f t="shared" si="22"/>
        <v>3.1818727304855452E-4</v>
      </c>
      <c r="AK13" s="449">
        <f t="shared" si="23"/>
        <v>3.1818727304855452E-4</v>
      </c>
    </row>
    <row r="14" spans="1:44" x14ac:dyDescent="0.25">
      <c r="C14" s="146" t="s">
        <v>1088</v>
      </c>
      <c r="D14" s="138">
        <v>2.2000000000000001E-3</v>
      </c>
      <c r="E14" s="148">
        <f>$D$6*$D$7*D14</f>
        <v>5.9488000000000003</v>
      </c>
      <c r="H14" s="454" t="s">
        <v>219</v>
      </c>
      <c r="I14" s="354" t="s">
        <v>218</v>
      </c>
      <c r="J14" s="332" t="s">
        <v>1085</v>
      </c>
      <c r="K14" s="441">
        <v>2.7685267838269253E-4</v>
      </c>
      <c r="L14" s="333">
        <v>1.6000000000000001E-3</v>
      </c>
      <c r="M14" s="442">
        <f t="shared" si="0"/>
        <v>2.8454400000000003E-3</v>
      </c>
      <c r="N14" s="443">
        <f t="shared" si="1"/>
        <v>2.8454400000000003E-3</v>
      </c>
      <c r="O14" s="443">
        <f t="shared" si="2"/>
        <v>3.5721599999999996E-3</v>
      </c>
      <c r="P14" s="443">
        <f t="shared" si="3"/>
        <v>3.5721599999999996E-3</v>
      </c>
      <c r="Q14" s="443">
        <f t="shared" si="4"/>
        <v>3.5721599999999996E-3</v>
      </c>
      <c r="R14" s="444">
        <f t="shared" si="5"/>
        <v>3.1200000000000005E-4</v>
      </c>
      <c r="S14" s="445">
        <f t="shared" si="6"/>
        <v>7.5878399999999998E-4</v>
      </c>
      <c r="T14" s="446">
        <f t="shared" si="7"/>
        <v>7.5878399999999998E-4</v>
      </c>
      <c r="U14" s="446">
        <f t="shared" si="8"/>
        <v>9.5257600000000001E-4</v>
      </c>
      <c r="V14" s="443">
        <f t="shared" si="9"/>
        <v>9.5257600000000001E-4</v>
      </c>
      <c r="W14" s="443">
        <f t="shared" si="10"/>
        <v>9.5257600000000001E-4</v>
      </c>
      <c r="X14" s="444">
        <f t="shared" si="11"/>
        <v>8.3200000000000003E-5</v>
      </c>
      <c r="Z14" s="447">
        <f t="shared" si="12"/>
        <v>1.6000000000000001E-3</v>
      </c>
      <c r="AA14" s="448">
        <f t="shared" si="13"/>
        <v>1.6000000000000001E-3</v>
      </c>
      <c r="AB14" s="448">
        <f t="shared" si="14"/>
        <v>1.6000000000000001E-3</v>
      </c>
      <c r="AC14" s="448">
        <f t="shared" si="15"/>
        <v>1.6000000000000001E-3</v>
      </c>
      <c r="AD14" s="448">
        <f t="shared" si="16"/>
        <v>1.6000000000000001E-3</v>
      </c>
      <c r="AE14" s="449">
        <f t="shared" si="17"/>
        <v>1.6000000000000003E-3</v>
      </c>
      <c r="AF14" s="450">
        <f t="shared" si="18"/>
        <v>1.6000000000000001E-3</v>
      </c>
      <c r="AG14" s="451">
        <f t="shared" si="19"/>
        <v>1.6000000000000001E-3</v>
      </c>
      <c r="AH14" s="451">
        <f t="shared" si="20"/>
        <v>1.6000000000000001E-3</v>
      </c>
      <c r="AI14" s="448">
        <f t="shared" si="21"/>
        <v>1.6000000000000001E-3</v>
      </c>
      <c r="AJ14" s="448">
        <f t="shared" si="22"/>
        <v>1.6000000000000001E-3</v>
      </c>
      <c r="AK14" s="449">
        <f t="shared" si="23"/>
        <v>1.6000000000000001E-3</v>
      </c>
    </row>
    <row r="15" spans="1:44" x14ac:dyDescent="0.25">
      <c r="C15" s="146" t="s">
        <v>1089</v>
      </c>
      <c r="D15" s="138">
        <v>2.0500000000000002E-3</v>
      </c>
      <c r="E15" s="148">
        <f>$D$6*$D$7*D15</f>
        <v>5.5432000000000006</v>
      </c>
      <c r="H15" s="454" t="s">
        <v>1090</v>
      </c>
      <c r="I15" s="354" t="s">
        <v>275</v>
      </c>
      <c r="J15" s="332" t="s">
        <v>1085</v>
      </c>
      <c r="K15" s="441">
        <v>3.7389334939055331E-4</v>
      </c>
      <c r="L15" s="333">
        <v>3.7389334939055331E-4</v>
      </c>
      <c r="M15" s="442">
        <f t="shared" si="0"/>
        <v>6.6493193255616001E-4</v>
      </c>
      <c r="N15" s="443">
        <f t="shared" si="1"/>
        <v>6.6493193255616001E-4</v>
      </c>
      <c r="O15" s="443">
        <f t="shared" si="2"/>
        <v>8.3475429184934921E-4</v>
      </c>
      <c r="P15" s="443">
        <f t="shared" si="3"/>
        <v>8.3475429184934921E-4</v>
      </c>
      <c r="Q15" s="443">
        <f t="shared" si="4"/>
        <v>8.3475429184934921E-4</v>
      </c>
      <c r="R15" s="444">
        <f t="shared" si="5"/>
        <v>7.2909203131157893E-5</v>
      </c>
      <c r="S15" s="445">
        <f t="shared" si="6"/>
        <v>1.77315182014976E-4</v>
      </c>
      <c r="T15" s="446">
        <f t="shared" si="7"/>
        <v>1.77315182014976E-4</v>
      </c>
      <c r="U15" s="446">
        <f t="shared" si="8"/>
        <v>2.2260114449315982E-4</v>
      </c>
      <c r="V15" s="443">
        <f t="shared" si="9"/>
        <v>2.2260114449315982E-4</v>
      </c>
      <c r="W15" s="443">
        <f t="shared" si="10"/>
        <v>2.2260114449315982E-4</v>
      </c>
      <c r="X15" s="444">
        <f t="shared" si="11"/>
        <v>1.944245416830877E-5</v>
      </c>
      <c r="Z15" s="447">
        <f t="shared" si="12"/>
        <v>3.7389334939055331E-4</v>
      </c>
      <c r="AA15" s="448">
        <f t="shared" si="13"/>
        <v>3.7389334939055331E-4</v>
      </c>
      <c r="AB15" s="448">
        <f t="shared" si="14"/>
        <v>3.7389334939055331E-4</v>
      </c>
      <c r="AC15" s="448">
        <f t="shared" si="15"/>
        <v>3.7389334939055331E-4</v>
      </c>
      <c r="AD15" s="448">
        <f t="shared" si="16"/>
        <v>3.7389334939055331E-4</v>
      </c>
      <c r="AE15" s="449">
        <f t="shared" si="17"/>
        <v>3.7389334939055331E-4</v>
      </c>
      <c r="AF15" s="450">
        <f t="shared" si="18"/>
        <v>3.7389334939055331E-4</v>
      </c>
      <c r="AG15" s="451">
        <f t="shared" si="19"/>
        <v>3.7389334939055331E-4</v>
      </c>
      <c r="AH15" s="451">
        <f t="shared" si="20"/>
        <v>3.7389334939055331E-4</v>
      </c>
      <c r="AI15" s="448">
        <f t="shared" si="21"/>
        <v>3.7389334939055331E-4</v>
      </c>
      <c r="AJ15" s="448">
        <f t="shared" si="22"/>
        <v>3.7389334939055331E-4</v>
      </c>
      <c r="AK15" s="449">
        <f t="shared" si="23"/>
        <v>3.7389334939055331E-4</v>
      </c>
    </row>
    <row r="16" spans="1:44" x14ac:dyDescent="0.2">
      <c r="C16" s="146" t="s">
        <v>1030</v>
      </c>
      <c r="D16" s="138">
        <v>2.47E-3</v>
      </c>
      <c r="E16" s="148">
        <f>$D$6*$D$7*D16</f>
        <v>6.6788799999999995</v>
      </c>
      <c r="H16" s="454" t="s">
        <v>1091</v>
      </c>
      <c r="I16" s="354" t="s">
        <v>617</v>
      </c>
      <c r="J16" s="332" t="s">
        <v>1075</v>
      </c>
      <c r="K16" s="441">
        <v>4.8541323701614526E-5</v>
      </c>
      <c r="L16" s="333" t="s">
        <v>364</v>
      </c>
      <c r="M16" s="442">
        <f t="shared" si="0"/>
        <v>0</v>
      </c>
      <c r="N16" s="443">
        <f t="shared" si="1"/>
        <v>0</v>
      </c>
      <c r="O16" s="443">
        <f t="shared" si="2"/>
        <v>0</v>
      </c>
      <c r="P16" s="443">
        <f t="shared" si="3"/>
        <v>0</v>
      </c>
      <c r="Q16" s="443">
        <f t="shared" si="4"/>
        <v>0</v>
      </c>
      <c r="R16" s="444">
        <f t="shared" si="5"/>
        <v>0</v>
      </c>
      <c r="S16" s="445">
        <f t="shared" si="6"/>
        <v>0</v>
      </c>
      <c r="T16" s="446">
        <f t="shared" si="7"/>
        <v>0</v>
      </c>
      <c r="U16" s="446">
        <f t="shared" si="8"/>
        <v>0</v>
      </c>
      <c r="V16" s="443">
        <f t="shared" si="9"/>
        <v>0</v>
      </c>
      <c r="W16" s="443">
        <f t="shared" si="10"/>
        <v>0</v>
      </c>
      <c r="X16" s="444">
        <f t="shared" si="11"/>
        <v>0</v>
      </c>
      <c r="Z16" s="447">
        <f t="shared" si="12"/>
        <v>0</v>
      </c>
      <c r="AA16" s="448">
        <f t="shared" si="13"/>
        <v>0</v>
      </c>
      <c r="AB16" s="448">
        <f t="shared" si="14"/>
        <v>0</v>
      </c>
      <c r="AC16" s="448">
        <f t="shared" si="15"/>
        <v>0</v>
      </c>
      <c r="AD16" s="448">
        <f t="shared" si="16"/>
        <v>0</v>
      </c>
      <c r="AE16" s="449">
        <f t="shared" si="17"/>
        <v>0</v>
      </c>
      <c r="AF16" s="450">
        <f t="shared" si="18"/>
        <v>0</v>
      </c>
      <c r="AG16" s="451">
        <f t="shared" si="19"/>
        <v>0</v>
      </c>
      <c r="AH16" s="451">
        <f t="shared" si="20"/>
        <v>0</v>
      </c>
      <c r="AI16" s="448">
        <f t="shared" si="21"/>
        <v>0</v>
      </c>
      <c r="AJ16" s="448">
        <f t="shared" si="22"/>
        <v>0</v>
      </c>
      <c r="AK16" s="449">
        <f t="shared" si="23"/>
        <v>0</v>
      </c>
    </row>
    <row r="17" spans="2:37" x14ac:dyDescent="0.2">
      <c r="C17" s="146"/>
      <c r="E17" s="149"/>
      <c r="H17" s="454" t="s">
        <v>222</v>
      </c>
      <c r="I17" s="354" t="s">
        <v>221</v>
      </c>
      <c r="J17" s="332" t="s">
        <v>1075</v>
      </c>
      <c r="K17" s="441">
        <v>0.18629999999999999</v>
      </c>
      <c r="L17" s="333">
        <v>0.18629999999999999</v>
      </c>
      <c r="M17" s="442">
        <f t="shared" si="0"/>
        <v>0.33913252151999995</v>
      </c>
      <c r="N17" s="443">
        <f t="shared" si="1"/>
        <v>0.33913252151999995</v>
      </c>
      <c r="O17" s="443">
        <f t="shared" si="2"/>
        <v>0.42574632677999991</v>
      </c>
      <c r="P17" s="443">
        <f t="shared" si="3"/>
        <v>0.42574632677999991</v>
      </c>
      <c r="Q17" s="443">
        <f t="shared" si="4"/>
        <v>0.42574632677999991</v>
      </c>
      <c r="R17" s="444">
        <f t="shared" si="5"/>
        <v>3.7185583499999994E-2</v>
      </c>
      <c r="S17" s="445">
        <f t="shared" si="6"/>
        <v>8.895218903999999E-2</v>
      </c>
      <c r="T17" s="446">
        <f t="shared" si="7"/>
        <v>8.895218903999999E-2</v>
      </c>
      <c r="U17" s="446">
        <f t="shared" si="8"/>
        <v>0.11167041005999999</v>
      </c>
      <c r="V17" s="443">
        <f t="shared" si="9"/>
        <v>0.11167041005999999</v>
      </c>
      <c r="W17" s="443">
        <f t="shared" si="10"/>
        <v>0.11167041005999999</v>
      </c>
      <c r="X17" s="444">
        <f t="shared" si="11"/>
        <v>9.7535294999999984E-3</v>
      </c>
      <c r="Z17" s="447">
        <f t="shared" si="12"/>
        <v>0.19069529999999998</v>
      </c>
      <c r="AA17" s="448">
        <f t="shared" si="13"/>
        <v>0.19069529999999998</v>
      </c>
      <c r="AB17" s="448">
        <f t="shared" si="14"/>
        <v>0.19069529999999998</v>
      </c>
      <c r="AC17" s="448">
        <f t="shared" si="15"/>
        <v>0.19069529999999998</v>
      </c>
      <c r="AD17" s="448">
        <f t="shared" si="16"/>
        <v>0.19069529999999998</v>
      </c>
      <c r="AE17" s="449">
        <f t="shared" si="17"/>
        <v>0.19069529999999996</v>
      </c>
      <c r="AF17" s="450">
        <f t="shared" si="18"/>
        <v>0.187567875</v>
      </c>
      <c r="AG17" s="451">
        <f t="shared" si="19"/>
        <v>0.187567875</v>
      </c>
      <c r="AH17" s="451">
        <f t="shared" si="20"/>
        <v>0.18756787499999997</v>
      </c>
      <c r="AI17" s="448">
        <f t="shared" si="21"/>
        <v>0.18756787499999997</v>
      </c>
      <c r="AJ17" s="448">
        <f t="shared" si="22"/>
        <v>0.18756787499999997</v>
      </c>
      <c r="AK17" s="449">
        <f t="shared" si="23"/>
        <v>0.18756787499999997</v>
      </c>
    </row>
    <row r="18" spans="2:37" ht="27" x14ac:dyDescent="0.2">
      <c r="C18" s="150"/>
      <c r="D18" s="301" t="s">
        <v>1092</v>
      </c>
      <c r="E18" s="145" t="s">
        <v>1027</v>
      </c>
      <c r="H18" s="454" t="s">
        <v>1093</v>
      </c>
      <c r="I18" s="354" t="s">
        <v>273</v>
      </c>
      <c r="J18" s="332" t="s">
        <v>1075</v>
      </c>
      <c r="K18" s="441">
        <v>1.4385237354722992E-5</v>
      </c>
      <c r="L18" s="333">
        <v>3.5200000000000002E-5</v>
      </c>
      <c r="M18" s="442">
        <f t="shared" si="0"/>
        <v>6.4076568746666666E-5</v>
      </c>
      <c r="N18" s="443">
        <f t="shared" si="1"/>
        <v>6.4076568746666666E-5</v>
      </c>
      <c r="O18" s="443">
        <f t="shared" si="2"/>
        <v>8.0441603342222209E-5</v>
      </c>
      <c r="P18" s="443">
        <f t="shared" si="3"/>
        <v>8.0441603342222209E-5</v>
      </c>
      <c r="Q18" s="443">
        <f t="shared" si="4"/>
        <v>8.0441603342222209E-5</v>
      </c>
      <c r="R18" s="444">
        <f t="shared" si="5"/>
        <v>7.0259395555555557E-6</v>
      </c>
      <c r="S18" s="445">
        <f t="shared" si="6"/>
        <v>1.6806854826666664E-5</v>
      </c>
      <c r="T18" s="446">
        <f t="shared" si="7"/>
        <v>1.6806854826666664E-5</v>
      </c>
      <c r="U18" s="446">
        <f t="shared" si="8"/>
        <v>2.1099293795555557E-5</v>
      </c>
      <c r="V18" s="443">
        <f t="shared" si="9"/>
        <v>2.1099293795555557E-5</v>
      </c>
      <c r="W18" s="443">
        <f t="shared" si="10"/>
        <v>2.1099293795555557E-5</v>
      </c>
      <c r="X18" s="444">
        <f t="shared" si="11"/>
        <v>1.8428568888888889E-6</v>
      </c>
      <c r="Z18" s="447">
        <f t="shared" si="12"/>
        <v>3.6030459259259256E-5</v>
      </c>
      <c r="AA18" s="448">
        <f t="shared" si="13"/>
        <v>3.6030459259259256E-5</v>
      </c>
      <c r="AB18" s="448">
        <f t="shared" si="14"/>
        <v>3.6030459259259256E-5</v>
      </c>
      <c r="AC18" s="448">
        <f t="shared" si="15"/>
        <v>3.6030459259259256E-5</v>
      </c>
      <c r="AD18" s="448">
        <f t="shared" si="16"/>
        <v>3.6030459259259256E-5</v>
      </c>
      <c r="AE18" s="449">
        <f t="shared" si="17"/>
        <v>3.6030459259259256E-5</v>
      </c>
      <c r="AF18" s="450">
        <f t="shared" si="18"/>
        <v>3.543955555555555E-5</v>
      </c>
      <c r="AG18" s="451">
        <f t="shared" si="19"/>
        <v>3.543955555555555E-5</v>
      </c>
      <c r="AH18" s="451">
        <f t="shared" si="20"/>
        <v>3.5439555555555556E-5</v>
      </c>
      <c r="AI18" s="448">
        <f t="shared" si="21"/>
        <v>3.5439555555555556E-5</v>
      </c>
      <c r="AJ18" s="448">
        <f t="shared" si="22"/>
        <v>3.5439555555555556E-5</v>
      </c>
      <c r="AK18" s="449">
        <f t="shared" si="23"/>
        <v>3.5439555555555556E-5</v>
      </c>
    </row>
    <row r="19" spans="2:37" x14ac:dyDescent="0.2">
      <c r="C19" s="146" t="s">
        <v>1031</v>
      </c>
      <c r="D19" s="151">
        <f>K18</f>
        <v>1.4385237354722992E-5</v>
      </c>
      <c r="E19" s="147">
        <f>D19*$D$6*$D$7*$D$8/$D$9</f>
        <v>2.7275813462345497E-4</v>
      </c>
      <c r="H19" s="454" t="s">
        <v>1094</v>
      </c>
      <c r="I19" s="354" t="s">
        <v>619</v>
      </c>
      <c r="J19" s="332" t="s">
        <v>1075</v>
      </c>
      <c r="K19" s="441">
        <v>4.4353578135943152E-5</v>
      </c>
      <c r="L19" s="333" t="s">
        <v>364</v>
      </c>
      <c r="M19" s="442">
        <f t="shared" si="0"/>
        <v>0</v>
      </c>
      <c r="N19" s="443">
        <f t="shared" si="1"/>
        <v>0</v>
      </c>
      <c r="O19" s="443">
        <f t="shared" si="2"/>
        <v>0</v>
      </c>
      <c r="P19" s="443">
        <f t="shared" si="3"/>
        <v>0</v>
      </c>
      <c r="Q19" s="443">
        <f t="shared" si="4"/>
        <v>0</v>
      </c>
      <c r="R19" s="444">
        <f t="shared" si="5"/>
        <v>0</v>
      </c>
      <c r="S19" s="445">
        <f t="shared" si="6"/>
        <v>0</v>
      </c>
      <c r="T19" s="446">
        <f t="shared" si="7"/>
        <v>0</v>
      </c>
      <c r="U19" s="446">
        <f t="shared" si="8"/>
        <v>0</v>
      </c>
      <c r="V19" s="443">
        <f t="shared" si="9"/>
        <v>0</v>
      </c>
      <c r="W19" s="443">
        <f t="shared" si="10"/>
        <v>0</v>
      </c>
      <c r="X19" s="444">
        <f t="shared" si="11"/>
        <v>0</v>
      </c>
      <c r="Z19" s="447">
        <f t="shared" si="12"/>
        <v>0</v>
      </c>
      <c r="AA19" s="448">
        <f t="shared" si="13"/>
        <v>0</v>
      </c>
      <c r="AB19" s="448">
        <f t="shared" si="14"/>
        <v>0</v>
      </c>
      <c r="AC19" s="448">
        <f t="shared" si="15"/>
        <v>0</v>
      </c>
      <c r="AD19" s="448">
        <f t="shared" si="16"/>
        <v>0</v>
      </c>
      <c r="AE19" s="449">
        <f t="shared" si="17"/>
        <v>0</v>
      </c>
      <c r="AF19" s="450">
        <f t="shared" si="18"/>
        <v>0</v>
      </c>
      <c r="AG19" s="451">
        <f t="shared" si="19"/>
        <v>0</v>
      </c>
      <c r="AH19" s="451">
        <f t="shared" si="20"/>
        <v>0</v>
      </c>
      <c r="AI19" s="448">
        <f t="shared" si="21"/>
        <v>0</v>
      </c>
      <c r="AJ19" s="448">
        <f t="shared" si="22"/>
        <v>0</v>
      </c>
      <c r="AK19" s="449">
        <f t="shared" si="23"/>
        <v>0</v>
      </c>
    </row>
    <row r="20" spans="2:37" x14ac:dyDescent="0.2">
      <c r="C20" s="146"/>
      <c r="D20" s="152"/>
      <c r="E20" s="153"/>
      <c r="H20" s="454" t="s">
        <v>1095</v>
      </c>
      <c r="I20" s="354" t="s">
        <v>1096</v>
      </c>
      <c r="J20" s="332" t="s">
        <v>1075</v>
      </c>
      <c r="K20" s="441">
        <v>3.2868294417433586E-5</v>
      </c>
      <c r="L20" s="333" t="s">
        <v>364</v>
      </c>
      <c r="M20" s="442">
        <f t="shared" si="0"/>
        <v>0</v>
      </c>
      <c r="N20" s="443">
        <f t="shared" si="1"/>
        <v>0</v>
      </c>
      <c r="O20" s="443">
        <f t="shared" si="2"/>
        <v>0</v>
      </c>
      <c r="P20" s="443">
        <f t="shared" si="3"/>
        <v>0</v>
      </c>
      <c r="Q20" s="443">
        <f t="shared" si="4"/>
        <v>0</v>
      </c>
      <c r="R20" s="444">
        <f t="shared" si="5"/>
        <v>0</v>
      </c>
      <c r="S20" s="445">
        <f t="shared" si="6"/>
        <v>0</v>
      </c>
      <c r="T20" s="446">
        <f t="shared" si="7"/>
        <v>0</v>
      </c>
      <c r="U20" s="446">
        <f t="shared" si="8"/>
        <v>0</v>
      </c>
      <c r="V20" s="443">
        <f t="shared" si="9"/>
        <v>0</v>
      </c>
      <c r="W20" s="443">
        <f t="shared" si="10"/>
        <v>0</v>
      </c>
      <c r="X20" s="444">
        <f t="shared" si="11"/>
        <v>0</v>
      </c>
      <c r="Z20" s="447">
        <f t="shared" si="12"/>
        <v>0</v>
      </c>
      <c r="AA20" s="448">
        <f t="shared" si="13"/>
        <v>0</v>
      </c>
      <c r="AB20" s="448">
        <f t="shared" si="14"/>
        <v>0</v>
      </c>
      <c r="AC20" s="448">
        <f t="shared" si="15"/>
        <v>0</v>
      </c>
      <c r="AD20" s="448">
        <f t="shared" si="16"/>
        <v>0</v>
      </c>
      <c r="AE20" s="449">
        <f t="shared" si="17"/>
        <v>0</v>
      </c>
      <c r="AF20" s="450">
        <f t="shared" si="18"/>
        <v>0</v>
      </c>
      <c r="AG20" s="451">
        <f t="shared" si="19"/>
        <v>0</v>
      </c>
      <c r="AH20" s="451">
        <f t="shared" si="20"/>
        <v>0</v>
      </c>
      <c r="AI20" s="448">
        <f t="shared" si="21"/>
        <v>0</v>
      </c>
      <c r="AJ20" s="448">
        <f t="shared" si="22"/>
        <v>0</v>
      </c>
      <c r="AK20" s="449">
        <f t="shared" si="23"/>
        <v>0</v>
      </c>
    </row>
    <row r="21" spans="2:37" x14ac:dyDescent="0.25">
      <c r="C21" s="146" t="s">
        <v>864</v>
      </c>
      <c r="D21" s="138">
        <v>163.1</v>
      </c>
      <c r="E21" s="147">
        <f>D21*$D$6*$D$7*$D$8/$D$9</f>
        <v>3092.535121951219</v>
      </c>
      <c r="H21" s="454" t="s">
        <v>1097</v>
      </c>
      <c r="I21" s="354" t="s">
        <v>623</v>
      </c>
      <c r="J21" s="332" t="s">
        <v>1075</v>
      </c>
      <c r="K21" s="441">
        <v>2.187429870630113E-5</v>
      </c>
      <c r="L21" s="333" t="s">
        <v>364</v>
      </c>
      <c r="M21" s="442">
        <f t="shared" si="0"/>
        <v>0</v>
      </c>
      <c r="N21" s="443">
        <f t="shared" si="1"/>
        <v>0</v>
      </c>
      <c r="O21" s="443">
        <f t="shared" si="2"/>
        <v>0</v>
      </c>
      <c r="P21" s="443">
        <f t="shared" si="3"/>
        <v>0</v>
      </c>
      <c r="Q21" s="443">
        <f t="shared" si="4"/>
        <v>0</v>
      </c>
      <c r="R21" s="444">
        <f t="shared" si="5"/>
        <v>0</v>
      </c>
      <c r="S21" s="445">
        <f t="shared" si="6"/>
        <v>0</v>
      </c>
      <c r="T21" s="446">
        <f t="shared" si="7"/>
        <v>0</v>
      </c>
      <c r="U21" s="446">
        <f t="shared" si="8"/>
        <v>0</v>
      </c>
      <c r="V21" s="443">
        <f t="shared" si="9"/>
        <v>0</v>
      </c>
      <c r="W21" s="443">
        <f t="shared" si="10"/>
        <v>0</v>
      </c>
      <c r="X21" s="444">
        <f t="shared" si="11"/>
        <v>0</v>
      </c>
      <c r="Z21" s="447">
        <f t="shared" si="12"/>
        <v>0</v>
      </c>
      <c r="AA21" s="448">
        <f t="shared" si="13"/>
        <v>0</v>
      </c>
      <c r="AB21" s="448">
        <f t="shared" si="14"/>
        <v>0</v>
      </c>
      <c r="AC21" s="448">
        <f t="shared" si="15"/>
        <v>0</v>
      </c>
      <c r="AD21" s="448">
        <f t="shared" si="16"/>
        <v>0</v>
      </c>
      <c r="AE21" s="449">
        <f t="shared" si="17"/>
        <v>0</v>
      </c>
      <c r="AF21" s="450">
        <f t="shared" si="18"/>
        <v>0</v>
      </c>
      <c r="AG21" s="451">
        <f t="shared" si="19"/>
        <v>0</v>
      </c>
      <c r="AH21" s="451">
        <f t="shared" si="20"/>
        <v>0</v>
      </c>
      <c r="AI21" s="448">
        <f t="shared" si="21"/>
        <v>0</v>
      </c>
      <c r="AJ21" s="448">
        <f t="shared" si="22"/>
        <v>0</v>
      </c>
      <c r="AK21" s="449">
        <f t="shared" si="23"/>
        <v>0</v>
      </c>
    </row>
    <row r="22" spans="2:37" x14ac:dyDescent="0.25">
      <c r="C22" s="146" t="s">
        <v>1032</v>
      </c>
      <c r="D22" s="138">
        <v>6.6140000000000001E-3</v>
      </c>
      <c r="E22" s="154">
        <f>D22*$D$6*$D$7*$D$8/$D$9</f>
        <v>0.12540789268292682</v>
      </c>
      <c r="H22" s="454" t="s">
        <v>1098</v>
      </c>
      <c r="I22" s="354" t="s">
        <v>627</v>
      </c>
      <c r="J22" s="332" t="s">
        <v>1075</v>
      </c>
      <c r="K22" s="441">
        <v>1.3054358967800315E-5</v>
      </c>
      <c r="L22" s="333" t="s">
        <v>364</v>
      </c>
      <c r="M22" s="442">
        <f t="shared" si="0"/>
        <v>0</v>
      </c>
      <c r="N22" s="443">
        <f t="shared" si="1"/>
        <v>0</v>
      </c>
      <c r="O22" s="443">
        <f t="shared" si="2"/>
        <v>0</v>
      </c>
      <c r="P22" s="443">
        <f t="shared" si="3"/>
        <v>0</v>
      </c>
      <c r="Q22" s="443">
        <f t="shared" si="4"/>
        <v>0</v>
      </c>
      <c r="R22" s="444">
        <f t="shared" si="5"/>
        <v>0</v>
      </c>
      <c r="S22" s="445">
        <f t="shared" si="6"/>
        <v>0</v>
      </c>
      <c r="T22" s="446">
        <f t="shared" si="7"/>
        <v>0</v>
      </c>
      <c r="U22" s="446">
        <f t="shared" si="8"/>
        <v>0</v>
      </c>
      <c r="V22" s="443">
        <f t="shared" si="9"/>
        <v>0</v>
      </c>
      <c r="W22" s="443">
        <f t="shared" si="10"/>
        <v>0</v>
      </c>
      <c r="X22" s="444">
        <f t="shared" si="11"/>
        <v>0</v>
      </c>
      <c r="Z22" s="447">
        <f t="shared" si="12"/>
        <v>0</v>
      </c>
      <c r="AA22" s="448">
        <f t="shared" si="13"/>
        <v>0</v>
      </c>
      <c r="AB22" s="448">
        <f t="shared" si="14"/>
        <v>0</v>
      </c>
      <c r="AC22" s="448">
        <f t="shared" si="15"/>
        <v>0</v>
      </c>
      <c r="AD22" s="448">
        <f t="shared" si="16"/>
        <v>0</v>
      </c>
      <c r="AE22" s="449">
        <f t="shared" si="17"/>
        <v>0</v>
      </c>
      <c r="AF22" s="450">
        <f t="shared" si="18"/>
        <v>0</v>
      </c>
      <c r="AG22" s="451">
        <f t="shared" si="19"/>
        <v>0</v>
      </c>
      <c r="AH22" s="451">
        <f t="shared" si="20"/>
        <v>0</v>
      </c>
      <c r="AI22" s="448">
        <f t="shared" si="21"/>
        <v>0</v>
      </c>
      <c r="AJ22" s="448">
        <f t="shared" si="22"/>
        <v>0</v>
      </c>
      <c r="AK22" s="449">
        <f t="shared" si="23"/>
        <v>0</v>
      </c>
    </row>
    <row r="23" spans="2:37" x14ac:dyDescent="0.25">
      <c r="C23" s="146" t="s">
        <v>865</v>
      </c>
      <c r="D23" s="138">
        <v>1.323E-3</v>
      </c>
      <c r="E23" s="155">
        <f>D23*$D$6*$D$7*$D$8/$D$9</f>
        <v>2.5085370731707315E-2</v>
      </c>
      <c r="H23" s="454" t="s">
        <v>1099</v>
      </c>
      <c r="I23" s="354" t="s">
        <v>277</v>
      </c>
      <c r="J23" s="332" t="s">
        <v>1085</v>
      </c>
      <c r="K23" s="441">
        <v>4.7708462766464961E-6</v>
      </c>
      <c r="L23" s="333">
        <v>4.7708462766464961E-6</v>
      </c>
      <c r="M23" s="442">
        <f t="shared" si="0"/>
        <v>8.4844730183881291E-6</v>
      </c>
      <c r="N23" s="443">
        <f t="shared" si="1"/>
        <v>8.4844730183881291E-6</v>
      </c>
      <c r="O23" s="443">
        <f t="shared" si="2"/>
        <v>1.0651391397240966E-5</v>
      </c>
      <c r="P23" s="443">
        <f t="shared" si="3"/>
        <v>1.0651391397240966E-5</v>
      </c>
      <c r="Q23" s="443">
        <f t="shared" si="4"/>
        <v>1.0651391397240966E-5</v>
      </c>
      <c r="R23" s="444">
        <f t="shared" si="5"/>
        <v>9.3031502394606675E-7</v>
      </c>
      <c r="S23" s="445">
        <f t="shared" si="6"/>
        <v>2.2625261382368343E-6</v>
      </c>
      <c r="T23" s="446">
        <f t="shared" si="7"/>
        <v>2.2625261382368343E-6</v>
      </c>
      <c r="U23" s="446">
        <f t="shared" si="8"/>
        <v>2.8403710392642578E-6</v>
      </c>
      <c r="V23" s="443">
        <f t="shared" si="9"/>
        <v>2.8403710392642578E-6</v>
      </c>
      <c r="W23" s="443">
        <f t="shared" si="10"/>
        <v>2.8403710392642578E-6</v>
      </c>
      <c r="X23" s="444">
        <f t="shared" si="11"/>
        <v>2.4808400638561779E-7</v>
      </c>
      <c r="Z23" s="447">
        <f t="shared" si="12"/>
        <v>4.7708462766464961E-6</v>
      </c>
      <c r="AA23" s="448">
        <f t="shared" si="13"/>
        <v>4.7708462766464961E-6</v>
      </c>
      <c r="AB23" s="448">
        <f t="shared" si="14"/>
        <v>4.7708462766464961E-6</v>
      </c>
      <c r="AC23" s="448">
        <f t="shared" si="15"/>
        <v>4.7708462766464961E-6</v>
      </c>
      <c r="AD23" s="448">
        <f t="shared" si="16"/>
        <v>4.7708462766464961E-6</v>
      </c>
      <c r="AE23" s="449">
        <f t="shared" si="17"/>
        <v>4.7708462766464961E-6</v>
      </c>
      <c r="AF23" s="450">
        <f t="shared" si="18"/>
        <v>4.7708462766464961E-6</v>
      </c>
      <c r="AG23" s="451">
        <f t="shared" si="19"/>
        <v>4.7708462766464961E-6</v>
      </c>
      <c r="AH23" s="451">
        <f t="shared" si="20"/>
        <v>4.7708462766464961E-6</v>
      </c>
      <c r="AI23" s="448">
        <f t="shared" si="21"/>
        <v>4.7708462766464961E-6</v>
      </c>
      <c r="AJ23" s="448">
        <f t="shared" si="22"/>
        <v>4.7708462766464961E-6</v>
      </c>
      <c r="AK23" s="449">
        <f t="shared" si="23"/>
        <v>4.7708462766464961E-6</v>
      </c>
    </row>
    <row r="24" spans="2:37" x14ac:dyDescent="0.2">
      <c r="B24" s="118">
        <v>1</v>
      </c>
      <c r="C24" s="156" t="s">
        <v>1100</v>
      </c>
      <c r="D24" s="156"/>
      <c r="E24" s="156"/>
      <c r="H24" s="454" t="s">
        <v>348</v>
      </c>
      <c r="I24" s="354" t="s">
        <v>235</v>
      </c>
      <c r="J24" s="332" t="s">
        <v>1085</v>
      </c>
      <c r="K24" s="441">
        <v>8.0778295781549296E-5</v>
      </c>
      <c r="L24" s="333">
        <v>1.5E-3</v>
      </c>
      <c r="M24" s="442">
        <f t="shared" si="0"/>
        <v>2.6676E-3</v>
      </c>
      <c r="N24" s="443">
        <f t="shared" si="1"/>
        <v>2.6676E-3</v>
      </c>
      <c r="O24" s="443">
        <f t="shared" si="2"/>
        <v>3.3488999999999997E-3</v>
      </c>
      <c r="P24" s="443">
        <f t="shared" si="3"/>
        <v>3.3488999999999997E-3</v>
      </c>
      <c r="Q24" s="443">
        <f t="shared" si="4"/>
        <v>3.3488999999999997E-3</v>
      </c>
      <c r="R24" s="444">
        <f t="shared" si="5"/>
        <v>2.9250000000000001E-4</v>
      </c>
      <c r="S24" s="445">
        <f t="shared" si="6"/>
        <v>7.1135999999999997E-4</v>
      </c>
      <c r="T24" s="446">
        <f t="shared" si="7"/>
        <v>7.1135999999999997E-4</v>
      </c>
      <c r="U24" s="446">
        <f t="shared" si="8"/>
        <v>8.9304E-4</v>
      </c>
      <c r="V24" s="443">
        <f t="shared" si="9"/>
        <v>8.9304E-4</v>
      </c>
      <c r="W24" s="443">
        <f t="shared" si="10"/>
        <v>8.9304E-4</v>
      </c>
      <c r="X24" s="444">
        <f t="shared" si="11"/>
        <v>7.7999999999999999E-5</v>
      </c>
      <c r="Z24" s="447">
        <f t="shared" si="12"/>
        <v>1.5E-3</v>
      </c>
      <c r="AA24" s="448">
        <f t="shared" si="13"/>
        <v>1.5E-3</v>
      </c>
      <c r="AB24" s="448">
        <f t="shared" si="14"/>
        <v>1.5E-3</v>
      </c>
      <c r="AC24" s="448">
        <f t="shared" si="15"/>
        <v>1.5E-3</v>
      </c>
      <c r="AD24" s="448">
        <f t="shared" si="16"/>
        <v>1.5E-3</v>
      </c>
      <c r="AE24" s="449">
        <f t="shared" si="17"/>
        <v>1.5E-3</v>
      </c>
      <c r="AF24" s="450">
        <f t="shared" si="18"/>
        <v>1.5E-3</v>
      </c>
      <c r="AG24" s="451">
        <f t="shared" si="19"/>
        <v>1.5E-3</v>
      </c>
      <c r="AH24" s="451">
        <f t="shared" si="20"/>
        <v>1.5E-3</v>
      </c>
      <c r="AI24" s="448">
        <f t="shared" si="21"/>
        <v>1.5E-3</v>
      </c>
      <c r="AJ24" s="448">
        <f t="shared" si="22"/>
        <v>1.5E-3</v>
      </c>
      <c r="AK24" s="449">
        <f t="shared" si="23"/>
        <v>1.5E-3</v>
      </c>
    </row>
    <row r="25" spans="2:37" x14ac:dyDescent="0.2">
      <c r="C25" s="157" t="s">
        <v>822</v>
      </c>
      <c r="D25" s="138" t="s">
        <v>1101</v>
      </c>
      <c r="E25" s="142"/>
      <c r="H25" s="454" t="s">
        <v>416</v>
      </c>
      <c r="I25" s="354" t="s">
        <v>415</v>
      </c>
      <c r="J25" s="332" t="s">
        <v>1075</v>
      </c>
      <c r="K25" s="441">
        <v>2.0000000000000001E-4</v>
      </c>
      <c r="L25" s="333">
        <v>2.0000000000000001E-4</v>
      </c>
      <c r="M25" s="442">
        <f t="shared" si="0"/>
        <v>3.6407141333333337E-4</v>
      </c>
      <c r="N25" s="443">
        <f t="shared" si="1"/>
        <v>3.6407141333333337E-4</v>
      </c>
      <c r="O25" s="443">
        <f t="shared" si="2"/>
        <v>4.5705456444444434E-4</v>
      </c>
      <c r="P25" s="443">
        <f t="shared" si="3"/>
        <v>4.5705456444444434E-4</v>
      </c>
      <c r="Q25" s="443">
        <f t="shared" si="4"/>
        <v>4.5705456444444434E-4</v>
      </c>
      <c r="R25" s="444">
        <f t="shared" si="5"/>
        <v>3.9920111111111113E-5</v>
      </c>
      <c r="S25" s="445">
        <f t="shared" si="6"/>
        <v>9.5493493333333334E-5</v>
      </c>
      <c r="T25" s="446">
        <f t="shared" si="7"/>
        <v>9.5493493333333334E-5</v>
      </c>
      <c r="U25" s="446">
        <f t="shared" si="8"/>
        <v>1.1988235111111111E-4</v>
      </c>
      <c r="V25" s="443">
        <f t="shared" si="9"/>
        <v>1.1988235111111111E-4</v>
      </c>
      <c r="W25" s="443">
        <f t="shared" si="10"/>
        <v>1.1988235111111111E-4</v>
      </c>
      <c r="X25" s="444">
        <f t="shared" si="11"/>
        <v>1.0470777777777779E-5</v>
      </c>
      <c r="Z25" s="447">
        <f t="shared" si="12"/>
        <v>2.0471851851851854E-4</v>
      </c>
      <c r="AA25" s="448">
        <f t="shared" si="13"/>
        <v>2.0471851851851854E-4</v>
      </c>
      <c r="AB25" s="448">
        <f t="shared" si="14"/>
        <v>2.0471851851851849E-4</v>
      </c>
      <c r="AC25" s="448">
        <f t="shared" si="15"/>
        <v>2.0471851851851849E-4</v>
      </c>
      <c r="AD25" s="448">
        <f t="shared" si="16"/>
        <v>2.0471851851851849E-4</v>
      </c>
      <c r="AE25" s="449">
        <f t="shared" si="17"/>
        <v>2.0471851851851851E-4</v>
      </c>
      <c r="AF25" s="450">
        <f t="shared" si="18"/>
        <v>2.0136111111111111E-4</v>
      </c>
      <c r="AG25" s="451">
        <f t="shared" si="19"/>
        <v>2.0136111111111111E-4</v>
      </c>
      <c r="AH25" s="451">
        <f t="shared" si="20"/>
        <v>2.0136111111111111E-4</v>
      </c>
      <c r="AI25" s="448">
        <f t="shared" si="21"/>
        <v>2.0136111111111111E-4</v>
      </c>
      <c r="AJ25" s="448">
        <f t="shared" si="22"/>
        <v>2.0136111111111111E-4</v>
      </c>
      <c r="AK25" s="449">
        <f t="shared" si="23"/>
        <v>2.0136111111111114E-4</v>
      </c>
    </row>
    <row r="26" spans="2:37" x14ac:dyDescent="0.25">
      <c r="C26" s="157" t="s">
        <v>1028</v>
      </c>
      <c r="D26" s="138" t="s">
        <v>1101</v>
      </c>
      <c r="E26" s="142"/>
      <c r="H26" s="454" t="s">
        <v>1102</v>
      </c>
      <c r="I26" s="354" t="s">
        <v>629</v>
      </c>
      <c r="J26" s="332" t="s">
        <v>1075</v>
      </c>
      <c r="K26" s="441">
        <v>6.6999913157770699E-5</v>
      </c>
      <c r="L26" s="333" t="s">
        <v>364</v>
      </c>
      <c r="M26" s="442">
        <f t="shared" si="0"/>
        <v>0</v>
      </c>
      <c r="N26" s="443">
        <f t="shared" si="1"/>
        <v>0</v>
      </c>
      <c r="O26" s="443">
        <f t="shared" si="2"/>
        <v>0</v>
      </c>
      <c r="P26" s="443">
        <f t="shared" si="3"/>
        <v>0</v>
      </c>
      <c r="Q26" s="443">
        <f t="shared" si="4"/>
        <v>0</v>
      </c>
      <c r="R26" s="444">
        <f t="shared" si="5"/>
        <v>0</v>
      </c>
      <c r="S26" s="445">
        <f t="shared" si="6"/>
        <v>0</v>
      </c>
      <c r="T26" s="446">
        <f t="shared" si="7"/>
        <v>0</v>
      </c>
      <c r="U26" s="446">
        <f t="shared" si="8"/>
        <v>0</v>
      </c>
      <c r="V26" s="443">
        <f t="shared" si="9"/>
        <v>0</v>
      </c>
      <c r="W26" s="443">
        <f t="shared" si="10"/>
        <v>0</v>
      </c>
      <c r="X26" s="444">
        <f t="shared" si="11"/>
        <v>0</v>
      </c>
      <c r="Z26" s="447">
        <f t="shared" si="12"/>
        <v>0</v>
      </c>
      <c r="AA26" s="448">
        <f t="shared" si="13"/>
        <v>0</v>
      </c>
      <c r="AB26" s="448">
        <f t="shared" si="14"/>
        <v>0</v>
      </c>
      <c r="AC26" s="448">
        <f t="shared" si="15"/>
        <v>0</v>
      </c>
      <c r="AD26" s="448">
        <f t="shared" si="16"/>
        <v>0</v>
      </c>
      <c r="AE26" s="449">
        <f t="shared" si="17"/>
        <v>0</v>
      </c>
      <c r="AF26" s="450">
        <f t="shared" si="18"/>
        <v>0</v>
      </c>
      <c r="AG26" s="451">
        <f t="shared" si="19"/>
        <v>0</v>
      </c>
      <c r="AH26" s="451">
        <f t="shared" si="20"/>
        <v>0</v>
      </c>
      <c r="AI26" s="448">
        <f t="shared" si="21"/>
        <v>0</v>
      </c>
      <c r="AJ26" s="448">
        <f t="shared" si="22"/>
        <v>0</v>
      </c>
      <c r="AK26" s="449">
        <f t="shared" si="23"/>
        <v>0</v>
      </c>
    </row>
    <row r="27" spans="2:37" x14ac:dyDescent="0.25">
      <c r="C27" s="157" t="s">
        <v>1029</v>
      </c>
      <c r="D27" s="138" t="s">
        <v>1101</v>
      </c>
      <c r="E27" s="142"/>
      <c r="H27" s="454" t="s">
        <v>356</v>
      </c>
      <c r="I27" s="354" t="s">
        <v>279</v>
      </c>
      <c r="J27" s="332" t="s">
        <v>1085</v>
      </c>
      <c r="K27" s="441">
        <v>1.5751137782235815E-5</v>
      </c>
      <c r="L27" s="333">
        <v>1.5751137782235815E-5</v>
      </c>
      <c r="M27" s="442">
        <f t="shared" si="0"/>
        <v>2.8011823431928173E-5</v>
      </c>
      <c r="N27" s="443">
        <f t="shared" si="1"/>
        <v>2.8011823431928173E-5</v>
      </c>
      <c r="O27" s="443">
        <f t="shared" si="2"/>
        <v>3.5165990212619677E-5</v>
      </c>
      <c r="P27" s="443">
        <f t="shared" si="3"/>
        <v>3.5165990212619677E-5</v>
      </c>
      <c r="Q27" s="443">
        <f t="shared" si="4"/>
        <v>3.5165990212619677E-5</v>
      </c>
      <c r="R27" s="444">
        <f t="shared" si="5"/>
        <v>3.0714718675359841E-6</v>
      </c>
      <c r="S27" s="445">
        <f t="shared" si="6"/>
        <v>7.469819581847513E-6</v>
      </c>
      <c r="T27" s="446">
        <f t="shared" si="7"/>
        <v>7.469819581847513E-6</v>
      </c>
      <c r="U27" s="446">
        <f t="shared" si="8"/>
        <v>9.3775973900319144E-6</v>
      </c>
      <c r="V27" s="443">
        <f t="shared" si="9"/>
        <v>9.3775973900319144E-6</v>
      </c>
      <c r="W27" s="443">
        <f t="shared" si="10"/>
        <v>9.3775973900319144E-6</v>
      </c>
      <c r="X27" s="444">
        <f t="shared" si="11"/>
        <v>8.1905916467626233E-7</v>
      </c>
      <c r="Z27" s="447">
        <f t="shared" si="12"/>
        <v>1.5751137782235815E-5</v>
      </c>
      <c r="AA27" s="448">
        <f t="shared" si="13"/>
        <v>1.5751137782235815E-5</v>
      </c>
      <c r="AB27" s="448">
        <f t="shared" si="14"/>
        <v>1.5751137782235815E-5</v>
      </c>
      <c r="AC27" s="448">
        <f t="shared" si="15"/>
        <v>1.5751137782235815E-5</v>
      </c>
      <c r="AD27" s="448">
        <f t="shared" si="16"/>
        <v>1.5751137782235815E-5</v>
      </c>
      <c r="AE27" s="449">
        <f t="shared" si="17"/>
        <v>1.5751137782235815E-5</v>
      </c>
      <c r="AF27" s="450">
        <f t="shared" si="18"/>
        <v>1.5751137782235815E-5</v>
      </c>
      <c r="AG27" s="451">
        <f t="shared" si="19"/>
        <v>1.5751137782235815E-5</v>
      </c>
      <c r="AH27" s="451">
        <f t="shared" si="20"/>
        <v>1.5751137782235815E-5</v>
      </c>
      <c r="AI27" s="448">
        <f t="shared" si="21"/>
        <v>1.5751137782235815E-5</v>
      </c>
      <c r="AJ27" s="448">
        <f t="shared" si="22"/>
        <v>1.5751137782235815E-5</v>
      </c>
      <c r="AK27" s="449">
        <f t="shared" si="23"/>
        <v>1.5751137782235815E-5</v>
      </c>
    </row>
    <row r="28" spans="2:37" x14ac:dyDescent="0.25">
      <c r="C28" s="157" t="s">
        <v>866</v>
      </c>
      <c r="D28" s="138" t="s">
        <v>1101</v>
      </c>
      <c r="E28" s="142"/>
      <c r="H28" s="454" t="s">
        <v>349</v>
      </c>
      <c r="I28" s="354" t="s">
        <v>253</v>
      </c>
      <c r="J28" s="332" t="s">
        <v>1085</v>
      </c>
      <c r="K28" s="441">
        <v>5.0213520825554141E-4</v>
      </c>
      <c r="L28" s="333">
        <v>4.1000000000000003E-3</v>
      </c>
      <c r="M28" s="442">
        <f t="shared" si="0"/>
        <v>7.2914400000000006E-3</v>
      </c>
      <c r="N28" s="443">
        <f t="shared" si="1"/>
        <v>7.2914400000000006E-3</v>
      </c>
      <c r="O28" s="443">
        <f t="shared" si="2"/>
        <v>9.1536599999999992E-3</v>
      </c>
      <c r="P28" s="443">
        <f t="shared" si="3"/>
        <v>9.1536599999999992E-3</v>
      </c>
      <c r="Q28" s="443">
        <f t="shared" si="4"/>
        <v>9.1536599999999992E-3</v>
      </c>
      <c r="R28" s="444">
        <f t="shared" si="5"/>
        <v>7.9950000000000008E-4</v>
      </c>
      <c r="S28" s="445">
        <f t="shared" si="6"/>
        <v>1.9443840000000002E-3</v>
      </c>
      <c r="T28" s="446">
        <f t="shared" si="7"/>
        <v>1.9443840000000002E-3</v>
      </c>
      <c r="U28" s="446">
        <f t="shared" si="8"/>
        <v>2.4409760000000001E-3</v>
      </c>
      <c r="V28" s="443">
        <f t="shared" si="9"/>
        <v>2.4409760000000001E-3</v>
      </c>
      <c r="W28" s="443">
        <f t="shared" si="10"/>
        <v>2.4409760000000001E-3</v>
      </c>
      <c r="X28" s="444">
        <f t="shared" si="11"/>
        <v>2.1320000000000001E-4</v>
      </c>
      <c r="Z28" s="447">
        <f t="shared" si="12"/>
        <v>4.1000000000000003E-3</v>
      </c>
      <c r="AA28" s="448">
        <f t="shared" si="13"/>
        <v>4.1000000000000003E-3</v>
      </c>
      <c r="AB28" s="448">
        <f t="shared" si="14"/>
        <v>4.1000000000000003E-3</v>
      </c>
      <c r="AC28" s="448">
        <f t="shared" si="15"/>
        <v>4.1000000000000003E-3</v>
      </c>
      <c r="AD28" s="448">
        <f t="shared" si="16"/>
        <v>4.1000000000000003E-3</v>
      </c>
      <c r="AE28" s="449">
        <f t="shared" si="17"/>
        <v>4.1000000000000003E-3</v>
      </c>
      <c r="AF28" s="450">
        <f t="shared" si="18"/>
        <v>4.1000000000000003E-3</v>
      </c>
      <c r="AG28" s="451">
        <f t="shared" si="19"/>
        <v>4.1000000000000003E-3</v>
      </c>
      <c r="AH28" s="451">
        <f t="shared" si="20"/>
        <v>4.1000000000000003E-3</v>
      </c>
      <c r="AI28" s="448">
        <f t="shared" si="21"/>
        <v>4.1000000000000003E-3</v>
      </c>
      <c r="AJ28" s="448">
        <f t="shared" si="22"/>
        <v>4.1000000000000003E-3</v>
      </c>
      <c r="AK28" s="449">
        <f t="shared" si="23"/>
        <v>4.1000000000000003E-3</v>
      </c>
    </row>
    <row r="29" spans="2:37" x14ac:dyDescent="0.2">
      <c r="C29" s="157" t="s">
        <v>1030</v>
      </c>
      <c r="D29" s="138" t="s">
        <v>1101</v>
      </c>
      <c r="E29" s="142"/>
      <c r="H29" s="158" t="s">
        <v>271</v>
      </c>
      <c r="I29" s="354">
        <v>200</v>
      </c>
      <c r="J29" s="456" t="s">
        <v>1075</v>
      </c>
      <c r="K29" s="353">
        <v>16.9752457004105</v>
      </c>
      <c r="L29" s="332">
        <v>33.5</v>
      </c>
      <c r="M29" s="442">
        <f t="shared" si="0"/>
        <v>60.981961733333328</v>
      </c>
      <c r="N29" s="443">
        <f t="shared" si="1"/>
        <v>60.981961733333328</v>
      </c>
      <c r="O29" s="443">
        <f t="shared" si="2"/>
        <v>76.556639544444437</v>
      </c>
      <c r="P29" s="443">
        <f t="shared" si="3"/>
        <v>76.556639544444437</v>
      </c>
      <c r="Q29" s="443">
        <f t="shared" si="4"/>
        <v>76.556639544444437</v>
      </c>
      <c r="R29" s="444">
        <f t="shared" si="5"/>
        <v>6.6866186111111112</v>
      </c>
      <c r="S29" s="445">
        <f t="shared" si="6"/>
        <v>15.995160133333332</v>
      </c>
      <c r="T29" s="446">
        <f t="shared" si="7"/>
        <v>15.995160133333332</v>
      </c>
      <c r="U29" s="446">
        <f t="shared" si="8"/>
        <v>20.080293811111108</v>
      </c>
      <c r="V29" s="443">
        <f t="shared" si="9"/>
        <v>20.080293811111108</v>
      </c>
      <c r="W29" s="443">
        <f t="shared" si="10"/>
        <v>20.080293811111108</v>
      </c>
      <c r="X29" s="444">
        <f t="shared" si="11"/>
        <v>1.7538552777777778</v>
      </c>
      <c r="Z29" s="447">
        <f t="shared" si="12"/>
        <v>34.290351851851852</v>
      </c>
      <c r="AA29" s="448">
        <f t="shared" si="13"/>
        <v>34.290351851851852</v>
      </c>
      <c r="AB29" s="448">
        <f t="shared" si="14"/>
        <v>34.290351851851852</v>
      </c>
      <c r="AC29" s="448">
        <f t="shared" si="15"/>
        <v>34.290351851851852</v>
      </c>
      <c r="AD29" s="448">
        <f t="shared" si="16"/>
        <v>34.290351851851852</v>
      </c>
      <c r="AE29" s="449">
        <f t="shared" si="17"/>
        <v>34.290351851851852</v>
      </c>
      <c r="AF29" s="450">
        <f t="shared" si="18"/>
        <v>33.727986111111107</v>
      </c>
      <c r="AG29" s="451">
        <f t="shared" si="19"/>
        <v>33.727986111111107</v>
      </c>
      <c r="AH29" s="451">
        <f t="shared" si="20"/>
        <v>33.727986111111107</v>
      </c>
      <c r="AI29" s="448">
        <f t="shared" si="21"/>
        <v>33.727986111111107</v>
      </c>
      <c r="AJ29" s="448">
        <f t="shared" si="22"/>
        <v>33.727986111111107</v>
      </c>
      <c r="AK29" s="449">
        <f t="shared" si="23"/>
        <v>33.727986111111115</v>
      </c>
    </row>
    <row r="30" spans="2:37" x14ac:dyDescent="0.2">
      <c r="C30" s="157" t="s">
        <v>1031</v>
      </c>
      <c r="D30" s="138" t="s">
        <v>1103</v>
      </c>
      <c r="E30" s="142"/>
      <c r="H30" s="158" t="s">
        <v>1104</v>
      </c>
      <c r="I30" s="354" t="s">
        <v>633</v>
      </c>
      <c r="J30" s="457" t="s">
        <v>1075</v>
      </c>
      <c r="K30" s="441">
        <v>1.0369866679621714E-6</v>
      </c>
      <c r="L30" s="333" t="s">
        <v>364</v>
      </c>
      <c r="M30" s="442">
        <f t="shared" si="0"/>
        <v>0</v>
      </c>
      <c r="N30" s="443">
        <f t="shared" si="1"/>
        <v>0</v>
      </c>
      <c r="O30" s="443">
        <f t="shared" si="2"/>
        <v>0</v>
      </c>
      <c r="P30" s="443">
        <f t="shared" si="3"/>
        <v>0</v>
      </c>
      <c r="Q30" s="443">
        <f t="shared" si="4"/>
        <v>0</v>
      </c>
      <c r="R30" s="444">
        <f t="shared" si="5"/>
        <v>0</v>
      </c>
      <c r="S30" s="445">
        <f t="shared" si="6"/>
        <v>0</v>
      </c>
      <c r="T30" s="446">
        <f t="shared" si="7"/>
        <v>0</v>
      </c>
      <c r="U30" s="446">
        <f t="shared" si="8"/>
        <v>0</v>
      </c>
      <c r="V30" s="443">
        <f t="shared" si="9"/>
        <v>0</v>
      </c>
      <c r="W30" s="443">
        <f t="shared" si="10"/>
        <v>0</v>
      </c>
      <c r="X30" s="444">
        <f t="shared" si="11"/>
        <v>0</v>
      </c>
      <c r="Z30" s="447">
        <f t="shared" si="12"/>
        <v>0</v>
      </c>
      <c r="AA30" s="448">
        <f t="shared" si="13"/>
        <v>0</v>
      </c>
      <c r="AB30" s="448">
        <f t="shared" si="14"/>
        <v>0</v>
      </c>
      <c r="AC30" s="448">
        <f t="shared" si="15"/>
        <v>0</v>
      </c>
      <c r="AD30" s="448">
        <f t="shared" si="16"/>
        <v>0</v>
      </c>
      <c r="AE30" s="449">
        <f t="shared" si="17"/>
        <v>0</v>
      </c>
      <c r="AF30" s="450">
        <f t="shared" si="18"/>
        <v>0</v>
      </c>
      <c r="AG30" s="451">
        <f t="shared" si="19"/>
        <v>0</v>
      </c>
      <c r="AH30" s="451">
        <f t="shared" si="20"/>
        <v>0</v>
      </c>
      <c r="AI30" s="448">
        <f t="shared" si="21"/>
        <v>0</v>
      </c>
      <c r="AJ30" s="448">
        <f t="shared" si="22"/>
        <v>0</v>
      </c>
      <c r="AK30" s="449">
        <f t="shared" si="23"/>
        <v>0</v>
      </c>
    </row>
    <row r="31" spans="2:37" x14ac:dyDescent="0.25">
      <c r="C31" s="157" t="s">
        <v>864</v>
      </c>
      <c r="D31" s="138" t="s">
        <v>1042</v>
      </c>
      <c r="E31" s="142"/>
      <c r="H31" s="454" t="s">
        <v>1105</v>
      </c>
      <c r="I31" s="354" t="s">
        <v>255</v>
      </c>
      <c r="J31" s="332" t="s">
        <v>1075</v>
      </c>
      <c r="K31" s="441">
        <v>1.09E-2</v>
      </c>
      <c r="L31" s="333">
        <v>1.09E-2</v>
      </c>
      <c r="M31" s="442">
        <f t="shared" si="0"/>
        <v>1.9841892026666665E-2</v>
      </c>
      <c r="N31" s="443">
        <f t="shared" si="1"/>
        <v>1.9841892026666665E-2</v>
      </c>
      <c r="O31" s="443">
        <f t="shared" si="2"/>
        <v>2.4909473762222217E-2</v>
      </c>
      <c r="P31" s="443">
        <f t="shared" si="3"/>
        <v>2.4909473762222217E-2</v>
      </c>
      <c r="Q31" s="443">
        <f t="shared" si="4"/>
        <v>2.4909473762222217E-2</v>
      </c>
      <c r="R31" s="444">
        <f t="shared" si="5"/>
        <v>2.1756460555555556E-3</v>
      </c>
      <c r="S31" s="445">
        <f t="shared" si="6"/>
        <v>5.2043953866666662E-3</v>
      </c>
      <c r="T31" s="446">
        <f t="shared" si="7"/>
        <v>5.2043953866666662E-3</v>
      </c>
      <c r="U31" s="446">
        <f t="shared" si="8"/>
        <v>6.5335881355555554E-3</v>
      </c>
      <c r="V31" s="443">
        <f t="shared" si="9"/>
        <v>6.5335881355555554E-3</v>
      </c>
      <c r="W31" s="443">
        <f t="shared" si="10"/>
        <v>6.5335881355555554E-3</v>
      </c>
      <c r="X31" s="444">
        <f t="shared" si="11"/>
        <v>5.7065738888888889E-4</v>
      </c>
      <c r="Z31" s="447">
        <f t="shared" si="12"/>
        <v>1.1157159259259258E-2</v>
      </c>
      <c r="AA31" s="448">
        <f t="shared" si="13"/>
        <v>1.1157159259259258E-2</v>
      </c>
      <c r="AB31" s="448">
        <f t="shared" si="14"/>
        <v>1.1157159259259258E-2</v>
      </c>
      <c r="AC31" s="448">
        <f t="shared" si="15"/>
        <v>1.1157159259259258E-2</v>
      </c>
      <c r="AD31" s="448">
        <f t="shared" si="16"/>
        <v>1.1157159259259258E-2</v>
      </c>
      <c r="AE31" s="449">
        <f t="shared" si="17"/>
        <v>1.115715925925926E-2</v>
      </c>
      <c r="AF31" s="450">
        <f t="shared" si="18"/>
        <v>1.0974180555555555E-2</v>
      </c>
      <c r="AG31" s="451">
        <f t="shared" si="19"/>
        <v>1.0974180555555555E-2</v>
      </c>
      <c r="AH31" s="451">
        <f t="shared" si="20"/>
        <v>1.0974180555555555E-2</v>
      </c>
      <c r="AI31" s="448">
        <f t="shared" si="21"/>
        <v>1.0974180555555555E-2</v>
      </c>
      <c r="AJ31" s="448">
        <f t="shared" si="22"/>
        <v>1.0974180555555555E-2</v>
      </c>
      <c r="AK31" s="449">
        <f t="shared" si="23"/>
        <v>1.0974180555555556E-2</v>
      </c>
    </row>
    <row r="32" spans="2:37" x14ac:dyDescent="0.25">
      <c r="C32" s="157" t="s">
        <v>1032</v>
      </c>
      <c r="D32" s="138" t="s">
        <v>1044</v>
      </c>
      <c r="E32" s="142"/>
      <c r="H32" s="159" t="s">
        <v>1106</v>
      </c>
      <c r="I32" s="355" t="s">
        <v>643</v>
      </c>
      <c r="J32" s="332" t="s">
        <v>1075</v>
      </c>
      <c r="K32" s="441">
        <v>3.6995325890908364E-4</v>
      </c>
      <c r="L32" s="333" t="s">
        <v>364</v>
      </c>
      <c r="M32" s="442">
        <f t="shared" si="0"/>
        <v>0</v>
      </c>
      <c r="N32" s="443">
        <f t="shared" si="1"/>
        <v>0</v>
      </c>
      <c r="O32" s="443">
        <f t="shared" si="2"/>
        <v>0</v>
      </c>
      <c r="P32" s="443">
        <f t="shared" si="3"/>
        <v>0</v>
      </c>
      <c r="Q32" s="443">
        <f t="shared" si="4"/>
        <v>0</v>
      </c>
      <c r="R32" s="444">
        <f t="shared" si="5"/>
        <v>0</v>
      </c>
      <c r="S32" s="445">
        <f t="shared" si="6"/>
        <v>0</v>
      </c>
      <c r="T32" s="446">
        <f t="shared" si="7"/>
        <v>0</v>
      </c>
      <c r="U32" s="446">
        <f t="shared" si="8"/>
        <v>0</v>
      </c>
      <c r="V32" s="443">
        <f t="shared" si="9"/>
        <v>0</v>
      </c>
      <c r="W32" s="443">
        <f t="shared" si="10"/>
        <v>0</v>
      </c>
      <c r="X32" s="444">
        <f t="shared" si="11"/>
        <v>0</v>
      </c>
      <c r="Z32" s="447">
        <f t="shared" si="12"/>
        <v>0</v>
      </c>
      <c r="AA32" s="448">
        <f t="shared" si="13"/>
        <v>0</v>
      </c>
      <c r="AB32" s="448">
        <f t="shared" si="14"/>
        <v>0</v>
      </c>
      <c r="AC32" s="448">
        <f t="shared" si="15"/>
        <v>0</v>
      </c>
      <c r="AD32" s="448">
        <f t="shared" si="16"/>
        <v>0</v>
      </c>
      <c r="AE32" s="449">
        <f t="shared" si="17"/>
        <v>0</v>
      </c>
      <c r="AF32" s="450">
        <f t="shared" si="18"/>
        <v>0</v>
      </c>
      <c r="AG32" s="451">
        <f t="shared" si="19"/>
        <v>0</v>
      </c>
      <c r="AH32" s="451">
        <f t="shared" si="20"/>
        <v>0</v>
      </c>
      <c r="AI32" s="448">
        <f t="shared" si="21"/>
        <v>0</v>
      </c>
      <c r="AJ32" s="448">
        <f t="shared" si="22"/>
        <v>0</v>
      </c>
      <c r="AK32" s="449">
        <f t="shared" si="23"/>
        <v>0</v>
      </c>
    </row>
    <row r="33" spans="3:37" x14ac:dyDescent="0.25">
      <c r="C33" s="157" t="s">
        <v>865</v>
      </c>
      <c r="D33" s="138" t="s">
        <v>1044</v>
      </c>
      <c r="E33" s="142"/>
      <c r="H33" s="159" t="s">
        <v>1107</v>
      </c>
      <c r="I33" s="355" t="s">
        <v>1108</v>
      </c>
      <c r="J33" s="332" t="s">
        <v>1075</v>
      </c>
      <c r="K33" s="441">
        <v>2.1843972782305239E-3</v>
      </c>
      <c r="L33" s="333" t="s">
        <v>364</v>
      </c>
      <c r="M33" s="442">
        <f t="shared" si="0"/>
        <v>0</v>
      </c>
      <c r="N33" s="443">
        <f t="shared" si="1"/>
        <v>0</v>
      </c>
      <c r="O33" s="443">
        <f t="shared" si="2"/>
        <v>0</v>
      </c>
      <c r="P33" s="443">
        <f t="shared" si="3"/>
        <v>0</v>
      </c>
      <c r="Q33" s="443">
        <f t="shared" si="4"/>
        <v>0</v>
      </c>
      <c r="R33" s="444">
        <f t="shared" si="5"/>
        <v>0</v>
      </c>
      <c r="S33" s="445">
        <f t="shared" si="6"/>
        <v>0</v>
      </c>
      <c r="T33" s="446">
        <f t="shared" si="7"/>
        <v>0</v>
      </c>
      <c r="U33" s="446">
        <f t="shared" si="8"/>
        <v>0</v>
      </c>
      <c r="V33" s="443">
        <f t="shared" si="9"/>
        <v>0</v>
      </c>
      <c r="W33" s="443">
        <f t="shared" si="10"/>
        <v>0</v>
      </c>
      <c r="X33" s="444">
        <f t="shared" si="11"/>
        <v>0</v>
      </c>
      <c r="Z33" s="447">
        <f t="shared" si="12"/>
        <v>0</v>
      </c>
      <c r="AA33" s="448">
        <f t="shared" si="13"/>
        <v>0</v>
      </c>
      <c r="AB33" s="448">
        <f t="shared" si="14"/>
        <v>0</v>
      </c>
      <c r="AC33" s="448">
        <f t="shared" si="15"/>
        <v>0</v>
      </c>
      <c r="AD33" s="448">
        <f t="shared" si="16"/>
        <v>0</v>
      </c>
      <c r="AE33" s="449">
        <f t="shared" si="17"/>
        <v>0</v>
      </c>
      <c r="AF33" s="450">
        <f t="shared" si="18"/>
        <v>0</v>
      </c>
      <c r="AG33" s="451">
        <f t="shared" si="19"/>
        <v>0</v>
      </c>
      <c r="AH33" s="451">
        <f t="shared" si="20"/>
        <v>0</v>
      </c>
      <c r="AI33" s="448">
        <f t="shared" si="21"/>
        <v>0</v>
      </c>
      <c r="AJ33" s="448">
        <f t="shared" si="22"/>
        <v>0</v>
      </c>
      <c r="AK33" s="449">
        <f t="shared" si="23"/>
        <v>0</v>
      </c>
    </row>
    <row r="34" spans="3:37" x14ac:dyDescent="0.2">
      <c r="H34" s="454" t="s">
        <v>238</v>
      </c>
      <c r="I34" s="354" t="s">
        <v>237</v>
      </c>
      <c r="J34" s="332" t="s">
        <v>1075</v>
      </c>
      <c r="K34" s="441">
        <v>2.7130627655139485</v>
      </c>
      <c r="L34" s="333">
        <v>1.7261</v>
      </c>
      <c r="M34" s="442">
        <f t="shared" si="0"/>
        <v>3.1421183327733329</v>
      </c>
      <c r="N34" s="443">
        <f t="shared" si="1"/>
        <v>3.1421183327733329</v>
      </c>
      <c r="O34" s="443">
        <f t="shared" si="2"/>
        <v>3.9446094184377771</v>
      </c>
      <c r="P34" s="443">
        <f t="shared" si="3"/>
        <v>3.9446094184377771</v>
      </c>
      <c r="Q34" s="443">
        <f t="shared" si="4"/>
        <v>3.9446094184377771</v>
      </c>
      <c r="R34" s="444">
        <f>IFERROR($AQ$11*$L34,0)+IFERROR(IF($J34="yes",($AN$11/1000)*$L34*$M$63*$H$67,0),0)</f>
        <v>0.34590804263888886</v>
      </c>
      <c r="S34" s="445">
        <f t="shared" si="6"/>
        <v>0.82415659421333332</v>
      </c>
      <c r="T34" s="446">
        <f t="shared" si="7"/>
        <v>0.82415659421333332</v>
      </c>
      <c r="U34" s="446">
        <f t="shared" si="8"/>
        <v>1.0346446312644444</v>
      </c>
      <c r="V34" s="443">
        <f t="shared" si="9"/>
        <v>1.0346446312644444</v>
      </c>
      <c r="W34" s="443">
        <f t="shared" si="10"/>
        <v>1.0346446312644444</v>
      </c>
      <c r="X34" s="444">
        <f>IFERROR($AR$11*$L34,0)+IFERROR(IF($J34="yes",($AN$11/1000)*$L34*$M$63*$J$67,0),0)</f>
        <v>9.0474010972222213E-2</v>
      </c>
      <c r="Z34" s="447">
        <f t="shared" si="12"/>
        <v>1.7668231740740739</v>
      </c>
      <c r="AA34" s="448">
        <f t="shared" si="13"/>
        <v>1.7668231740740739</v>
      </c>
      <c r="AB34" s="448">
        <f t="shared" si="14"/>
        <v>1.7668231740740741</v>
      </c>
      <c r="AC34" s="448">
        <f t="shared" si="15"/>
        <v>1.7668231740740741</v>
      </c>
      <c r="AD34" s="448">
        <f t="shared" si="16"/>
        <v>1.7668231740740741</v>
      </c>
      <c r="AE34" s="449">
        <f t="shared" si="17"/>
        <v>1.773887398148148</v>
      </c>
      <c r="AF34" s="450">
        <f t="shared" si="18"/>
        <v>1.7378470694444443</v>
      </c>
      <c r="AG34" s="451">
        <f t="shared" si="19"/>
        <v>1.7378470694444443</v>
      </c>
      <c r="AH34" s="451">
        <f t="shared" si="20"/>
        <v>1.7378470694444443</v>
      </c>
      <c r="AI34" s="448">
        <f t="shared" si="21"/>
        <v>1.7378470694444443</v>
      </c>
      <c r="AJ34" s="448">
        <f t="shared" si="22"/>
        <v>1.7378470694444443</v>
      </c>
      <c r="AK34" s="449">
        <f t="shared" si="23"/>
        <v>1.7398848263888889</v>
      </c>
    </row>
    <row r="35" spans="3:37" x14ac:dyDescent="0.2">
      <c r="H35" s="454" t="s">
        <v>258</v>
      </c>
      <c r="I35" s="354" t="s">
        <v>257</v>
      </c>
      <c r="J35" s="332" t="s">
        <v>1075</v>
      </c>
      <c r="K35" s="441">
        <v>2.69E-2</v>
      </c>
      <c r="L35" s="333">
        <v>2.69E-2</v>
      </c>
      <c r="M35" s="442">
        <f t="shared" si="0"/>
        <v>4.8967605093333332E-2</v>
      </c>
      <c r="N35" s="443">
        <f t="shared" si="1"/>
        <v>4.8967605093333332E-2</v>
      </c>
      <c r="O35" s="443">
        <f t="shared" si="2"/>
        <v>6.1473838917777766E-2</v>
      </c>
      <c r="P35" s="443">
        <f t="shared" si="3"/>
        <v>6.1473838917777766E-2</v>
      </c>
      <c r="Q35" s="443">
        <f t="shared" si="4"/>
        <v>6.1473838917777766E-2</v>
      </c>
      <c r="R35" s="444">
        <f t="shared" ref="R35:R56" si="26">IFERROR($AQ$11*$L35,0)+IFERROR(IF($J35="yes",($AN$11/1000)*$L35*$M$62*$H$67,0),0)</f>
        <v>5.369254944444444E-3</v>
      </c>
      <c r="S35" s="445">
        <f t="shared" si="6"/>
        <v>1.2843874853333333E-2</v>
      </c>
      <c r="T35" s="446">
        <f t="shared" si="7"/>
        <v>1.2843874853333333E-2</v>
      </c>
      <c r="U35" s="446">
        <f t="shared" si="8"/>
        <v>1.6124176224444446E-2</v>
      </c>
      <c r="V35" s="443">
        <f t="shared" si="9"/>
        <v>1.6124176224444446E-2</v>
      </c>
      <c r="W35" s="443">
        <f t="shared" si="10"/>
        <v>1.6124176224444446E-2</v>
      </c>
      <c r="X35" s="444">
        <f t="shared" ref="X35:X56" si="27">IFERROR($AR$11*$L35,0)+IFERROR(IF($J35="yes",($AN$11/1000)*$L35*$M$62*$J$67,0),0)</f>
        <v>1.408319611111111E-3</v>
      </c>
      <c r="Z35" s="447">
        <f t="shared" si="12"/>
        <v>2.7534640740740739E-2</v>
      </c>
      <c r="AA35" s="448">
        <f t="shared" si="13"/>
        <v>2.7534640740740739E-2</v>
      </c>
      <c r="AB35" s="448">
        <f t="shared" si="14"/>
        <v>2.7534640740740739E-2</v>
      </c>
      <c r="AC35" s="448">
        <f t="shared" si="15"/>
        <v>2.7534640740740739E-2</v>
      </c>
      <c r="AD35" s="448">
        <f t="shared" si="16"/>
        <v>2.7534640740740739E-2</v>
      </c>
      <c r="AE35" s="449">
        <f t="shared" si="17"/>
        <v>2.7534640740740739E-2</v>
      </c>
      <c r="AF35" s="450">
        <f t="shared" si="18"/>
        <v>2.7083069444444444E-2</v>
      </c>
      <c r="AG35" s="451">
        <f t="shared" si="19"/>
        <v>2.7083069444444444E-2</v>
      </c>
      <c r="AH35" s="451">
        <f t="shared" si="20"/>
        <v>2.7083069444444448E-2</v>
      </c>
      <c r="AI35" s="448">
        <f t="shared" si="21"/>
        <v>2.7083069444444448E-2</v>
      </c>
      <c r="AJ35" s="448">
        <f t="shared" si="22"/>
        <v>2.7083069444444448E-2</v>
      </c>
      <c r="AK35" s="449">
        <f t="shared" si="23"/>
        <v>2.7083069444444444E-2</v>
      </c>
    </row>
    <row r="36" spans="3:37" x14ac:dyDescent="0.2">
      <c r="C36" s="303" t="s">
        <v>1917</v>
      </c>
      <c r="D36" s="160"/>
      <c r="E36" s="160"/>
      <c r="H36" s="454" t="s">
        <v>1109</v>
      </c>
      <c r="I36" s="354" t="s">
        <v>239</v>
      </c>
      <c r="J36" s="332" t="s">
        <v>1085</v>
      </c>
      <c r="K36" s="441">
        <v>6.3144459628541096E-5</v>
      </c>
      <c r="L36" s="333">
        <v>1E-4</v>
      </c>
      <c r="M36" s="442">
        <f t="shared" si="0"/>
        <v>1.7784000000000002E-4</v>
      </c>
      <c r="N36" s="443">
        <f t="shared" si="1"/>
        <v>1.7784000000000002E-4</v>
      </c>
      <c r="O36" s="443">
        <f t="shared" si="2"/>
        <v>2.2325999999999997E-4</v>
      </c>
      <c r="P36" s="443">
        <f t="shared" si="3"/>
        <v>2.2325999999999997E-4</v>
      </c>
      <c r="Q36" s="443">
        <f t="shared" si="4"/>
        <v>2.2325999999999997E-4</v>
      </c>
      <c r="R36" s="444">
        <f t="shared" si="26"/>
        <v>1.9500000000000003E-5</v>
      </c>
      <c r="S36" s="445">
        <f t="shared" si="6"/>
        <v>4.7423999999999999E-5</v>
      </c>
      <c r="T36" s="446">
        <f t="shared" si="7"/>
        <v>4.7423999999999999E-5</v>
      </c>
      <c r="U36" s="446">
        <f t="shared" si="8"/>
        <v>5.9536000000000001E-5</v>
      </c>
      <c r="V36" s="443">
        <f t="shared" si="9"/>
        <v>5.9536000000000001E-5</v>
      </c>
      <c r="W36" s="443">
        <f t="shared" si="10"/>
        <v>5.9536000000000001E-5</v>
      </c>
      <c r="X36" s="444">
        <f t="shared" si="27"/>
        <v>5.2000000000000002E-6</v>
      </c>
      <c r="Z36" s="447">
        <f t="shared" si="12"/>
        <v>1E-4</v>
      </c>
      <c r="AA36" s="448">
        <f t="shared" si="13"/>
        <v>1E-4</v>
      </c>
      <c r="AB36" s="448">
        <f t="shared" si="14"/>
        <v>1E-4</v>
      </c>
      <c r="AC36" s="448">
        <f t="shared" si="15"/>
        <v>1E-4</v>
      </c>
      <c r="AD36" s="448">
        <f t="shared" si="16"/>
        <v>1E-4</v>
      </c>
      <c r="AE36" s="449">
        <f t="shared" si="17"/>
        <v>1.0000000000000002E-4</v>
      </c>
      <c r="AF36" s="450">
        <f t="shared" si="18"/>
        <v>1E-4</v>
      </c>
      <c r="AG36" s="451">
        <f t="shared" si="19"/>
        <v>1E-4</v>
      </c>
      <c r="AH36" s="451">
        <f t="shared" si="20"/>
        <v>1E-4</v>
      </c>
      <c r="AI36" s="448">
        <f t="shared" si="21"/>
        <v>1E-4</v>
      </c>
      <c r="AJ36" s="448">
        <f t="shared" si="22"/>
        <v>1E-4</v>
      </c>
      <c r="AK36" s="449">
        <f t="shared" si="23"/>
        <v>1E-4</v>
      </c>
    </row>
    <row r="37" spans="3:37" x14ac:dyDescent="0.2">
      <c r="C37" s="137" t="s">
        <v>1110</v>
      </c>
      <c r="D37" s="142">
        <f>2*1456</f>
        <v>2912</v>
      </c>
      <c r="E37" s="139"/>
      <c r="H37" s="454" t="s">
        <v>1111</v>
      </c>
      <c r="I37" s="354" t="s">
        <v>259</v>
      </c>
      <c r="J37" s="332" t="s">
        <v>1075</v>
      </c>
      <c r="K37" s="441">
        <v>0.18629999999999999</v>
      </c>
      <c r="L37" s="333">
        <v>0.18629999999999999</v>
      </c>
      <c r="M37" s="442">
        <f t="shared" si="0"/>
        <v>0.33913252151999995</v>
      </c>
      <c r="N37" s="443">
        <f t="shared" si="1"/>
        <v>0.33913252151999995</v>
      </c>
      <c r="O37" s="443">
        <f t="shared" si="2"/>
        <v>0.42574632677999991</v>
      </c>
      <c r="P37" s="443">
        <f t="shared" si="3"/>
        <v>0.42574632677999991</v>
      </c>
      <c r="Q37" s="443">
        <f t="shared" si="4"/>
        <v>0.42574632677999991</v>
      </c>
      <c r="R37" s="444">
        <f t="shared" si="26"/>
        <v>3.7185583499999994E-2</v>
      </c>
      <c r="S37" s="445">
        <f t="shared" si="6"/>
        <v>8.895218903999999E-2</v>
      </c>
      <c r="T37" s="446">
        <f t="shared" si="7"/>
        <v>8.895218903999999E-2</v>
      </c>
      <c r="U37" s="446">
        <f t="shared" si="8"/>
        <v>0.11167041005999999</v>
      </c>
      <c r="V37" s="443">
        <f t="shared" si="9"/>
        <v>0.11167041005999999</v>
      </c>
      <c r="W37" s="443">
        <f t="shared" si="10"/>
        <v>0.11167041005999999</v>
      </c>
      <c r="X37" s="444">
        <f t="shared" si="27"/>
        <v>9.7535294999999984E-3</v>
      </c>
      <c r="Z37" s="447">
        <f t="shared" si="12"/>
        <v>0.19069529999999998</v>
      </c>
      <c r="AA37" s="448">
        <f t="shared" si="13"/>
        <v>0.19069529999999998</v>
      </c>
      <c r="AB37" s="448">
        <f t="shared" si="14"/>
        <v>0.19069529999999998</v>
      </c>
      <c r="AC37" s="448">
        <f t="shared" si="15"/>
        <v>0.19069529999999998</v>
      </c>
      <c r="AD37" s="448">
        <f t="shared" si="16"/>
        <v>0.19069529999999998</v>
      </c>
      <c r="AE37" s="449">
        <f t="shared" si="17"/>
        <v>0.19069529999999996</v>
      </c>
      <c r="AF37" s="450">
        <f t="shared" si="18"/>
        <v>0.187567875</v>
      </c>
      <c r="AG37" s="451">
        <f t="shared" si="19"/>
        <v>0.187567875</v>
      </c>
      <c r="AH37" s="451">
        <f t="shared" si="20"/>
        <v>0.18756787499999997</v>
      </c>
      <c r="AI37" s="448">
        <f t="shared" si="21"/>
        <v>0.18756787499999997</v>
      </c>
      <c r="AJ37" s="448">
        <f t="shared" si="22"/>
        <v>0.18756787499999997</v>
      </c>
      <c r="AK37" s="449">
        <f t="shared" si="23"/>
        <v>0.18756787499999997</v>
      </c>
    </row>
    <row r="38" spans="3:37" x14ac:dyDescent="0.2">
      <c r="C38" s="137" t="s">
        <v>1112</v>
      </c>
      <c r="D38" s="138">
        <v>13</v>
      </c>
      <c r="E38" s="139"/>
      <c r="H38" s="159" t="s">
        <v>1113</v>
      </c>
      <c r="I38" s="355" t="s">
        <v>645</v>
      </c>
      <c r="J38" s="332" t="s">
        <v>1075</v>
      </c>
      <c r="K38" s="441">
        <v>1.0710973550430282E-5</v>
      </c>
      <c r="L38" s="333" t="s">
        <v>364</v>
      </c>
      <c r="M38" s="442">
        <f t="shared" ref="M38:M56" si="28">IFERROR($AQ$6*$L38,0)+IFERROR(IF($J38="yes",($AN$6/1000)*$L38*$M$62*$H$67,0),0)</f>
        <v>0</v>
      </c>
      <c r="N38" s="443">
        <f t="shared" ref="N38:N56" si="29">IFERROR($AQ$7*$L38,0)+IFERROR(IF($J38="yes",($AN$7/1000)*$L38*$M$62*$H$67,0),0)</f>
        <v>0</v>
      </c>
      <c r="O38" s="443">
        <f t="shared" ref="O38:O56" si="30">IFERROR($AQ$8*$L38,0)+IFERROR(IF($J38="yes",($AN$8/1000)*$L38*$M$62*$H$67,0),0)</f>
        <v>0</v>
      </c>
      <c r="P38" s="443">
        <f t="shared" ref="P38:P56" si="31">IFERROR($AQ$9*$L38,0)+IFERROR(IF($J38="yes",($AN$9/1000)*$L38*$M$62*$H$67,0),0)</f>
        <v>0</v>
      </c>
      <c r="Q38" s="443">
        <f t="shared" ref="Q38:Q56" si="32">IFERROR($AQ$10*$L38,0)+IFERROR(IF($J38="yes",($AN$10/1000)*$L38*$M$62*$H$67,0),0)</f>
        <v>0</v>
      </c>
      <c r="R38" s="444">
        <f t="shared" si="26"/>
        <v>0</v>
      </c>
      <c r="S38" s="445">
        <f t="shared" ref="S38:S56" si="33">IFERROR($AR$6*$L38,0)+IFERROR(IF($J38="yes",($AN$6/1000)*$L38*$M$62*$J$67,0),0)</f>
        <v>0</v>
      </c>
      <c r="T38" s="446">
        <f t="shared" ref="T38:T56" si="34">IFERROR($AR$7*$L38,0)+IFERROR(IF($J38="yes",($AN$7/1000)*$L38*$M$62*$J$67,0),0)</f>
        <v>0</v>
      </c>
      <c r="U38" s="446">
        <f t="shared" ref="U38:U56" si="35">IFERROR($AR$8*$L38,0)+IFERROR(IF($J38="yes",($AN$8/1000)*$L38*$M$62*$J$67,0),0)</f>
        <v>0</v>
      </c>
      <c r="V38" s="443">
        <f t="shared" ref="V38:V56" si="36">IFERROR($AR$9*$L38,0)+IFERROR(IF($J38="yes",($AN$9/1000)*$L38*$M$62*$J$67,0),0)</f>
        <v>0</v>
      </c>
      <c r="W38" s="443">
        <f t="shared" ref="W38:W56" si="37">IFERROR($AR$10*$L38,0)+IFERROR(IF($J38="yes",($AN$10/1000)*$L38*$M$62*$J$67,0),0)</f>
        <v>0</v>
      </c>
      <c r="X38" s="444">
        <f t="shared" si="27"/>
        <v>0</v>
      </c>
      <c r="Z38" s="447">
        <f t="shared" ref="Z38:Z56" si="38">M38/$AQ$6</f>
        <v>0</v>
      </c>
      <c r="AA38" s="448">
        <f t="shared" ref="AA38:AA56" si="39">N38/$AQ$7</f>
        <v>0</v>
      </c>
      <c r="AB38" s="448">
        <f t="shared" ref="AB38:AB56" si="40">O38/$AQ$8</f>
        <v>0</v>
      </c>
      <c r="AC38" s="448">
        <f t="shared" ref="AC38:AC56" si="41">P38/$AQ$9</f>
        <v>0</v>
      </c>
      <c r="AD38" s="448">
        <f t="shared" ref="AD38:AD56" si="42">Q38/$AQ$10</f>
        <v>0</v>
      </c>
      <c r="AE38" s="449">
        <f t="shared" ref="AE38:AE56" si="43">R38/$AQ$11</f>
        <v>0</v>
      </c>
      <c r="AF38" s="450">
        <f t="shared" ref="AF38:AF56" si="44">S38/$AR$6</f>
        <v>0</v>
      </c>
      <c r="AG38" s="451">
        <f t="shared" ref="AG38:AG56" si="45">T38/$AR$7</f>
        <v>0</v>
      </c>
      <c r="AH38" s="451">
        <f t="shared" ref="AH38:AH56" si="46">U38/$AR$8</f>
        <v>0</v>
      </c>
      <c r="AI38" s="448">
        <f t="shared" ref="AI38:AI56" si="47">V38/$AR$9</f>
        <v>0</v>
      </c>
      <c r="AJ38" s="448">
        <f t="shared" ref="AJ38:AJ56" si="48">W38/$AR$10</f>
        <v>0</v>
      </c>
      <c r="AK38" s="449">
        <f t="shared" ref="AK38:AK56" si="49">X38/$AR$11</f>
        <v>0</v>
      </c>
    </row>
    <row r="39" spans="3:37" x14ac:dyDescent="0.2">
      <c r="C39" s="137" t="s">
        <v>1079</v>
      </c>
      <c r="D39" s="141">
        <v>1.1599999999999999</v>
      </c>
      <c r="E39" s="139"/>
      <c r="H39" s="454" t="s">
        <v>352</v>
      </c>
      <c r="I39" s="354" t="s">
        <v>241</v>
      </c>
      <c r="J39" s="332" t="s">
        <v>1085</v>
      </c>
      <c r="K39" s="441">
        <v>3.636715317945822E-4</v>
      </c>
      <c r="L39" s="333">
        <v>8.3000000000000001E-3</v>
      </c>
      <c r="M39" s="442">
        <f t="shared" si="28"/>
        <v>1.476072E-2</v>
      </c>
      <c r="N39" s="443">
        <f t="shared" si="29"/>
        <v>1.476072E-2</v>
      </c>
      <c r="O39" s="443">
        <f t="shared" si="30"/>
        <v>1.8530579999999998E-2</v>
      </c>
      <c r="P39" s="443">
        <f t="shared" si="31"/>
        <v>1.8530579999999998E-2</v>
      </c>
      <c r="Q39" s="443">
        <f t="shared" si="32"/>
        <v>1.8530579999999998E-2</v>
      </c>
      <c r="R39" s="444">
        <f t="shared" si="26"/>
        <v>1.6185000000000001E-3</v>
      </c>
      <c r="S39" s="445">
        <f t="shared" si="33"/>
        <v>3.9361919999999998E-3</v>
      </c>
      <c r="T39" s="446">
        <f t="shared" si="34"/>
        <v>3.9361919999999998E-3</v>
      </c>
      <c r="U39" s="446">
        <f t="shared" si="35"/>
        <v>4.941488E-3</v>
      </c>
      <c r="V39" s="443">
        <f t="shared" si="36"/>
        <v>4.941488E-3</v>
      </c>
      <c r="W39" s="443">
        <f t="shared" si="37"/>
        <v>4.941488E-3</v>
      </c>
      <c r="X39" s="444">
        <f t="shared" si="27"/>
        <v>4.3159999999999997E-4</v>
      </c>
      <c r="Z39" s="447">
        <f t="shared" si="38"/>
        <v>8.3000000000000001E-3</v>
      </c>
      <c r="AA39" s="448">
        <f t="shared" si="39"/>
        <v>8.3000000000000001E-3</v>
      </c>
      <c r="AB39" s="448">
        <f t="shared" si="40"/>
        <v>8.3000000000000001E-3</v>
      </c>
      <c r="AC39" s="448">
        <f t="shared" si="41"/>
        <v>8.3000000000000001E-3</v>
      </c>
      <c r="AD39" s="448">
        <f t="shared" si="42"/>
        <v>8.3000000000000001E-3</v>
      </c>
      <c r="AE39" s="449">
        <f t="shared" si="43"/>
        <v>8.3000000000000001E-3</v>
      </c>
      <c r="AF39" s="450">
        <f t="shared" si="44"/>
        <v>8.3000000000000001E-3</v>
      </c>
      <c r="AG39" s="451">
        <f t="shared" si="45"/>
        <v>8.3000000000000001E-3</v>
      </c>
      <c r="AH39" s="451">
        <f t="shared" si="46"/>
        <v>8.3000000000000001E-3</v>
      </c>
      <c r="AI39" s="448">
        <f t="shared" si="47"/>
        <v>8.3000000000000001E-3</v>
      </c>
      <c r="AJ39" s="448">
        <f t="shared" si="48"/>
        <v>8.3000000000000001E-3</v>
      </c>
      <c r="AK39" s="449">
        <f t="shared" si="49"/>
        <v>8.3000000000000001E-3</v>
      </c>
    </row>
    <row r="40" spans="3:37" x14ac:dyDescent="0.2">
      <c r="C40" s="137" t="s">
        <v>1082</v>
      </c>
      <c r="D40" s="142">
        <v>165</v>
      </c>
      <c r="E40" s="139"/>
      <c r="H40" s="454" t="s">
        <v>350</v>
      </c>
      <c r="I40" s="354" t="s">
        <v>261</v>
      </c>
      <c r="J40" s="332" t="s">
        <v>1085</v>
      </c>
      <c r="K40" s="441">
        <v>4.1991264918956304E-4</v>
      </c>
      <c r="L40" s="333">
        <v>3.0999999999999999E-3</v>
      </c>
      <c r="M40" s="442">
        <f t="shared" si="28"/>
        <v>5.5130399999999994E-3</v>
      </c>
      <c r="N40" s="443">
        <f t="shared" si="29"/>
        <v>5.5130399999999994E-3</v>
      </c>
      <c r="O40" s="443">
        <f t="shared" si="30"/>
        <v>6.9210599999999988E-3</v>
      </c>
      <c r="P40" s="443">
        <f t="shared" si="31"/>
        <v>6.9210599999999988E-3</v>
      </c>
      <c r="Q40" s="443">
        <f t="shared" si="32"/>
        <v>6.9210599999999988E-3</v>
      </c>
      <c r="R40" s="444">
        <f t="shared" si="26"/>
        <v>6.045E-4</v>
      </c>
      <c r="S40" s="445">
        <f t="shared" si="33"/>
        <v>1.4701439999999998E-3</v>
      </c>
      <c r="T40" s="446">
        <f t="shared" si="34"/>
        <v>1.4701439999999998E-3</v>
      </c>
      <c r="U40" s="446">
        <f t="shared" si="35"/>
        <v>1.845616E-3</v>
      </c>
      <c r="V40" s="443">
        <f t="shared" si="36"/>
        <v>1.845616E-3</v>
      </c>
      <c r="W40" s="443">
        <f t="shared" si="37"/>
        <v>1.845616E-3</v>
      </c>
      <c r="X40" s="444">
        <f t="shared" si="27"/>
        <v>1.6119999999999999E-4</v>
      </c>
      <c r="Z40" s="447">
        <f t="shared" si="38"/>
        <v>3.0999999999999999E-3</v>
      </c>
      <c r="AA40" s="448">
        <f t="shared" si="39"/>
        <v>3.0999999999999999E-3</v>
      </c>
      <c r="AB40" s="448">
        <f t="shared" si="40"/>
        <v>3.0999999999999999E-3</v>
      </c>
      <c r="AC40" s="448">
        <f t="shared" si="41"/>
        <v>3.0999999999999999E-3</v>
      </c>
      <c r="AD40" s="448">
        <f t="shared" si="42"/>
        <v>3.0999999999999999E-3</v>
      </c>
      <c r="AE40" s="449">
        <f t="shared" si="43"/>
        <v>3.0999999999999999E-3</v>
      </c>
      <c r="AF40" s="450">
        <f t="shared" si="44"/>
        <v>3.0999999999999999E-3</v>
      </c>
      <c r="AG40" s="451">
        <f t="shared" si="45"/>
        <v>3.0999999999999999E-3</v>
      </c>
      <c r="AH40" s="451">
        <f t="shared" si="46"/>
        <v>3.0999999999999999E-3</v>
      </c>
      <c r="AI40" s="448">
        <f t="shared" si="47"/>
        <v>3.0999999999999999E-3</v>
      </c>
      <c r="AJ40" s="448">
        <f t="shared" si="48"/>
        <v>3.0999999999999999E-3</v>
      </c>
      <c r="AK40" s="449">
        <f t="shared" si="49"/>
        <v>3.0999999999999999E-3</v>
      </c>
    </row>
    <row r="41" spans="3:37" x14ac:dyDescent="0.2">
      <c r="C41" s="143"/>
      <c r="E41" s="139"/>
      <c r="H41" s="454" t="s">
        <v>1114</v>
      </c>
      <c r="I41" s="354" t="s">
        <v>263</v>
      </c>
      <c r="J41" s="332" t="s">
        <v>1085</v>
      </c>
      <c r="K41" s="441">
        <v>1.5107336534301277E-5</v>
      </c>
      <c r="L41" s="333">
        <v>2E-3</v>
      </c>
      <c r="M41" s="442">
        <f t="shared" si="28"/>
        <v>3.5568000000000002E-3</v>
      </c>
      <c r="N41" s="443">
        <f t="shared" si="29"/>
        <v>3.5568000000000002E-3</v>
      </c>
      <c r="O41" s="443">
        <f t="shared" si="30"/>
        <v>4.4651999999999999E-3</v>
      </c>
      <c r="P41" s="443">
        <f t="shared" si="31"/>
        <v>4.4651999999999999E-3</v>
      </c>
      <c r="Q41" s="443">
        <f t="shared" si="32"/>
        <v>4.4651999999999999E-3</v>
      </c>
      <c r="R41" s="444">
        <f t="shared" si="26"/>
        <v>3.9000000000000005E-4</v>
      </c>
      <c r="S41" s="445">
        <f t="shared" si="33"/>
        <v>9.4848000000000003E-4</v>
      </c>
      <c r="T41" s="446">
        <f t="shared" si="34"/>
        <v>9.4848000000000003E-4</v>
      </c>
      <c r="U41" s="446">
        <f t="shared" si="35"/>
        <v>1.1907199999999999E-3</v>
      </c>
      <c r="V41" s="443">
        <f t="shared" si="36"/>
        <v>1.1907199999999999E-3</v>
      </c>
      <c r="W41" s="443">
        <f t="shared" si="37"/>
        <v>1.1907199999999999E-3</v>
      </c>
      <c r="X41" s="444">
        <f t="shared" si="27"/>
        <v>1.0399999999999999E-4</v>
      </c>
      <c r="Z41" s="447">
        <f t="shared" si="38"/>
        <v>2E-3</v>
      </c>
      <c r="AA41" s="448">
        <f t="shared" si="39"/>
        <v>2E-3</v>
      </c>
      <c r="AB41" s="448">
        <f t="shared" si="40"/>
        <v>2E-3</v>
      </c>
      <c r="AC41" s="448">
        <f t="shared" si="41"/>
        <v>2E-3</v>
      </c>
      <c r="AD41" s="448">
        <f t="shared" si="42"/>
        <v>2E-3</v>
      </c>
      <c r="AE41" s="449">
        <f t="shared" si="43"/>
        <v>2E-3</v>
      </c>
      <c r="AF41" s="450">
        <f t="shared" si="44"/>
        <v>2E-3</v>
      </c>
      <c r="AG41" s="451">
        <f t="shared" si="45"/>
        <v>2E-3</v>
      </c>
      <c r="AH41" s="451">
        <f t="shared" si="46"/>
        <v>2E-3</v>
      </c>
      <c r="AI41" s="448">
        <f t="shared" si="47"/>
        <v>2E-3</v>
      </c>
      <c r="AJ41" s="448">
        <f t="shared" si="48"/>
        <v>2E-3</v>
      </c>
      <c r="AK41" s="449">
        <f t="shared" si="49"/>
        <v>2E-3</v>
      </c>
    </row>
    <row r="42" spans="3:37" ht="27" x14ac:dyDescent="0.2">
      <c r="C42" s="144" t="s">
        <v>1025</v>
      </c>
      <c r="D42" s="301" t="s">
        <v>1115</v>
      </c>
      <c r="E42" s="145" t="s">
        <v>1027</v>
      </c>
      <c r="H42" s="454" t="s">
        <v>1116</v>
      </c>
      <c r="I42" s="354" t="s">
        <v>1117</v>
      </c>
      <c r="J42" s="332" t="s">
        <v>1075</v>
      </c>
      <c r="K42" s="441">
        <v>1.2297907414592798E-2</v>
      </c>
      <c r="L42" s="333" t="s">
        <v>364</v>
      </c>
      <c r="M42" s="442">
        <f t="shared" si="28"/>
        <v>0</v>
      </c>
      <c r="N42" s="443">
        <f t="shared" si="29"/>
        <v>0</v>
      </c>
      <c r="O42" s="443">
        <f t="shared" si="30"/>
        <v>0</v>
      </c>
      <c r="P42" s="443">
        <f t="shared" si="31"/>
        <v>0</v>
      </c>
      <c r="Q42" s="443">
        <f t="shared" si="32"/>
        <v>0</v>
      </c>
      <c r="R42" s="444">
        <f t="shared" si="26"/>
        <v>0</v>
      </c>
      <c r="S42" s="445">
        <f t="shared" si="33"/>
        <v>0</v>
      </c>
      <c r="T42" s="446">
        <f t="shared" si="34"/>
        <v>0</v>
      </c>
      <c r="U42" s="446">
        <f t="shared" si="35"/>
        <v>0</v>
      </c>
      <c r="V42" s="443">
        <f t="shared" si="36"/>
        <v>0</v>
      </c>
      <c r="W42" s="443">
        <f t="shared" si="37"/>
        <v>0</v>
      </c>
      <c r="X42" s="444">
        <f t="shared" si="27"/>
        <v>0</v>
      </c>
      <c r="Z42" s="447">
        <f t="shared" si="38"/>
        <v>0</v>
      </c>
      <c r="AA42" s="448">
        <f t="shared" si="39"/>
        <v>0</v>
      </c>
      <c r="AB42" s="448">
        <f t="shared" si="40"/>
        <v>0</v>
      </c>
      <c r="AC42" s="448">
        <f t="shared" si="41"/>
        <v>0</v>
      </c>
      <c r="AD42" s="448">
        <f t="shared" si="42"/>
        <v>0</v>
      </c>
      <c r="AE42" s="449">
        <f t="shared" si="43"/>
        <v>0</v>
      </c>
      <c r="AF42" s="450">
        <f t="shared" si="44"/>
        <v>0</v>
      </c>
      <c r="AG42" s="451">
        <f t="shared" si="45"/>
        <v>0</v>
      </c>
      <c r="AH42" s="451">
        <f t="shared" si="46"/>
        <v>0</v>
      </c>
      <c r="AI42" s="448">
        <f t="shared" si="47"/>
        <v>0</v>
      </c>
      <c r="AJ42" s="448">
        <f t="shared" si="48"/>
        <v>0</v>
      </c>
      <c r="AK42" s="449">
        <f t="shared" si="49"/>
        <v>0</v>
      </c>
    </row>
    <row r="43" spans="3:37" x14ac:dyDescent="0.2">
      <c r="C43" s="146" t="s">
        <v>822</v>
      </c>
      <c r="D43" s="138">
        <v>3.5</v>
      </c>
      <c r="E43" s="147">
        <f>$D$38*D43</f>
        <v>45.5</v>
      </c>
      <c r="H43" s="454" t="s">
        <v>1118</v>
      </c>
      <c r="I43" s="354" t="s">
        <v>244</v>
      </c>
      <c r="J43" s="458" t="s">
        <v>1075</v>
      </c>
      <c r="K43" s="441">
        <v>2.6352391113998751E-2</v>
      </c>
      <c r="L43" s="333">
        <v>1.9699999999999999E-2</v>
      </c>
      <c r="M43" s="442">
        <f t="shared" si="28"/>
        <v>3.586103421333333E-2</v>
      </c>
      <c r="N43" s="443">
        <f t="shared" si="29"/>
        <v>3.586103421333333E-2</v>
      </c>
      <c r="O43" s="443">
        <f t="shared" si="30"/>
        <v>4.5019874597777766E-2</v>
      </c>
      <c r="P43" s="443">
        <f t="shared" si="31"/>
        <v>4.5019874597777766E-2</v>
      </c>
      <c r="Q43" s="443">
        <f t="shared" si="32"/>
        <v>4.5019874597777766E-2</v>
      </c>
      <c r="R43" s="444">
        <f t="shared" si="26"/>
        <v>3.9321309444444444E-3</v>
      </c>
      <c r="S43" s="445">
        <f t="shared" si="33"/>
        <v>9.4061090933333317E-3</v>
      </c>
      <c r="T43" s="446">
        <f t="shared" si="34"/>
        <v>9.4061090933333317E-3</v>
      </c>
      <c r="U43" s="446">
        <f t="shared" si="35"/>
        <v>1.1808411584444444E-2</v>
      </c>
      <c r="V43" s="443">
        <f t="shared" si="36"/>
        <v>1.1808411584444444E-2</v>
      </c>
      <c r="W43" s="443">
        <f t="shared" si="37"/>
        <v>1.1808411584444444E-2</v>
      </c>
      <c r="X43" s="444">
        <f t="shared" si="27"/>
        <v>1.031371611111111E-3</v>
      </c>
      <c r="Z43" s="447">
        <f t="shared" si="38"/>
        <v>2.0164774074074073E-2</v>
      </c>
      <c r="AA43" s="448">
        <f t="shared" si="39"/>
        <v>2.0164774074074073E-2</v>
      </c>
      <c r="AB43" s="448">
        <f t="shared" si="40"/>
        <v>2.0164774074074073E-2</v>
      </c>
      <c r="AC43" s="448">
        <f t="shared" si="41"/>
        <v>2.0164774074074073E-2</v>
      </c>
      <c r="AD43" s="448">
        <f t="shared" si="42"/>
        <v>2.0164774074074073E-2</v>
      </c>
      <c r="AE43" s="449">
        <f t="shared" si="43"/>
        <v>2.0164774074074073E-2</v>
      </c>
      <c r="AF43" s="450">
        <f t="shared" si="44"/>
        <v>1.9834069444444442E-2</v>
      </c>
      <c r="AG43" s="451">
        <f t="shared" si="45"/>
        <v>1.9834069444444442E-2</v>
      </c>
      <c r="AH43" s="451">
        <f t="shared" si="46"/>
        <v>1.9834069444444442E-2</v>
      </c>
      <c r="AI43" s="448">
        <f t="shared" si="47"/>
        <v>1.9834069444444442E-2</v>
      </c>
      <c r="AJ43" s="448">
        <f t="shared" si="48"/>
        <v>1.9834069444444442E-2</v>
      </c>
      <c r="AK43" s="449">
        <f t="shared" si="49"/>
        <v>1.9834069444444442E-2</v>
      </c>
    </row>
    <row r="44" spans="3:37" x14ac:dyDescent="0.25">
      <c r="C44" s="146" t="s">
        <v>1028</v>
      </c>
      <c r="D44" s="138">
        <v>26.5</v>
      </c>
      <c r="E44" s="147">
        <f>$D$38*D44</f>
        <v>344.5</v>
      </c>
      <c r="H44" s="454" t="s">
        <v>1119</v>
      </c>
      <c r="I44" s="354">
        <v>365</v>
      </c>
      <c r="J44" s="458" t="s">
        <v>1085</v>
      </c>
      <c r="K44" s="441">
        <v>1.8222934133210207E-4</v>
      </c>
      <c r="L44" s="333">
        <v>3.8999999999999998E-3</v>
      </c>
      <c r="M44" s="442">
        <f t="shared" si="28"/>
        <v>6.93576E-3</v>
      </c>
      <c r="N44" s="443">
        <f t="shared" si="29"/>
        <v>6.93576E-3</v>
      </c>
      <c r="O44" s="443">
        <f t="shared" si="30"/>
        <v>8.7071399999999986E-3</v>
      </c>
      <c r="P44" s="443">
        <f t="shared" si="31"/>
        <v>8.7071399999999986E-3</v>
      </c>
      <c r="Q44" s="443">
        <f t="shared" si="32"/>
        <v>8.7071399999999986E-3</v>
      </c>
      <c r="R44" s="444">
        <f t="shared" si="26"/>
        <v>7.605E-4</v>
      </c>
      <c r="S44" s="445">
        <f t="shared" si="33"/>
        <v>1.8495359999999999E-3</v>
      </c>
      <c r="T44" s="446">
        <f t="shared" si="34"/>
        <v>1.8495359999999999E-3</v>
      </c>
      <c r="U44" s="446">
        <f t="shared" si="35"/>
        <v>2.3219040000000001E-3</v>
      </c>
      <c r="V44" s="443">
        <f t="shared" si="36"/>
        <v>2.3219040000000001E-3</v>
      </c>
      <c r="W44" s="443">
        <f t="shared" si="37"/>
        <v>2.3219040000000001E-3</v>
      </c>
      <c r="X44" s="444">
        <f t="shared" si="27"/>
        <v>2.0279999999999997E-4</v>
      </c>
      <c r="Z44" s="447">
        <f t="shared" si="38"/>
        <v>3.9000000000000003E-3</v>
      </c>
      <c r="AA44" s="448">
        <f t="shared" si="39"/>
        <v>3.9000000000000003E-3</v>
      </c>
      <c r="AB44" s="448">
        <f t="shared" si="40"/>
        <v>3.8999999999999998E-3</v>
      </c>
      <c r="AC44" s="448">
        <f t="shared" si="41"/>
        <v>3.8999999999999998E-3</v>
      </c>
      <c r="AD44" s="448">
        <f t="shared" si="42"/>
        <v>3.8999999999999998E-3</v>
      </c>
      <c r="AE44" s="449">
        <f t="shared" si="43"/>
        <v>3.8999999999999998E-3</v>
      </c>
      <c r="AF44" s="450">
        <f t="shared" si="44"/>
        <v>3.8999999999999998E-3</v>
      </c>
      <c r="AG44" s="451">
        <f t="shared" si="45"/>
        <v>3.8999999999999998E-3</v>
      </c>
      <c r="AH44" s="451">
        <f t="shared" si="46"/>
        <v>3.9000000000000003E-3</v>
      </c>
      <c r="AI44" s="448">
        <f t="shared" si="47"/>
        <v>3.9000000000000003E-3</v>
      </c>
      <c r="AJ44" s="448">
        <f t="shared" si="48"/>
        <v>3.9000000000000003E-3</v>
      </c>
      <c r="AK44" s="449">
        <f t="shared" si="49"/>
        <v>3.8999999999999994E-3</v>
      </c>
    </row>
    <row r="45" spans="3:37" x14ac:dyDescent="0.25">
      <c r="C45" s="146" t="s">
        <v>1088</v>
      </c>
      <c r="D45" s="138">
        <v>0.8</v>
      </c>
      <c r="E45" s="147">
        <f>$D$38*D45</f>
        <v>10.4</v>
      </c>
      <c r="H45" s="454" t="s">
        <v>1120</v>
      </c>
      <c r="I45" s="354" t="s">
        <v>1121</v>
      </c>
      <c r="J45" s="458" t="s">
        <v>1075</v>
      </c>
      <c r="K45" s="441">
        <v>1.1782465534251089E-6</v>
      </c>
      <c r="L45" s="333" t="s">
        <v>364</v>
      </c>
      <c r="M45" s="442">
        <f t="shared" si="28"/>
        <v>0</v>
      </c>
      <c r="N45" s="443">
        <f t="shared" si="29"/>
        <v>0</v>
      </c>
      <c r="O45" s="443">
        <f t="shared" si="30"/>
        <v>0</v>
      </c>
      <c r="P45" s="443">
        <f t="shared" si="31"/>
        <v>0</v>
      </c>
      <c r="Q45" s="443">
        <f t="shared" si="32"/>
        <v>0</v>
      </c>
      <c r="R45" s="444">
        <f t="shared" si="26"/>
        <v>0</v>
      </c>
      <c r="S45" s="445">
        <f t="shared" si="33"/>
        <v>0</v>
      </c>
      <c r="T45" s="446">
        <f t="shared" si="34"/>
        <v>0</v>
      </c>
      <c r="U45" s="446">
        <f t="shared" si="35"/>
        <v>0</v>
      </c>
      <c r="V45" s="443">
        <f t="shared" si="36"/>
        <v>0</v>
      </c>
      <c r="W45" s="443">
        <f t="shared" si="37"/>
        <v>0</v>
      </c>
      <c r="X45" s="444">
        <f t="shared" si="27"/>
        <v>0</v>
      </c>
      <c r="Z45" s="447">
        <f t="shared" si="38"/>
        <v>0</v>
      </c>
      <c r="AA45" s="448">
        <f t="shared" si="39"/>
        <v>0</v>
      </c>
      <c r="AB45" s="448">
        <f t="shared" si="40"/>
        <v>0</v>
      </c>
      <c r="AC45" s="448">
        <f t="shared" si="41"/>
        <v>0</v>
      </c>
      <c r="AD45" s="448">
        <f t="shared" si="42"/>
        <v>0</v>
      </c>
      <c r="AE45" s="449">
        <f t="shared" si="43"/>
        <v>0</v>
      </c>
      <c r="AF45" s="450">
        <f t="shared" si="44"/>
        <v>0</v>
      </c>
      <c r="AG45" s="451">
        <f t="shared" si="45"/>
        <v>0</v>
      </c>
      <c r="AH45" s="451">
        <f t="shared" si="46"/>
        <v>0</v>
      </c>
      <c r="AI45" s="448">
        <f t="shared" si="47"/>
        <v>0</v>
      </c>
      <c r="AJ45" s="448">
        <f t="shared" si="48"/>
        <v>0</v>
      </c>
      <c r="AK45" s="449">
        <f t="shared" si="49"/>
        <v>0</v>
      </c>
    </row>
    <row r="46" spans="3:37" x14ac:dyDescent="0.25">
      <c r="C46" s="146" t="s">
        <v>1089</v>
      </c>
      <c r="D46" s="138">
        <v>1.7</v>
      </c>
      <c r="E46" s="147">
        <f>$D$38*D46</f>
        <v>22.099999999999998</v>
      </c>
      <c r="H46" s="454" t="s">
        <v>1122</v>
      </c>
      <c r="I46" s="354" t="s">
        <v>1123</v>
      </c>
      <c r="J46" s="458" t="s">
        <v>1075</v>
      </c>
      <c r="K46" s="441">
        <v>4.5419465326501894E-3</v>
      </c>
      <c r="L46" s="333" t="s">
        <v>364</v>
      </c>
      <c r="M46" s="442">
        <f t="shared" si="28"/>
        <v>0</v>
      </c>
      <c r="N46" s="443">
        <f t="shared" si="29"/>
        <v>0</v>
      </c>
      <c r="O46" s="443">
        <f t="shared" si="30"/>
        <v>0</v>
      </c>
      <c r="P46" s="443">
        <f t="shared" si="31"/>
        <v>0</v>
      </c>
      <c r="Q46" s="443">
        <f t="shared" si="32"/>
        <v>0</v>
      </c>
      <c r="R46" s="444">
        <f t="shared" si="26"/>
        <v>0</v>
      </c>
      <c r="S46" s="445">
        <f t="shared" si="33"/>
        <v>0</v>
      </c>
      <c r="T46" s="446">
        <f t="shared" si="34"/>
        <v>0</v>
      </c>
      <c r="U46" s="446">
        <f t="shared" si="35"/>
        <v>0</v>
      </c>
      <c r="V46" s="443">
        <f t="shared" si="36"/>
        <v>0</v>
      </c>
      <c r="W46" s="443">
        <f t="shared" si="37"/>
        <v>0</v>
      </c>
      <c r="X46" s="444">
        <f t="shared" si="27"/>
        <v>0</v>
      </c>
      <c r="Z46" s="447">
        <f t="shared" si="38"/>
        <v>0</v>
      </c>
      <c r="AA46" s="448">
        <f t="shared" si="39"/>
        <v>0</v>
      </c>
      <c r="AB46" s="448">
        <f t="shared" si="40"/>
        <v>0</v>
      </c>
      <c r="AC46" s="448">
        <f t="shared" si="41"/>
        <v>0</v>
      </c>
      <c r="AD46" s="448">
        <f t="shared" si="42"/>
        <v>0</v>
      </c>
      <c r="AE46" s="449">
        <f t="shared" si="43"/>
        <v>0</v>
      </c>
      <c r="AF46" s="450">
        <f t="shared" si="44"/>
        <v>0</v>
      </c>
      <c r="AG46" s="451">
        <f t="shared" si="45"/>
        <v>0</v>
      </c>
      <c r="AH46" s="451">
        <f t="shared" si="46"/>
        <v>0</v>
      </c>
      <c r="AI46" s="448">
        <f t="shared" si="47"/>
        <v>0</v>
      </c>
      <c r="AJ46" s="448">
        <f t="shared" si="48"/>
        <v>0</v>
      </c>
      <c r="AK46" s="449">
        <f t="shared" si="49"/>
        <v>0</v>
      </c>
    </row>
    <row r="47" spans="3:37" x14ac:dyDescent="0.2">
      <c r="C47" s="146" t="s">
        <v>1030</v>
      </c>
      <c r="D47" s="138">
        <v>0.6</v>
      </c>
      <c r="E47" s="147">
        <f>$D$38*D47</f>
        <v>7.8</v>
      </c>
      <c r="H47" s="454" t="s">
        <v>1124</v>
      </c>
      <c r="I47" s="354">
        <v>504</v>
      </c>
      <c r="J47" s="458" t="s">
        <v>1085</v>
      </c>
      <c r="K47" s="441">
        <v>8.4039857312420349E-3</v>
      </c>
      <c r="L47" s="333">
        <v>8.4039857312420349E-3</v>
      </c>
      <c r="M47" s="442">
        <f t="shared" si="28"/>
        <v>1.4945648224440835E-2</v>
      </c>
      <c r="N47" s="443">
        <f t="shared" si="29"/>
        <v>1.4945648224440835E-2</v>
      </c>
      <c r="O47" s="443">
        <f t="shared" si="30"/>
        <v>1.8762738543570964E-2</v>
      </c>
      <c r="P47" s="443">
        <f t="shared" si="31"/>
        <v>1.8762738543570964E-2</v>
      </c>
      <c r="Q47" s="443">
        <f t="shared" si="32"/>
        <v>1.8762738543570964E-2</v>
      </c>
      <c r="R47" s="444">
        <f t="shared" si="26"/>
        <v>1.6387772175921968E-3</v>
      </c>
      <c r="S47" s="445">
        <f t="shared" si="33"/>
        <v>3.9855061931842227E-3</v>
      </c>
      <c r="T47" s="446">
        <f t="shared" si="34"/>
        <v>3.9855061931842227E-3</v>
      </c>
      <c r="U47" s="446">
        <f t="shared" si="35"/>
        <v>5.0033969449522582E-3</v>
      </c>
      <c r="V47" s="443">
        <f t="shared" si="36"/>
        <v>5.0033969449522582E-3</v>
      </c>
      <c r="W47" s="443">
        <f t="shared" si="37"/>
        <v>5.0033969449522582E-3</v>
      </c>
      <c r="X47" s="444">
        <f t="shared" si="27"/>
        <v>4.370072580245858E-4</v>
      </c>
      <c r="Z47" s="447">
        <f t="shared" si="38"/>
        <v>8.4039857312420349E-3</v>
      </c>
      <c r="AA47" s="448">
        <f t="shared" si="39"/>
        <v>8.4039857312420349E-3</v>
      </c>
      <c r="AB47" s="448">
        <f t="shared" si="40"/>
        <v>8.4039857312420349E-3</v>
      </c>
      <c r="AC47" s="448">
        <f t="shared" si="41"/>
        <v>8.4039857312420349E-3</v>
      </c>
      <c r="AD47" s="448">
        <f t="shared" si="42"/>
        <v>8.4039857312420349E-3</v>
      </c>
      <c r="AE47" s="449">
        <f t="shared" si="43"/>
        <v>8.4039857312420349E-3</v>
      </c>
      <c r="AF47" s="450">
        <f t="shared" si="44"/>
        <v>8.4039857312420349E-3</v>
      </c>
      <c r="AG47" s="451">
        <f t="shared" si="45"/>
        <v>8.4039857312420349E-3</v>
      </c>
      <c r="AH47" s="451">
        <f t="shared" si="46"/>
        <v>8.4039857312420349E-3</v>
      </c>
      <c r="AI47" s="448">
        <f t="shared" si="47"/>
        <v>8.4039857312420349E-3</v>
      </c>
      <c r="AJ47" s="448">
        <f t="shared" si="48"/>
        <v>8.4039857312420349E-3</v>
      </c>
      <c r="AK47" s="449">
        <f t="shared" si="49"/>
        <v>8.4039857312420349E-3</v>
      </c>
    </row>
    <row r="48" spans="3:37" ht="27" x14ac:dyDescent="0.2">
      <c r="C48" s="150"/>
      <c r="D48" s="301" t="s">
        <v>1092</v>
      </c>
      <c r="E48" s="145" t="s">
        <v>1027</v>
      </c>
      <c r="H48" s="454" t="s">
        <v>658</v>
      </c>
      <c r="I48" s="354" t="s">
        <v>657</v>
      </c>
      <c r="J48" s="458" t="s">
        <v>1075</v>
      </c>
      <c r="K48" s="441">
        <v>0.47</v>
      </c>
      <c r="L48" s="333">
        <v>0.47</v>
      </c>
      <c r="M48" s="442">
        <f t="shared" si="28"/>
        <v>0.8555678213333332</v>
      </c>
      <c r="N48" s="443">
        <f t="shared" si="29"/>
        <v>0.8555678213333332</v>
      </c>
      <c r="O48" s="443">
        <f t="shared" si="30"/>
        <v>1.0740782264444442</v>
      </c>
      <c r="P48" s="443">
        <f t="shared" si="31"/>
        <v>1.0740782264444442</v>
      </c>
      <c r="Q48" s="443">
        <f t="shared" si="32"/>
        <v>1.0740782264444442</v>
      </c>
      <c r="R48" s="444">
        <f t="shared" si="26"/>
        <v>9.38122611111111E-2</v>
      </c>
      <c r="S48" s="445">
        <f t="shared" si="33"/>
        <v>0.22440970933333329</v>
      </c>
      <c r="T48" s="446">
        <f t="shared" si="34"/>
        <v>0.22440970933333329</v>
      </c>
      <c r="U48" s="446">
        <f t="shared" si="35"/>
        <v>0.28172352511111109</v>
      </c>
      <c r="V48" s="443">
        <f t="shared" si="36"/>
        <v>0.28172352511111109</v>
      </c>
      <c r="W48" s="443">
        <f t="shared" si="37"/>
        <v>0.28172352511111109</v>
      </c>
      <c r="X48" s="444">
        <f t="shared" si="27"/>
        <v>2.4606327777777773E-2</v>
      </c>
      <c r="Z48" s="447">
        <f t="shared" si="38"/>
        <v>0.48108851851851847</v>
      </c>
      <c r="AA48" s="448">
        <f t="shared" si="39"/>
        <v>0.48108851851851847</v>
      </c>
      <c r="AB48" s="448">
        <f t="shared" si="40"/>
        <v>0.48108851851851847</v>
      </c>
      <c r="AC48" s="448">
        <f t="shared" si="41"/>
        <v>0.48108851851851847</v>
      </c>
      <c r="AD48" s="448">
        <f t="shared" si="42"/>
        <v>0.48108851851851847</v>
      </c>
      <c r="AE48" s="449">
        <f t="shared" si="43"/>
        <v>0.48108851851851847</v>
      </c>
      <c r="AF48" s="450">
        <f t="shared" si="44"/>
        <v>0.473198611111111</v>
      </c>
      <c r="AG48" s="451">
        <f t="shared" si="45"/>
        <v>0.473198611111111</v>
      </c>
      <c r="AH48" s="451">
        <f t="shared" si="46"/>
        <v>0.47319861111111106</v>
      </c>
      <c r="AI48" s="448">
        <f t="shared" si="47"/>
        <v>0.47319861111111106</v>
      </c>
      <c r="AJ48" s="448">
        <f t="shared" si="48"/>
        <v>0.47319861111111106</v>
      </c>
      <c r="AK48" s="449">
        <f t="shared" si="49"/>
        <v>0.47319861111111106</v>
      </c>
    </row>
    <row r="49" spans="2:37" x14ac:dyDescent="0.2">
      <c r="C49" s="146" t="s">
        <v>1031</v>
      </c>
      <c r="D49" s="161">
        <f>N18</f>
        <v>6.4076568746666666E-5</v>
      </c>
      <c r="E49" s="147">
        <f>D49*$D$37*$D$38*$D$39/$D$40</f>
        <v>1.705328363824014E-2</v>
      </c>
      <c r="H49" s="454" t="s">
        <v>1125</v>
      </c>
      <c r="I49" s="354" t="s">
        <v>1126</v>
      </c>
      <c r="J49" s="458" t="s">
        <v>1075</v>
      </c>
      <c r="K49" s="441">
        <v>1.25E-3</v>
      </c>
      <c r="L49" s="333" t="s">
        <v>364</v>
      </c>
      <c r="M49" s="442">
        <f t="shared" si="28"/>
        <v>0</v>
      </c>
      <c r="N49" s="443">
        <f t="shared" si="29"/>
        <v>0</v>
      </c>
      <c r="O49" s="443">
        <f t="shared" si="30"/>
        <v>0</v>
      </c>
      <c r="P49" s="443">
        <f t="shared" si="31"/>
        <v>0</v>
      </c>
      <c r="Q49" s="443">
        <f t="shared" si="32"/>
        <v>0</v>
      </c>
      <c r="R49" s="444">
        <f t="shared" si="26"/>
        <v>0</v>
      </c>
      <c r="S49" s="445">
        <f t="shared" si="33"/>
        <v>0</v>
      </c>
      <c r="T49" s="446">
        <f t="shared" si="34"/>
        <v>0</v>
      </c>
      <c r="U49" s="446">
        <f t="shared" si="35"/>
        <v>0</v>
      </c>
      <c r="V49" s="443">
        <f t="shared" si="36"/>
        <v>0</v>
      </c>
      <c r="W49" s="443">
        <f t="shared" si="37"/>
        <v>0</v>
      </c>
      <c r="X49" s="444">
        <f t="shared" si="27"/>
        <v>0</v>
      </c>
      <c r="Z49" s="447">
        <f t="shared" si="38"/>
        <v>0</v>
      </c>
      <c r="AA49" s="448">
        <f t="shared" si="39"/>
        <v>0</v>
      </c>
      <c r="AB49" s="448">
        <f t="shared" si="40"/>
        <v>0</v>
      </c>
      <c r="AC49" s="448">
        <f t="shared" si="41"/>
        <v>0</v>
      </c>
      <c r="AD49" s="448">
        <f t="shared" si="42"/>
        <v>0</v>
      </c>
      <c r="AE49" s="449">
        <f t="shared" si="43"/>
        <v>0</v>
      </c>
      <c r="AF49" s="450">
        <f t="shared" si="44"/>
        <v>0</v>
      </c>
      <c r="AG49" s="451">
        <f t="shared" si="45"/>
        <v>0</v>
      </c>
      <c r="AH49" s="451">
        <f t="shared" si="46"/>
        <v>0</v>
      </c>
      <c r="AI49" s="448">
        <f t="shared" si="47"/>
        <v>0</v>
      </c>
      <c r="AJ49" s="448">
        <f t="shared" si="48"/>
        <v>0</v>
      </c>
      <c r="AK49" s="449">
        <f t="shared" si="49"/>
        <v>0</v>
      </c>
    </row>
    <row r="50" spans="2:37" x14ac:dyDescent="0.2">
      <c r="C50" s="146"/>
      <c r="E50" s="149"/>
      <c r="H50" s="454" t="s">
        <v>1127</v>
      </c>
      <c r="I50" s="354">
        <v>401</v>
      </c>
      <c r="J50" s="458" t="s">
        <v>1075</v>
      </c>
      <c r="K50" s="441" t="s">
        <v>364</v>
      </c>
      <c r="L50" s="333">
        <v>3.6200000000000003E-2</v>
      </c>
      <c r="M50" s="442">
        <f t="shared" si="28"/>
        <v>6.589692581333334E-2</v>
      </c>
      <c r="N50" s="443">
        <f t="shared" si="29"/>
        <v>6.589692581333334E-2</v>
      </c>
      <c r="O50" s="443">
        <f t="shared" si="30"/>
        <v>8.2726876164444435E-2</v>
      </c>
      <c r="P50" s="443">
        <f t="shared" si="31"/>
        <v>8.2726876164444435E-2</v>
      </c>
      <c r="Q50" s="443">
        <f t="shared" si="32"/>
        <v>8.2726876164444435E-2</v>
      </c>
      <c r="R50" s="444">
        <f t="shared" si="26"/>
        <v>7.2255401111111115E-3</v>
      </c>
      <c r="S50" s="445">
        <f t="shared" si="33"/>
        <v>1.7284322293333335E-2</v>
      </c>
      <c r="T50" s="446">
        <f t="shared" si="34"/>
        <v>1.7284322293333335E-2</v>
      </c>
      <c r="U50" s="446">
        <f t="shared" si="35"/>
        <v>2.1698705551111114E-2</v>
      </c>
      <c r="V50" s="443">
        <f t="shared" si="36"/>
        <v>2.1698705551111114E-2</v>
      </c>
      <c r="W50" s="443">
        <f t="shared" si="37"/>
        <v>2.1698705551111114E-2</v>
      </c>
      <c r="X50" s="444">
        <f t="shared" si="27"/>
        <v>1.8952107777777778E-3</v>
      </c>
      <c r="Z50" s="447">
        <f t="shared" si="38"/>
        <v>3.7054051851851857E-2</v>
      </c>
      <c r="AA50" s="448">
        <f t="shared" si="39"/>
        <v>3.7054051851851857E-2</v>
      </c>
      <c r="AB50" s="448">
        <f t="shared" si="40"/>
        <v>3.7054051851851851E-2</v>
      </c>
      <c r="AC50" s="448">
        <f t="shared" si="41"/>
        <v>3.7054051851851851E-2</v>
      </c>
      <c r="AD50" s="448">
        <f t="shared" si="42"/>
        <v>3.7054051851851851E-2</v>
      </c>
      <c r="AE50" s="449">
        <f t="shared" si="43"/>
        <v>3.7054051851851851E-2</v>
      </c>
      <c r="AF50" s="450">
        <f t="shared" si="44"/>
        <v>3.6446361111111117E-2</v>
      </c>
      <c r="AG50" s="451">
        <f t="shared" si="45"/>
        <v>3.6446361111111117E-2</v>
      </c>
      <c r="AH50" s="451">
        <f t="shared" si="46"/>
        <v>3.6446361111111117E-2</v>
      </c>
      <c r="AI50" s="448">
        <f t="shared" si="47"/>
        <v>3.6446361111111117E-2</v>
      </c>
      <c r="AJ50" s="448">
        <f t="shared" si="48"/>
        <v>3.6446361111111117E-2</v>
      </c>
      <c r="AK50" s="449">
        <f t="shared" si="49"/>
        <v>3.644636111111111E-2</v>
      </c>
    </row>
    <row r="51" spans="2:37" x14ac:dyDescent="0.25">
      <c r="C51" s="146" t="s">
        <v>864</v>
      </c>
      <c r="D51" s="138">
        <v>163.1</v>
      </c>
      <c r="E51" s="147">
        <f>D51*$D$37*$D$38*$D$39/$D$40</f>
        <v>43407.295612121212</v>
      </c>
      <c r="H51" s="454" t="s">
        <v>1128</v>
      </c>
      <c r="I51" s="354" t="s">
        <v>265</v>
      </c>
      <c r="J51" s="458" t="s">
        <v>1085</v>
      </c>
      <c r="K51" s="441">
        <v>3.7638267956703413E-4</v>
      </c>
      <c r="L51" s="333">
        <v>2.2000000000000001E-3</v>
      </c>
      <c r="M51" s="442">
        <f t="shared" si="28"/>
        <v>3.9124800000000003E-3</v>
      </c>
      <c r="N51" s="443">
        <f t="shared" si="29"/>
        <v>3.9124800000000003E-3</v>
      </c>
      <c r="O51" s="443">
        <f t="shared" si="30"/>
        <v>4.9117199999999996E-3</v>
      </c>
      <c r="P51" s="443">
        <f t="shared" si="31"/>
        <v>4.9117199999999996E-3</v>
      </c>
      <c r="Q51" s="443">
        <f t="shared" si="32"/>
        <v>4.9117199999999996E-3</v>
      </c>
      <c r="R51" s="444">
        <f t="shared" si="26"/>
        <v>4.2900000000000002E-4</v>
      </c>
      <c r="S51" s="445">
        <f t="shared" si="33"/>
        <v>1.0433280000000001E-3</v>
      </c>
      <c r="T51" s="446">
        <f t="shared" si="34"/>
        <v>1.0433280000000001E-3</v>
      </c>
      <c r="U51" s="446">
        <f t="shared" si="35"/>
        <v>1.3097920000000002E-3</v>
      </c>
      <c r="V51" s="443">
        <f t="shared" si="36"/>
        <v>1.3097920000000002E-3</v>
      </c>
      <c r="W51" s="443">
        <f t="shared" si="37"/>
        <v>1.3097920000000002E-3</v>
      </c>
      <c r="X51" s="444">
        <f t="shared" si="27"/>
        <v>1.144E-4</v>
      </c>
      <c r="Z51" s="447">
        <f t="shared" si="38"/>
        <v>2.2000000000000001E-3</v>
      </c>
      <c r="AA51" s="448">
        <f t="shared" si="39"/>
        <v>2.2000000000000001E-3</v>
      </c>
      <c r="AB51" s="448">
        <f t="shared" si="40"/>
        <v>2.2000000000000001E-3</v>
      </c>
      <c r="AC51" s="448">
        <f t="shared" si="41"/>
        <v>2.2000000000000001E-3</v>
      </c>
      <c r="AD51" s="448">
        <f t="shared" si="42"/>
        <v>2.2000000000000001E-3</v>
      </c>
      <c r="AE51" s="449">
        <f t="shared" si="43"/>
        <v>2.2000000000000001E-3</v>
      </c>
      <c r="AF51" s="450">
        <f t="shared" si="44"/>
        <v>2.2000000000000001E-3</v>
      </c>
      <c r="AG51" s="451">
        <f t="shared" si="45"/>
        <v>2.2000000000000001E-3</v>
      </c>
      <c r="AH51" s="451">
        <f t="shared" si="46"/>
        <v>2.2000000000000001E-3</v>
      </c>
      <c r="AI51" s="448">
        <f t="shared" si="47"/>
        <v>2.2000000000000001E-3</v>
      </c>
      <c r="AJ51" s="448">
        <f t="shared" si="48"/>
        <v>2.2000000000000001E-3</v>
      </c>
      <c r="AK51" s="449">
        <f t="shared" si="49"/>
        <v>2.2000000000000001E-3</v>
      </c>
    </row>
    <row r="52" spans="2:37" x14ac:dyDescent="0.25">
      <c r="C52" s="146" t="s">
        <v>1032</v>
      </c>
      <c r="D52" s="138">
        <v>6.6140000000000001E-3</v>
      </c>
      <c r="E52" s="147">
        <f>D52*$D$37*$D$38*$D$39/$D$40</f>
        <v>1.7602443481212122</v>
      </c>
      <c r="H52" s="158" t="s">
        <v>1129</v>
      </c>
      <c r="I52" s="354" t="s">
        <v>301</v>
      </c>
      <c r="J52" s="332" t="s">
        <v>1085</v>
      </c>
      <c r="K52" s="441">
        <v>4.8013014217323475E-5</v>
      </c>
      <c r="L52" s="333">
        <v>4.8013014217323475E-5</v>
      </c>
      <c r="M52" s="442">
        <f t="shared" si="28"/>
        <v>8.5386344484088064E-5</v>
      </c>
      <c r="N52" s="443">
        <f t="shared" si="29"/>
        <v>8.5386344484088064E-5</v>
      </c>
      <c r="O52" s="443">
        <f t="shared" si="30"/>
        <v>1.0719385554159638E-4</v>
      </c>
      <c r="P52" s="443">
        <f t="shared" si="31"/>
        <v>1.0719385554159638E-4</v>
      </c>
      <c r="Q52" s="443">
        <f t="shared" si="32"/>
        <v>1.0719385554159638E-4</v>
      </c>
      <c r="R52" s="444">
        <f t="shared" si="26"/>
        <v>9.3625377723780773E-6</v>
      </c>
      <c r="S52" s="445">
        <f t="shared" si="33"/>
        <v>2.2769691862423484E-5</v>
      </c>
      <c r="T52" s="446">
        <f t="shared" si="34"/>
        <v>2.2769691862423484E-5</v>
      </c>
      <c r="U52" s="446">
        <f t="shared" si="35"/>
        <v>2.8585028144425702E-5</v>
      </c>
      <c r="V52" s="443">
        <f t="shared" si="36"/>
        <v>2.8585028144425702E-5</v>
      </c>
      <c r="W52" s="443">
        <f t="shared" si="37"/>
        <v>2.8585028144425702E-5</v>
      </c>
      <c r="X52" s="444">
        <f t="shared" si="27"/>
        <v>2.4966767393008205E-6</v>
      </c>
      <c r="Z52" s="447">
        <f t="shared" si="38"/>
        <v>4.8013014217323475E-5</v>
      </c>
      <c r="AA52" s="448">
        <f t="shared" si="39"/>
        <v>4.8013014217323475E-5</v>
      </c>
      <c r="AB52" s="448">
        <f t="shared" si="40"/>
        <v>4.8013014217323475E-5</v>
      </c>
      <c r="AC52" s="448">
        <f t="shared" si="41"/>
        <v>4.8013014217323475E-5</v>
      </c>
      <c r="AD52" s="448">
        <f t="shared" si="42"/>
        <v>4.8013014217323475E-5</v>
      </c>
      <c r="AE52" s="449">
        <f t="shared" si="43"/>
        <v>4.8013014217323475E-5</v>
      </c>
      <c r="AF52" s="450">
        <f t="shared" si="44"/>
        <v>4.8013014217323475E-5</v>
      </c>
      <c r="AG52" s="451">
        <f t="shared" si="45"/>
        <v>4.8013014217323475E-5</v>
      </c>
      <c r="AH52" s="451">
        <f t="shared" si="46"/>
        <v>4.8013014217323475E-5</v>
      </c>
      <c r="AI52" s="448">
        <f t="shared" si="47"/>
        <v>4.8013014217323475E-5</v>
      </c>
      <c r="AJ52" s="448">
        <f t="shared" si="48"/>
        <v>4.8013014217323475E-5</v>
      </c>
      <c r="AK52" s="449">
        <f t="shared" si="49"/>
        <v>4.8013014217323475E-5</v>
      </c>
    </row>
    <row r="53" spans="2:37" x14ac:dyDescent="0.25">
      <c r="C53" s="146" t="s">
        <v>865</v>
      </c>
      <c r="D53" s="138">
        <v>1.323E-3</v>
      </c>
      <c r="E53" s="154">
        <f>D53*$D$37*$D$38*$D$39/$D$40</f>
        <v>0.35210209745454546</v>
      </c>
      <c r="H53" s="158" t="s">
        <v>1130</v>
      </c>
      <c r="I53" s="354" t="s">
        <v>1131</v>
      </c>
      <c r="J53" s="332" t="s">
        <v>1085</v>
      </c>
      <c r="K53" s="441">
        <v>2.4009368143584827E-4</v>
      </c>
      <c r="L53" s="333">
        <v>2.4009368143584827E-4</v>
      </c>
      <c r="M53" s="442">
        <f t="shared" si="28"/>
        <v>4.2698260306551258E-4</v>
      </c>
      <c r="N53" s="443">
        <f t="shared" si="29"/>
        <v>4.2698260306551258E-4</v>
      </c>
      <c r="O53" s="443">
        <f t="shared" si="30"/>
        <v>5.360331531736748E-4</v>
      </c>
      <c r="P53" s="443">
        <f t="shared" si="31"/>
        <v>5.360331531736748E-4</v>
      </c>
      <c r="Q53" s="443">
        <f t="shared" si="32"/>
        <v>5.360331531736748E-4</v>
      </c>
      <c r="R53" s="444">
        <f t="shared" si="26"/>
        <v>4.6818267879990411E-5</v>
      </c>
      <c r="S53" s="445">
        <f t="shared" si="33"/>
        <v>1.1386202748413669E-4</v>
      </c>
      <c r="T53" s="446">
        <f t="shared" si="34"/>
        <v>1.1386202748413669E-4</v>
      </c>
      <c r="U53" s="446">
        <f t="shared" si="35"/>
        <v>1.4294217417964663E-4</v>
      </c>
      <c r="V53" s="443">
        <f t="shared" si="36"/>
        <v>1.4294217417964663E-4</v>
      </c>
      <c r="W53" s="443">
        <f t="shared" si="37"/>
        <v>1.4294217417964663E-4</v>
      </c>
      <c r="X53" s="444">
        <f t="shared" si="27"/>
        <v>1.2484871434664109E-5</v>
      </c>
      <c r="Z53" s="447">
        <f t="shared" si="38"/>
        <v>2.4009368143584829E-4</v>
      </c>
      <c r="AA53" s="448">
        <f t="shared" si="39"/>
        <v>2.4009368143584829E-4</v>
      </c>
      <c r="AB53" s="448">
        <f t="shared" si="40"/>
        <v>2.4009368143584829E-4</v>
      </c>
      <c r="AC53" s="448">
        <f t="shared" si="41"/>
        <v>2.4009368143584829E-4</v>
      </c>
      <c r="AD53" s="448">
        <f t="shared" si="42"/>
        <v>2.4009368143584829E-4</v>
      </c>
      <c r="AE53" s="449">
        <f t="shared" si="43"/>
        <v>2.4009368143584827E-4</v>
      </c>
      <c r="AF53" s="450">
        <f t="shared" si="44"/>
        <v>2.4009368143584827E-4</v>
      </c>
      <c r="AG53" s="451">
        <f t="shared" si="45"/>
        <v>2.4009368143584827E-4</v>
      </c>
      <c r="AH53" s="451">
        <f t="shared" si="46"/>
        <v>2.4009368143584829E-4</v>
      </c>
      <c r="AI53" s="448">
        <f t="shared" si="47"/>
        <v>2.4009368143584829E-4</v>
      </c>
      <c r="AJ53" s="448">
        <f t="shared" si="48"/>
        <v>2.4009368143584829E-4</v>
      </c>
      <c r="AK53" s="449">
        <f t="shared" si="49"/>
        <v>2.4009368143584827E-4</v>
      </c>
    </row>
    <row r="54" spans="2:37" x14ac:dyDescent="0.2">
      <c r="B54" s="118">
        <v>1</v>
      </c>
      <c r="C54" s="156" t="s">
        <v>1132</v>
      </c>
      <c r="D54" s="156"/>
      <c r="E54" s="156"/>
      <c r="H54" s="454" t="s">
        <v>268</v>
      </c>
      <c r="I54" s="354" t="s">
        <v>267</v>
      </c>
      <c r="J54" s="332" t="s">
        <v>1075</v>
      </c>
      <c r="K54" s="441">
        <v>0.10539999999999999</v>
      </c>
      <c r="L54" s="333">
        <v>0.10539999999999999</v>
      </c>
      <c r="M54" s="442">
        <f t="shared" si="28"/>
        <v>0.19186563482666663</v>
      </c>
      <c r="N54" s="443">
        <f t="shared" si="29"/>
        <v>0.19186563482666663</v>
      </c>
      <c r="O54" s="443">
        <f t="shared" si="30"/>
        <v>0.24086775546222217</v>
      </c>
      <c r="P54" s="443">
        <f t="shared" si="31"/>
        <v>0.24086775546222217</v>
      </c>
      <c r="Q54" s="443">
        <f t="shared" si="32"/>
        <v>0.24086775546222217</v>
      </c>
      <c r="R54" s="444">
        <f t="shared" si="26"/>
        <v>2.1037898555555552E-2</v>
      </c>
      <c r="S54" s="445">
        <f t="shared" si="33"/>
        <v>5.0325070986666658E-2</v>
      </c>
      <c r="T54" s="446">
        <f t="shared" si="34"/>
        <v>5.0325070986666658E-2</v>
      </c>
      <c r="U54" s="446">
        <f t="shared" si="35"/>
        <v>6.3177999035555557E-2</v>
      </c>
      <c r="V54" s="443">
        <f t="shared" si="36"/>
        <v>6.3177999035555557E-2</v>
      </c>
      <c r="W54" s="443">
        <f t="shared" si="37"/>
        <v>6.3177999035555557E-2</v>
      </c>
      <c r="X54" s="444">
        <f t="shared" si="27"/>
        <v>5.5180998888888881E-3</v>
      </c>
      <c r="Z54" s="447">
        <f t="shared" si="38"/>
        <v>0.10788665925925923</v>
      </c>
      <c r="AA54" s="448">
        <f t="shared" si="39"/>
        <v>0.10788665925925923</v>
      </c>
      <c r="AB54" s="448">
        <f t="shared" si="40"/>
        <v>0.10788665925925925</v>
      </c>
      <c r="AC54" s="448">
        <f t="shared" si="41"/>
        <v>0.10788665925925925</v>
      </c>
      <c r="AD54" s="448">
        <f t="shared" si="42"/>
        <v>0.10788665925925925</v>
      </c>
      <c r="AE54" s="449">
        <f t="shared" si="43"/>
        <v>0.10788665925925923</v>
      </c>
      <c r="AF54" s="450">
        <f t="shared" si="44"/>
        <v>0.10611730555555554</v>
      </c>
      <c r="AG54" s="451">
        <f t="shared" si="45"/>
        <v>0.10611730555555554</v>
      </c>
      <c r="AH54" s="451">
        <f t="shared" si="46"/>
        <v>0.10611730555555555</v>
      </c>
      <c r="AI54" s="448">
        <f t="shared" si="47"/>
        <v>0.10611730555555555</v>
      </c>
      <c r="AJ54" s="448">
        <f t="shared" si="48"/>
        <v>0.10611730555555555</v>
      </c>
      <c r="AK54" s="449">
        <f t="shared" si="49"/>
        <v>0.10611730555555554</v>
      </c>
    </row>
    <row r="55" spans="2:37" x14ac:dyDescent="0.2">
      <c r="C55" s="157" t="s">
        <v>822</v>
      </c>
      <c r="D55" s="138" t="s">
        <v>1133</v>
      </c>
      <c r="E55" s="142"/>
      <c r="H55" s="454" t="s">
        <v>1134</v>
      </c>
      <c r="I55" s="354" t="s">
        <v>269</v>
      </c>
      <c r="J55" s="332" t="s">
        <v>1075</v>
      </c>
      <c r="K55" s="441">
        <v>4.24E-2</v>
      </c>
      <c r="L55" s="333">
        <v>4.24E-2</v>
      </c>
      <c r="M55" s="442">
        <f t="shared" si="28"/>
        <v>7.7183139626666661E-2</v>
      </c>
      <c r="N55" s="443">
        <f t="shared" si="29"/>
        <v>7.7183139626666661E-2</v>
      </c>
      <c r="O55" s="443">
        <f t="shared" si="30"/>
        <v>9.6895567662222196E-2</v>
      </c>
      <c r="P55" s="443">
        <f t="shared" si="31"/>
        <v>9.6895567662222196E-2</v>
      </c>
      <c r="Q55" s="443">
        <f t="shared" si="32"/>
        <v>9.6895567662222196E-2</v>
      </c>
      <c r="R55" s="444">
        <f t="shared" si="26"/>
        <v>8.4630635555555563E-3</v>
      </c>
      <c r="S55" s="445">
        <f t="shared" si="33"/>
        <v>2.0244620586666668E-2</v>
      </c>
      <c r="T55" s="446">
        <f t="shared" si="34"/>
        <v>2.0244620586666668E-2</v>
      </c>
      <c r="U55" s="446">
        <f t="shared" si="35"/>
        <v>2.5415058435555558E-2</v>
      </c>
      <c r="V55" s="443">
        <f t="shared" si="36"/>
        <v>2.5415058435555558E-2</v>
      </c>
      <c r="W55" s="443">
        <f t="shared" si="37"/>
        <v>2.5415058435555558E-2</v>
      </c>
      <c r="X55" s="444">
        <f t="shared" si="27"/>
        <v>2.2198048888888888E-3</v>
      </c>
      <c r="Z55" s="447">
        <f t="shared" si="38"/>
        <v>4.3400325925925923E-2</v>
      </c>
      <c r="AA55" s="448">
        <f t="shared" si="39"/>
        <v>4.3400325925925923E-2</v>
      </c>
      <c r="AB55" s="448">
        <f t="shared" si="40"/>
        <v>4.3400325925925923E-2</v>
      </c>
      <c r="AC55" s="448">
        <f t="shared" si="41"/>
        <v>4.3400325925925923E-2</v>
      </c>
      <c r="AD55" s="448">
        <f t="shared" si="42"/>
        <v>4.3400325925925923E-2</v>
      </c>
      <c r="AE55" s="449">
        <f t="shared" si="43"/>
        <v>4.340032592592593E-2</v>
      </c>
      <c r="AF55" s="450">
        <f t="shared" si="44"/>
        <v>4.2688555555555556E-2</v>
      </c>
      <c r="AG55" s="451">
        <f t="shared" si="45"/>
        <v>4.2688555555555556E-2</v>
      </c>
      <c r="AH55" s="451">
        <f t="shared" si="46"/>
        <v>4.2688555555555556E-2</v>
      </c>
      <c r="AI55" s="448">
        <f t="shared" si="47"/>
        <v>4.2688555555555556E-2</v>
      </c>
      <c r="AJ55" s="448">
        <f t="shared" si="48"/>
        <v>4.2688555555555556E-2</v>
      </c>
      <c r="AK55" s="449">
        <f t="shared" si="49"/>
        <v>4.2688555555555556E-2</v>
      </c>
    </row>
    <row r="56" spans="2:37" ht="15" thickBot="1" x14ac:dyDescent="0.3">
      <c r="C56" s="157" t="s">
        <v>1028</v>
      </c>
      <c r="D56" s="138" t="s">
        <v>1133</v>
      </c>
      <c r="E56" s="142"/>
      <c r="H56" s="162" t="s">
        <v>286</v>
      </c>
      <c r="I56" s="459" t="s">
        <v>285</v>
      </c>
      <c r="J56" s="334" t="s">
        <v>1085</v>
      </c>
      <c r="K56" s="460">
        <v>5.2261769021193245E-3</v>
      </c>
      <c r="L56" s="461">
        <v>5.2261769021193245E-3</v>
      </c>
      <c r="M56" s="462">
        <f t="shared" si="28"/>
        <v>9.294233002729007E-3</v>
      </c>
      <c r="N56" s="463">
        <f t="shared" si="29"/>
        <v>9.294233002729007E-3</v>
      </c>
      <c r="O56" s="463">
        <f t="shared" si="30"/>
        <v>1.1667962551671603E-2</v>
      </c>
      <c r="P56" s="463">
        <f t="shared" si="31"/>
        <v>1.1667962551671603E-2</v>
      </c>
      <c r="Q56" s="463">
        <f t="shared" si="32"/>
        <v>1.1667962551671603E-2</v>
      </c>
      <c r="R56" s="464">
        <f t="shared" si="26"/>
        <v>1.0191044959132684E-3</v>
      </c>
      <c r="S56" s="465">
        <f t="shared" si="33"/>
        <v>2.4784621340610685E-3</v>
      </c>
      <c r="T56" s="466">
        <f t="shared" si="34"/>
        <v>2.4784621340610685E-3</v>
      </c>
      <c r="U56" s="466">
        <f t="shared" si="35"/>
        <v>3.1114566804457612E-3</v>
      </c>
      <c r="V56" s="463">
        <f t="shared" si="36"/>
        <v>3.1114566804457612E-3</v>
      </c>
      <c r="W56" s="463">
        <f t="shared" si="37"/>
        <v>3.1114566804457612E-3</v>
      </c>
      <c r="X56" s="464">
        <f t="shared" si="27"/>
        <v>2.7176119891020485E-4</v>
      </c>
      <c r="Z56" s="467">
        <f t="shared" si="38"/>
        <v>5.2261769021193245E-3</v>
      </c>
      <c r="AA56" s="304">
        <f t="shared" si="39"/>
        <v>5.2261769021193245E-3</v>
      </c>
      <c r="AB56" s="304">
        <f t="shared" si="40"/>
        <v>5.2261769021193245E-3</v>
      </c>
      <c r="AC56" s="304">
        <f t="shared" si="41"/>
        <v>5.2261769021193245E-3</v>
      </c>
      <c r="AD56" s="304">
        <f t="shared" si="42"/>
        <v>5.2261769021193245E-3</v>
      </c>
      <c r="AE56" s="468">
        <f t="shared" si="43"/>
        <v>5.2261769021193253E-3</v>
      </c>
      <c r="AF56" s="469">
        <f t="shared" si="44"/>
        <v>5.2261769021193245E-3</v>
      </c>
      <c r="AG56" s="305">
        <f t="shared" si="45"/>
        <v>5.2261769021193245E-3</v>
      </c>
      <c r="AH56" s="305">
        <f t="shared" si="46"/>
        <v>5.2261769021193245E-3</v>
      </c>
      <c r="AI56" s="304">
        <f t="shared" si="47"/>
        <v>5.2261769021193245E-3</v>
      </c>
      <c r="AJ56" s="304">
        <f t="shared" si="48"/>
        <v>5.2261769021193245E-3</v>
      </c>
      <c r="AK56" s="468">
        <f t="shared" si="49"/>
        <v>5.2261769021193245E-3</v>
      </c>
    </row>
    <row r="57" spans="2:37" x14ac:dyDescent="0.25">
      <c r="C57" s="157" t="s">
        <v>1029</v>
      </c>
      <c r="D57" s="138" t="s">
        <v>1133</v>
      </c>
      <c r="E57" s="142"/>
      <c r="H57" s="163" t="s">
        <v>1135</v>
      </c>
      <c r="I57" s="117"/>
      <c r="J57" s="117"/>
      <c r="K57" s="117"/>
      <c r="L57" s="117"/>
      <c r="M57" s="117"/>
      <c r="N57" s="117"/>
      <c r="O57" s="117"/>
      <c r="P57" s="117"/>
      <c r="Q57" s="117"/>
      <c r="R57" s="117"/>
      <c r="S57" s="117"/>
      <c r="T57" s="107"/>
      <c r="U57" s="107"/>
      <c r="V57" s="164"/>
      <c r="W57" s="164"/>
      <c r="X57" s="164"/>
    </row>
    <row r="58" spans="2:37" x14ac:dyDescent="0.25">
      <c r="C58" s="157" t="s">
        <v>866</v>
      </c>
      <c r="D58" s="138" t="s">
        <v>1133</v>
      </c>
      <c r="E58" s="142"/>
      <c r="H58" s="163" t="s">
        <v>1136</v>
      </c>
      <c r="I58" s="117"/>
      <c r="J58" s="117"/>
      <c r="K58" s="117"/>
      <c r="L58" s="117"/>
      <c r="M58" s="117"/>
      <c r="N58" s="117"/>
      <c r="O58" s="117"/>
      <c r="P58" s="117"/>
      <c r="Q58" s="117"/>
      <c r="R58" s="117"/>
      <c r="S58" s="117"/>
      <c r="T58" s="117"/>
      <c r="U58" s="117"/>
      <c r="V58" s="117"/>
      <c r="W58" s="117"/>
      <c r="X58" s="282"/>
    </row>
    <row r="59" spans="2:37" x14ac:dyDescent="0.2">
      <c r="C59" s="157" t="s">
        <v>1030</v>
      </c>
      <c r="D59" s="138" t="s">
        <v>1133</v>
      </c>
      <c r="E59" s="142"/>
      <c r="I59" s="117"/>
      <c r="J59" s="117"/>
      <c r="K59" s="117"/>
      <c r="L59" s="117"/>
      <c r="M59" s="117"/>
      <c r="N59" s="117"/>
      <c r="O59" s="117"/>
      <c r="P59" s="117"/>
      <c r="Q59" s="117"/>
      <c r="R59" s="117"/>
      <c r="S59" s="117"/>
      <c r="T59" s="117"/>
      <c r="U59" s="117"/>
      <c r="V59" s="117"/>
      <c r="W59" s="117"/>
      <c r="X59" s="117"/>
      <c r="Z59" s="471"/>
      <c r="AA59" s="471"/>
    </row>
    <row r="60" spans="2:37" ht="15" thickBot="1" x14ac:dyDescent="0.25">
      <c r="C60" s="157" t="s">
        <v>1031</v>
      </c>
      <c r="D60" s="138" t="s">
        <v>1103</v>
      </c>
      <c r="E60" s="142"/>
      <c r="H60" s="117"/>
      <c r="I60" s="117"/>
      <c r="J60" s="117"/>
      <c r="K60" s="117"/>
      <c r="L60" s="117"/>
      <c r="M60" s="117"/>
      <c r="N60" s="117"/>
      <c r="O60" s="117"/>
      <c r="P60" s="117"/>
      <c r="Q60" s="117"/>
      <c r="R60" s="117"/>
      <c r="S60" s="117"/>
      <c r="T60" s="117"/>
      <c r="U60" s="117"/>
      <c r="V60" s="117"/>
      <c r="W60" s="117"/>
      <c r="X60" s="117"/>
      <c r="Z60" s="471"/>
      <c r="AA60" s="471"/>
    </row>
    <row r="61" spans="2:37" ht="64.5" thickBot="1" x14ac:dyDescent="0.3">
      <c r="C61" s="157" t="s">
        <v>864</v>
      </c>
      <c r="D61" s="138" t="s">
        <v>1042</v>
      </c>
      <c r="E61" s="142"/>
      <c r="H61" s="165" t="s">
        <v>0</v>
      </c>
      <c r="I61" s="166" t="s">
        <v>1137</v>
      </c>
      <c r="J61" s="166" t="s">
        <v>1138</v>
      </c>
      <c r="K61" s="167" t="s">
        <v>1139</v>
      </c>
      <c r="L61" s="168" t="s">
        <v>1140</v>
      </c>
      <c r="M61" s="167" t="s">
        <v>1141</v>
      </c>
      <c r="T61" s="117"/>
      <c r="U61" s="117"/>
      <c r="V61" s="117"/>
      <c r="W61" s="117"/>
      <c r="X61" s="117"/>
      <c r="Z61" s="471"/>
      <c r="AA61" s="471"/>
    </row>
    <row r="62" spans="2:37" x14ac:dyDescent="0.25">
      <c r="C62" s="157" t="s">
        <v>1032</v>
      </c>
      <c r="D62" s="138" t="s">
        <v>1044</v>
      </c>
      <c r="E62" s="142"/>
      <c r="H62" s="169" t="s">
        <v>1142</v>
      </c>
      <c r="I62" s="170">
        <v>14</v>
      </c>
      <c r="J62" s="170">
        <v>900</v>
      </c>
      <c r="K62" s="171">
        <v>30</v>
      </c>
      <c r="L62" s="172">
        <f>((I62*J62/2)+(K62*(60-I62)))/(K62*60)</f>
        <v>4.2666666666666666</v>
      </c>
      <c r="M62" s="173">
        <f>((1/60*L62+59/60)-1)</f>
        <v>5.4444444444444295E-2</v>
      </c>
      <c r="S62" s="117"/>
      <c r="T62" s="117"/>
      <c r="U62" s="117"/>
      <c r="V62" s="117"/>
      <c r="W62" s="117"/>
      <c r="X62" s="117"/>
      <c r="Z62" s="471"/>
      <c r="AA62" s="471"/>
    </row>
    <row r="63" spans="2:37" ht="15" thickBot="1" x14ac:dyDescent="0.3">
      <c r="C63" s="157" t="s">
        <v>865</v>
      </c>
      <c r="D63" s="138" t="s">
        <v>1044</v>
      </c>
      <c r="E63" s="142"/>
      <c r="H63" s="174" t="s">
        <v>1143</v>
      </c>
      <c r="I63" s="175">
        <v>20</v>
      </c>
      <c r="J63" s="175">
        <v>750</v>
      </c>
      <c r="K63" s="176">
        <v>30</v>
      </c>
      <c r="L63" s="177">
        <f>((I63*J63/2)+(K63*(60-I63)))/(K63*60)</f>
        <v>4.833333333333333</v>
      </c>
      <c r="M63" s="178">
        <f>((1/60*L63+59/60)-1)</f>
        <v>6.3888888888888884E-2</v>
      </c>
      <c r="S63" s="117"/>
      <c r="T63" s="117"/>
      <c r="U63" s="117"/>
      <c r="V63" s="117"/>
      <c r="W63" s="117"/>
      <c r="X63" s="117"/>
      <c r="Z63" s="471"/>
      <c r="AA63" s="471"/>
    </row>
    <row r="64" spans="2:37" ht="65.25" customHeight="1" x14ac:dyDescent="0.2">
      <c r="H64" s="634" t="s">
        <v>1144</v>
      </c>
      <c r="I64" s="634"/>
      <c r="J64" s="634"/>
      <c r="K64" s="634"/>
      <c r="L64" s="634"/>
      <c r="M64" s="634"/>
      <c r="N64" s="634"/>
      <c r="O64" s="634"/>
      <c r="P64" s="634"/>
      <c r="Q64" s="634"/>
      <c r="R64" s="634"/>
      <c r="S64" s="634"/>
      <c r="T64" s="117"/>
      <c r="U64" s="117"/>
      <c r="V64" s="117"/>
      <c r="W64" s="117"/>
      <c r="X64" s="117"/>
      <c r="Z64" s="471"/>
      <c r="AA64" s="471"/>
    </row>
    <row r="65" spans="3:27" ht="15" thickBot="1" x14ac:dyDescent="0.25">
      <c r="I65" s="179"/>
      <c r="J65" s="179"/>
      <c r="K65" s="179"/>
      <c r="L65" s="179"/>
      <c r="M65" s="179"/>
      <c r="N65" s="179"/>
      <c r="O65" s="179"/>
      <c r="P65" s="179"/>
      <c r="Q65" s="179"/>
      <c r="R65" s="179"/>
      <c r="S65" s="179"/>
      <c r="T65" s="117"/>
      <c r="U65" s="117"/>
      <c r="V65" s="117"/>
      <c r="W65" s="117"/>
      <c r="X65" s="117"/>
      <c r="Z65" s="471"/>
      <c r="AA65" s="471"/>
    </row>
    <row r="66" spans="3:27" ht="30" customHeight="1" thickBot="1" x14ac:dyDescent="0.25">
      <c r="C66" s="610" t="s">
        <v>1918</v>
      </c>
      <c r="D66" s="610"/>
      <c r="E66" s="610"/>
      <c r="F66" s="610"/>
      <c r="H66" s="622" t="s">
        <v>1145</v>
      </c>
      <c r="I66" s="623"/>
      <c r="J66" s="623"/>
      <c r="K66" s="624"/>
      <c r="T66" s="117"/>
      <c r="U66" s="117"/>
      <c r="V66" s="117"/>
      <c r="W66" s="117"/>
      <c r="X66" s="117"/>
      <c r="Z66" s="471"/>
      <c r="AA66" s="471"/>
    </row>
    <row r="67" spans="3:27" ht="30.75" customHeight="1" thickBot="1" x14ac:dyDescent="0.25">
      <c r="C67" s="137" t="s">
        <v>1110</v>
      </c>
      <c r="D67" s="142">
        <f>3*1582</f>
        <v>4746</v>
      </c>
      <c r="E67" s="139"/>
      <c r="H67" s="180">
        <v>13</v>
      </c>
      <c r="I67" s="181" t="s">
        <v>1146</v>
      </c>
      <c r="J67" s="182">
        <v>1</v>
      </c>
      <c r="K67" s="183" t="s">
        <v>1147</v>
      </c>
      <c r="W67" s="117"/>
      <c r="X67" s="117"/>
      <c r="Z67" s="471"/>
      <c r="AA67" s="471"/>
    </row>
    <row r="68" spans="3:27" x14ac:dyDescent="0.2">
      <c r="C68" s="137" t="s">
        <v>1112</v>
      </c>
      <c r="D68" s="138">
        <v>13</v>
      </c>
      <c r="E68" s="139"/>
      <c r="H68" s="163" t="s">
        <v>1148</v>
      </c>
      <c r="I68" s="117"/>
      <c r="J68" s="117"/>
      <c r="K68" s="117"/>
      <c r="W68" s="117"/>
      <c r="X68" s="117"/>
      <c r="Z68" s="471"/>
      <c r="AA68" s="471"/>
    </row>
    <row r="69" spans="3:27" x14ac:dyDescent="0.2">
      <c r="C69" s="137" t="s">
        <v>1079</v>
      </c>
      <c r="D69" s="141">
        <v>1.1599999999999999</v>
      </c>
      <c r="E69" s="139"/>
      <c r="W69" s="117"/>
      <c r="X69" s="117"/>
      <c r="Z69" s="471"/>
      <c r="AA69" s="471"/>
    </row>
    <row r="70" spans="3:27" x14ac:dyDescent="0.2">
      <c r="C70" s="137" t="s">
        <v>1082</v>
      </c>
      <c r="D70" s="142">
        <v>165</v>
      </c>
      <c r="E70" s="139"/>
      <c r="W70" s="117"/>
      <c r="X70" s="117"/>
      <c r="Z70" s="471"/>
      <c r="AA70" s="471"/>
    </row>
    <row r="71" spans="3:27" x14ac:dyDescent="0.2">
      <c r="C71" s="143"/>
      <c r="E71" s="139"/>
      <c r="W71" s="117"/>
      <c r="X71" s="117"/>
      <c r="Z71" s="471"/>
      <c r="AA71" s="471"/>
    </row>
    <row r="72" spans="3:27" ht="27" x14ac:dyDescent="0.2">
      <c r="C72" s="144" t="s">
        <v>1025</v>
      </c>
      <c r="D72" s="301" t="s">
        <v>1115</v>
      </c>
      <c r="E72" s="145" t="s">
        <v>1027</v>
      </c>
      <c r="W72" s="117"/>
      <c r="X72" s="117"/>
      <c r="Z72" s="471"/>
      <c r="AA72" s="471"/>
    </row>
    <row r="73" spans="3:27" x14ac:dyDescent="0.2">
      <c r="C73" s="146" t="s">
        <v>822</v>
      </c>
      <c r="D73" s="138">
        <v>5.2</v>
      </c>
      <c r="E73" s="147">
        <f>$D$68*D73</f>
        <v>67.600000000000009</v>
      </c>
      <c r="W73" s="117"/>
      <c r="X73" s="117"/>
      <c r="Z73" s="471"/>
      <c r="AA73" s="471"/>
    </row>
    <row r="74" spans="3:27" x14ac:dyDescent="0.25">
      <c r="C74" s="146" t="s">
        <v>1028</v>
      </c>
      <c r="D74" s="185">
        <v>32</v>
      </c>
      <c r="E74" s="147">
        <f>$D$68*D74</f>
        <v>416</v>
      </c>
      <c r="W74" s="117"/>
      <c r="X74" s="117"/>
      <c r="Z74" s="471"/>
      <c r="AA74" s="471"/>
    </row>
    <row r="75" spans="3:27" x14ac:dyDescent="0.25">
      <c r="C75" s="146" t="s">
        <v>1029</v>
      </c>
      <c r="D75" s="138">
        <v>0.6</v>
      </c>
      <c r="E75" s="147">
        <f>$D$68*D75</f>
        <v>7.8</v>
      </c>
      <c r="W75" s="117"/>
      <c r="X75" s="117"/>
      <c r="Z75" s="471"/>
      <c r="AA75" s="471"/>
    </row>
    <row r="76" spans="3:27" x14ac:dyDescent="0.25">
      <c r="C76" s="146" t="s">
        <v>866</v>
      </c>
      <c r="D76" s="138">
        <v>1.9</v>
      </c>
      <c r="E76" s="147">
        <f>$D$68*D76</f>
        <v>24.7</v>
      </c>
      <c r="W76" s="117"/>
      <c r="X76" s="117"/>
      <c r="Z76" s="471"/>
      <c r="AA76" s="471"/>
    </row>
    <row r="77" spans="3:27" x14ac:dyDescent="0.2">
      <c r="C77" s="146" t="s">
        <v>1030</v>
      </c>
      <c r="D77" s="138">
        <v>0.8</v>
      </c>
      <c r="E77" s="147">
        <f>$D$68*D77</f>
        <v>10.4</v>
      </c>
      <c r="W77" s="117"/>
      <c r="X77" s="117"/>
      <c r="Z77" s="471"/>
      <c r="AA77" s="471"/>
    </row>
    <row r="78" spans="3:27" ht="27" x14ac:dyDescent="0.2">
      <c r="C78" s="150"/>
      <c r="D78" s="301" t="s">
        <v>1092</v>
      </c>
      <c r="E78" s="145" t="s">
        <v>1027</v>
      </c>
      <c r="W78" s="117"/>
      <c r="X78" s="117"/>
      <c r="Z78" s="471"/>
      <c r="AA78" s="471"/>
    </row>
    <row r="79" spans="3:27" x14ac:dyDescent="0.2">
      <c r="C79" s="146" t="s">
        <v>1031</v>
      </c>
      <c r="D79" s="161">
        <f>D49</f>
        <v>6.4076568746666666E-5</v>
      </c>
      <c r="E79" s="147">
        <f>D79*$D$67*$D$68*$D$69/$D$70</f>
        <v>2.7793572852708691E-2</v>
      </c>
      <c r="W79" s="117"/>
      <c r="X79" s="117"/>
      <c r="Z79" s="471"/>
      <c r="AA79" s="471"/>
    </row>
    <row r="80" spans="3:27" x14ac:dyDescent="0.2">
      <c r="C80" s="146"/>
      <c r="E80" s="149"/>
      <c r="W80" s="117"/>
      <c r="X80" s="117"/>
      <c r="Z80" s="471"/>
      <c r="AA80" s="471"/>
    </row>
    <row r="81" spans="2:27" x14ac:dyDescent="0.25">
      <c r="C81" s="146" t="s">
        <v>864</v>
      </c>
      <c r="D81" s="138">
        <v>163.1</v>
      </c>
      <c r="E81" s="147">
        <f>D81*$D$67*$D$68*$D$69/$D$70</f>
        <v>70745.544290909078</v>
      </c>
      <c r="W81" s="117"/>
      <c r="X81" s="117"/>
      <c r="Z81" s="471"/>
      <c r="AA81" s="471"/>
    </row>
    <row r="82" spans="2:27" x14ac:dyDescent="0.25">
      <c r="C82" s="146" t="s">
        <v>1032</v>
      </c>
      <c r="D82" s="138">
        <v>6.6140000000000001E-3</v>
      </c>
      <c r="E82" s="147">
        <f>D82*$D$67*$D$68*$D$69/$D$70</f>
        <v>2.8688597789090906</v>
      </c>
      <c r="X82" s="117"/>
      <c r="Z82" s="471"/>
      <c r="AA82" s="471"/>
    </row>
    <row r="83" spans="2:27" x14ac:dyDescent="0.25">
      <c r="C83" s="146" t="s">
        <v>865</v>
      </c>
      <c r="D83" s="138">
        <v>1.323E-3</v>
      </c>
      <c r="E83" s="154">
        <f>D83*$D$67*$D$68*$D$69/$D$70</f>
        <v>0.5738587069090908</v>
      </c>
      <c r="X83" s="117"/>
      <c r="Z83" s="471"/>
      <c r="AA83" s="471"/>
    </row>
    <row r="84" spans="2:27" x14ac:dyDescent="0.2">
      <c r="B84" s="118">
        <v>1</v>
      </c>
      <c r="C84" s="156" t="s">
        <v>1132</v>
      </c>
      <c r="D84" s="156"/>
      <c r="E84" s="156"/>
      <c r="X84" s="117"/>
      <c r="Z84" s="471"/>
      <c r="AA84" s="471"/>
    </row>
    <row r="85" spans="2:27" x14ac:dyDescent="0.2">
      <c r="C85" s="157" t="s">
        <v>822</v>
      </c>
      <c r="D85" s="138" t="s">
        <v>1133</v>
      </c>
      <c r="E85" s="142"/>
      <c r="X85" s="117"/>
      <c r="Z85" s="471"/>
      <c r="AA85" s="471"/>
    </row>
    <row r="86" spans="2:27" x14ac:dyDescent="0.25">
      <c r="C86" s="157" t="s">
        <v>1028</v>
      </c>
      <c r="D86" s="138" t="s">
        <v>1133</v>
      </c>
      <c r="E86" s="142"/>
      <c r="X86" s="117"/>
      <c r="Z86" s="471"/>
      <c r="AA86" s="471"/>
    </row>
    <row r="87" spans="2:27" x14ac:dyDescent="0.25">
      <c r="C87" s="157" t="s">
        <v>1029</v>
      </c>
      <c r="D87" s="138" t="s">
        <v>1133</v>
      </c>
      <c r="E87" s="142"/>
      <c r="X87" s="117"/>
      <c r="Z87" s="471"/>
      <c r="AA87" s="471"/>
    </row>
    <row r="88" spans="2:27" x14ac:dyDescent="0.25">
      <c r="C88" s="157" t="s">
        <v>866</v>
      </c>
      <c r="D88" s="138" t="s">
        <v>1133</v>
      </c>
      <c r="E88" s="142"/>
      <c r="X88" s="117"/>
      <c r="Z88" s="471"/>
      <c r="AA88" s="471"/>
    </row>
    <row r="89" spans="2:27" x14ac:dyDescent="0.2">
      <c r="C89" s="157" t="s">
        <v>1030</v>
      </c>
      <c r="D89" s="138" t="s">
        <v>1133</v>
      </c>
      <c r="E89" s="142"/>
      <c r="X89" s="117"/>
      <c r="Z89" s="471"/>
      <c r="AA89" s="471"/>
    </row>
    <row r="90" spans="2:27" x14ac:dyDescent="0.2">
      <c r="C90" s="157" t="s">
        <v>1031</v>
      </c>
      <c r="D90" s="138" t="s">
        <v>1103</v>
      </c>
      <c r="E90" s="142"/>
      <c r="X90" s="117"/>
      <c r="Z90" s="471"/>
      <c r="AA90" s="471"/>
    </row>
    <row r="91" spans="2:27" x14ac:dyDescent="0.25">
      <c r="C91" s="157" t="s">
        <v>864</v>
      </c>
      <c r="D91" s="138" t="s">
        <v>1042</v>
      </c>
      <c r="E91" s="142"/>
      <c r="X91" s="117"/>
      <c r="Z91" s="471"/>
      <c r="AA91" s="471"/>
    </row>
    <row r="92" spans="2:27" x14ac:dyDescent="0.25">
      <c r="C92" s="157" t="s">
        <v>1032</v>
      </c>
      <c r="D92" s="138" t="s">
        <v>1044</v>
      </c>
      <c r="E92" s="142"/>
      <c r="X92" s="117"/>
      <c r="Z92" s="471"/>
      <c r="AA92" s="471"/>
    </row>
    <row r="93" spans="2:27" x14ac:dyDescent="0.25">
      <c r="C93" s="157" t="s">
        <v>865</v>
      </c>
      <c r="D93" s="138" t="s">
        <v>1044</v>
      </c>
      <c r="E93" s="142"/>
      <c r="X93" s="117"/>
      <c r="Z93" s="471"/>
      <c r="AA93" s="471"/>
    </row>
    <row r="94" spans="2:27" x14ac:dyDescent="0.2">
      <c r="X94" s="117"/>
      <c r="Z94" s="471"/>
      <c r="AA94" s="471"/>
    </row>
    <row r="95" spans="2:27" x14ac:dyDescent="0.2">
      <c r="X95" s="117"/>
      <c r="Z95" s="471"/>
      <c r="AA95" s="471"/>
    </row>
    <row r="96" spans="2:27" x14ac:dyDescent="0.2">
      <c r="X96" s="117"/>
      <c r="Z96" s="471"/>
      <c r="AA96" s="471"/>
    </row>
    <row r="97" spans="24:27" x14ac:dyDescent="0.2">
      <c r="X97" s="117"/>
      <c r="Z97" s="471"/>
      <c r="AA97" s="471"/>
    </row>
    <row r="98" spans="24:27" x14ac:dyDescent="0.2">
      <c r="X98" s="117"/>
      <c r="Z98" s="471"/>
      <c r="AA98" s="471"/>
    </row>
    <row r="99" spans="24:27" x14ac:dyDescent="0.2">
      <c r="X99" s="117"/>
      <c r="Z99" s="471"/>
      <c r="AA99" s="471"/>
    </row>
    <row r="100" spans="24:27" x14ac:dyDescent="0.2">
      <c r="X100" s="117"/>
      <c r="Z100" s="471"/>
      <c r="AA100" s="471"/>
    </row>
    <row r="101" spans="24:27" x14ac:dyDescent="0.2">
      <c r="X101" s="117"/>
      <c r="Z101" s="471"/>
      <c r="AA101" s="471"/>
    </row>
    <row r="102" spans="24:27" x14ac:dyDescent="0.2">
      <c r="X102" s="117"/>
      <c r="Z102" s="471"/>
      <c r="AA102" s="471"/>
    </row>
    <row r="103" spans="24:27" x14ac:dyDescent="0.2">
      <c r="X103" s="117"/>
      <c r="Z103" s="471"/>
      <c r="AA103" s="471"/>
    </row>
    <row r="104" spans="24:27" x14ac:dyDescent="0.2">
      <c r="X104" s="117"/>
      <c r="Z104" s="471"/>
      <c r="AA104" s="471"/>
    </row>
    <row r="105" spans="24:27" x14ac:dyDescent="0.2">
      <c r="X105" s="117"/>
      <c r="Z105" s="471"/>
      <c r="AA105" s="471"/>
    </row>
    <row r="106" spans="24:27" x14ac:dyDescent="0.2">
      <c r="X106" s="117"/>
      <c r="Z106" s="471"/>
      <c r="AA106" s="471"/>
    </row>
    <row r="107" spans="24:27" x14ac:dyDescent="0.2">
      <c r="X107" s="117"/>
      <c r="Z107" s="471"/>
      <c r="AA107" s="471"/>
    </row>
    <row r="108" spans="24:27" x14ac:dyDescent="0.2">
      <c r="X108" s="117"/>
      <c r="Z108" s="471"/>
      <c r="AA108" s="471"/>
    </row>
    <row r="109" spans="24:27" x14ac:dyDescent="0.2">
      <c r="X109" s="117"/>
      <c r="Z109" s="471"/>
      <c r="AA109" s="471"/>
    </row>
    <row r="110" spans="24:27" x14ac:dyDescent="0.2">
      <c r="X110" s="117"/>
      <c r="Z110" s="471"/>
      <c r="AA110" s="471"/>
    </row>
    <row r="111" spans="24:27" x14ac:dyDescent="0.2">
      <c r="X111" s="117"/>
      <c r="Z111" s="471"/>
      <c r="AA111" s="471"/>
    </row>
    <row r="112" spans="24:27" x14ac:dyDescent="0.2">
      <c r="X112" s="117"/>
      <c r="Z112" s="471"/>
      <c r="AA112" s="471"/>
    </row>
    <row r="113" spans="24:27" x14ac:dyDescent="0.2">
      <c r="X113" s="117"/>
      <c r="Z113" s="471"/>
      <c r="AA113" s="471"/>
    </row>
    <row r="114" spans="24:27" x14ac:dyDescent="0.2">
      <c r="X114" s="117"/>
      <c r="Z114" s="471"/>
      <c r="AA114" s="471"/>
    </row>
    <row r="115" spans="24:27" x14ac:dyDescent="0.2">
      <c r="X115" s="117"/>
      <c r="Z115" s="471"/>
      <c r="AA115" s="471"/>
    </row>
    <row r="116" spans="24:27" x14ac:dyDescent="0.2">
      <c r="X116" s="117"/>
      <c r="Z116" s="471"/>
      <c r="AA116" s="471"/>
    </row>
    <row r="117" spans="24:27" x14ac:dyDescent="0.2">
      <c r="X117" s="117"/>
      <c r="Z117" s="471"/>
      <c r="AA117" s="471"/>
    </row>
    <row r="118" spans="24:27" x14ac:dyDescent="0.2">
      <c r="X118" s="117"/>
      <c r="Z118" s="471"/>
      <c r="AA118" s="471"/>
    </row>
    <row r="119" spans="24:27" x14ac:dyDescent="0.2">
      <c r="X119" s="117"/>
      <c r="Z119" s="471"/>
      <c r="AA119" s="471"/>
    </row>
    <row r="120" spans="24:27" x14ac:dyDescent="0.2">
      <c r="X120" s="117"/>
      <c r="Z120" s="471"/>
      <c r="AA120" s="471"/>
    </row>
    <row r="121" spans="24:27" x14ac:dyDescent="0.2">
      <c r="X121" s="117"/>
      <c r="Z121" s="471"/>
      <c r="AA121" s="471"/>
    </row>
    <row r="122" spans="24:27" x14ac:dyDescent="0.2">
      <c r="X122" s="117"/>
      <c r="Z122" s="471"/>
      <c r="AA122" s="471"/>
    </row>
    <row r="123" spans="24:27" x14ac:dyDescent="0.2">
      <c r="X123" s="117"/>
      <c r="Z123" s="471"/>
      <c r="AA123" s="471"/>
    </row>
    <row r="124" spans="24:27" x14ac:dyDescent="0.2">
      <c r="X124" s="117"/>
      <c r="Z124" s="471"/>
      <c r="AA124" s="471"/>
    </row>
    <row r="125" spans="24:27" x14ac:dyDescent="0.2">
      <c r="X125" s="117"/>
      <c r="Z125" s="471"/>
      <c r="AA125" s="471"/>
    </row>
    <row r="126" spans="24:27" x14ac:dyDescent="0.2">
      <c r="X126" s="117"/>
      <c r="Z126" s="471"/>
      <c r="AA126" s="471"/>
    </row>
    <row r="127" spans="24:27" x14ac:dyDescent="0.2">
      <c r="X127" s="117"/>
      <c r="Z127" s="471"/>
      <c r="AA127" s="471"/>
    </row>
    <row r="128" spans="24:27" x14ac:dyDescent="0.2">
      <c r="X128" s="117"/>
      <c r="Z128" s="471"/>
      <c r="AA128" s="471"/>
    </row>
    <row r="129" spans="24:27" x14ac:dyDescent="0.2">
      <c r="X129" s="117"/>
      <c r="Z129" s="471"/>
      <c r="AA129" s="471"/>
    </row>
    <row r="130" spans="24:27" x14ac:dyDescent="0.2">
      <c r="X130" s="117"/>
      <c r="Z130" s="471"/>
      <c r="AA130" s="471"/>
    </row>
    <row r="131" spans="24:27" x14ac:dyDescent="0.2">
      <c r="X131" s="117"/>
      <c r="Z131" s="471"/>
      <c r="AA131" s="471"/>
    </row>
    <row r="132" spans="24:27" x14ac:dyDescent="0.2">
      <c r="X132" s="117"/>
      <c r="Z132" s="471"/>
      <c r="AA132" s="471"/>
    </row>
    <row r="133" spans="24:27" x14ac:dyDescent="0.2">
      <c r="X133" s="117"/>
      <c r="Z133" s="471"/>
      <c r="AA133" s="471"/>
    </row>
    <row r="134" spans="24:27" x14ac:dyDescent="0.2">
      <c r="X134" s="117"/>
      <c r="Z134" s="471"/>
      <c r="AA134" s="471"/>
    </row>
    <row r="135" spans="24:27" x14ac:dyDescent="0.2">
      <c r="X135" s="117"/>
      <c r="Z135" s="471"/>
      <c r="AA135" s="471"/>
    </row>
    <row r="136" spans="24:27" x14ac:dyDescent="0.2">
      <c r="X136" s="117"/>
      <c r="Z136" s="471"/>
      <c r="AA136" s="471"/>
    </row>
    <row r="137" spans="24:27" x14ac:dyDescent="0.2">
      <c r="X137" s="117"/>
      <c r="Z137" s="471"/>
      <c r="AA137" s="471"/>
    </row>
    <row r="138" spans="24:27" x14ac:dyDescent="0.2">
      <c r="X138" s="117"/>
      <c r="Z138" s="471"/>
      <c r="AA138" s="471"/>
    </row>
    <row r="139" spans="24:27" x14ac:dyDescent="0.2">
      <c r="X139" s="117"/>
      <c r="Z139" s="471"/>
      <c r="AA139" s="471"/>
    </row>
    <row r="140" spans="24:27" x14ac:dyDescent="0.2">
      <c r="X140" s="117"/>
      <c r="Z140" s="471"/>
      <c r="AA140" s="471"/>
    </row>
    <row r="141" spans="24:27" x14ac:dyDescent="0.2">
      <c r="X141" s="117"/>
      <c r="Z141" s="471"/>
      <c r="AA141" s="471"/>
    </row>
    <row r="142" spans="24:27" x14ac:dyDescent="0.2">
      <c r="X142" s="117"/>
      <c r="Z142" s="471"/>
      <c r="AA142" s="471"/>
    </row>
    <row r="143" spans="24:27" x14ac:dyDescent="0.2">
      <c r="X143" s="117"/>
      <c r="Z143" s="471"/>
      <c r="AA143" s="471"/>
    </row>
    <row r="144" spans="24:27" x14ac:dyDescent="0.2">
      <c r="X144" s="117"/>
      <c r="Z144" s="471"/>
      <c r="AA144" s="471"/>
    </row>
    <row r="145" spans="24:27" x14ac:dyDescent="0.2">
      <c r="X145" s="117"/>
      <c r="Z145" s="471"/>
      <c r="AA145" s="471"/>
    </row>
    <row r="146" spans="24:27" x14ac:dyDescent="0.2">
      <c r="X146" s="117"/>
      <c r="Z146" s="471"/>
      <c r="AA146" s="471"/>
    </row>
    <row r="147" spans="24:27" x14ac:dyDescent="0.2">
      <c r="X147" s="117"/>
      <c r="Z147" s="471"/>
      <c r="AA147" s="471"/>
    </row>
    <row r="148" spans="24:27" x14ac:dyDescent="0.2">
      <c r="X148" s="117"/>
      <c r="Z148" s="471"/>
      <c r="AA148" s="471"/>
    </row>
    <row r="149" spans="24:27" x14ac:dyDescent="0.2">
      <c r="X149" s="117"/>
      <c r="Z149" s="471"/>
      <c r="AA149" s="471"/>
    </row>
    <row r="150" spans="24:27" x14ac:dyDescent="0.2">
      <c r="X150" s="117"/>
      <c r="Z150" s="471"/>
      <c r="AA150" s="471"/>
    </row>
    <row r="151" spans="24:27" x14ac:dyDescent="0.2">
      <c r="X151" s="117"/>
      <c r="Z151" s="471"/>
      <c r="AA151" s="471"/>
    </row>
    <row r="152" spans="24:27" x14ac:dyDescent="0.2">
      <c r="X152" s="117"/>
      <c r="Z152" s="471"/>
      <c r="AA152" s="471"/>
    </row>
    <row r="153" spans="24:27" x14ac:dyDescent="0.2">
      <c r="X153" s="117"/>
      <c r="Z153" s="471"/>
      <c r="AA153" s="471"/>
    </row>
    <row r="154" spans="24:27" x14ac:dyDescent="0.2">
      <c r="X154" s="117"/>
      <c r="Z154" s="471"/>
      <c r="AA154" s="471"/>
    </row>
    <row r="155" spans="24:27" x14ac:dyDescent="0.2">
      <c r="X155" s="117"/>
      <c r="Z155" s="471"/>
      <c r="AA155" s="471"/>
    </row>
    <row r="156" spans="24:27" x14ac:dyDescent="0.2">
      <c r="X156" s="117"/>
      <c r="Z156" s="471"/>
      <c r="AA156" s="471"/>
    </row>
    <row r="157" spans="24:27" x14ac:dyDescent="0.2">
      <c r="X157" s="117"/>
      <c r="Z157" s="471"/>
      <c r="AA157" s="471"/>
    </row>
    <row r="158" spans="24:27" x14ac:dyDescent="0.2">
      <c r="X158" s="117"/>
      <c r="Z158" s="471"/>
      <c r="AA158" s="471"/>
    </row>
    <row r="159" spans="24:27" x14ac:dyDescent="0.2">
      <c r="X159" s="117"/>
      <c r="Z159" s="471"/>
      <c r="AA159" s="471"/>
    </row>
    <row r="160" spans="24:27" x14ac:dyDescent="0.2">
      <c r="Z160" s="471"/>
      <c r="AA160" s="471"/>
    </row>
    <row r="161" spans="26:27" x14ac:dyDescent="0.2">
      <c r="Z161" s="471"/>
      <c r="AA161" s="471"/>
    </row>
    <row r="162" spans="26:27" x14ac:dyDescent="0.2">
      <c r="Z162" s="471"/>
      <c r="AA162" s="471"/>
    </row>
    <row r="163" spans="26:27" x14ac:dyDescent="0.2">
      <c r="Z163" s="471"/>
      <c r="AA163" s="471"/>
    </row>
    <row r="164" spans="26:27" x14ac:dyDescent="0.2">
      <c r="Z164" s="471"/>
      <c r="AA164" s="471"/>
    </row>
    <row r="165" spans="26:27" x14ac:dyDescent="0.2">
      <c r="Z165" s="471"/>
      <c r="AA165" s="471"/>
    </row>
    <row r="166" spans="26:27" x14ac:dyDescent="0.2">
      <c r="Z166" s="471"/>
      <c r="AA166" s="471"/>
    </row>
    <row r="167" spans="26:27" x14ac:dyDescent="0.2">
      <c r="Z167" s="471"/>
      <c r="AA167" s="471"/>
    </row>
    <row r="168" spans="26:27" x14ac:dyDescent="0.2">
      <c r="Z168" s="471"/>
      <c r="AA168" s="471"/>
    </row>
    <row r="169" spans="26:27" x14ac:dyDescent="0.2">
      <c r="Z169" s="471"/>
      <c r="AA169" s="471"/>
    </row>
    <row r="170" spans="26:27" x14ac:dyDescent="0.2">
      <c r="Z170" s="471"/>
      <c r="AA170" s="471"/>
    </row>
    <row r="171" spans="26:27" x14ac:dyDescent="0.2">
      <c r="Z171" s="471"/>
      <c r="AA171" s="471"/>
    </row>
    <row r="172" spans="26:27" x14ac:dyDescent="0.2">
      <c r="Z172" s="471"/>
      <c r="AA172" s="471"/>
    </row>
    <row r="173" spans="26:27" x14ac:dyDescent="0.2">
      <c r="Z173" s="471"/>
      <c r="AA173" s="471"/>
    </row>
    <row r="174" spans="26:27" x14ac:dyDescent="0.2">
      <c r="Z174" s="471"/>
      <c r="AA174" s="471"/>
    </row>
    <row r="175" spans="26:27" x14ac:dyDescent="0.2">
      <c r="Z175" s="471"/>
      <c r="AA175" s="471"/>
    </row>
    <row r="176" spans="26:27" x14ac:dyDescent="0.2">
      <c r="Z176" s="471"/>
      <c r="AA176" s="471"/>
    </row>
    <row r="177" spans="26:27" x14ac:dyDescent="0.2">
      <c r="Z177" s="471"/>
      <c r="AA177" s="471"/>
    </row>
    <row r="178" spans="26:27" x14ac:dyDescent="0.2">
      <c r="Z178" s="471"/>
      <c r="AA178" s="471"/>
    </row>
    <row r="179" spans="26:27" x14ac:dyDescent="0.2">
      <c r="Z179" s="471"/>
      <c r="AA179" s="471"/>
    </row>
    <row r="180" spans="26:27" x14ac:dyDescent="0.2">
      <c r="Z180" s="471"/>
      <c r="AA180" s="471"/>
    </row>
    <row r="181" spans="26:27" x14ac:dyDescent="0.2">
      <c r="Z181" s="471"/>
      <c r="AA181" s="471"/>
    </row>
    <row r="182" spans="26:27" x14ac:dyDescent="0.2">
      <c r="Z182" s="471"/>
      <c r="AA182" s="471"/>
    </row>
  </sheetData>
  <mergeCells count="17">
    <mergeCell ref="J4:J5"/>
    <mergeCell ref="C66:F66"/>
    <mergeCell ref="AN4:AN5"/>
    <mergeCell ref="AM4:AM5"/>
    <mergeCell ref="AR4:AR5"/>
    <mergeCell ref="AQ4:AQ5"/>
    <mergeCell ref="AP4:AP5"/>
    <mergeCell ref="AO4:AO5"/>
    <mergeCell ref="Z4:AE4"/>
    <mergeCell ref="AF4:AK4"/>
    <mergeCell ref="H66:K66"/>
    <mergeCell ref="S4:X4"/>
    <mergeCell ref="H4:H5"/>
    <mergeCell ref="I4:I5"/>
    <mergeCell ref="K4:L4"/>
    <mergeCell ref="H64:S64"/>
    <mergeCell ref="M4:R4"/>
  </mergeCells>
  <phoneticPr fontId="7" type="noConversion"/>
  <conditionalFormatting sqref="N65:S65">
    <cfRule type="cellIs" dxfId="0" priority="1" operator="greaterThanOrEqual">
      <formula>1000</formula>
    </cfRule>
  </conditionalFormatting>
  <pageMargins left="0.75" right="0.75" top="1" bottom="1" header="0.5" footer="0.5"/>
  <pageSetup fitToHeight="0" orientation="landscape" r:id="rId1"/>
  <headerFooter alignWithMargins="0">
    <oddHeader xml:space="preserve">&amp;C&amp;"Cambria,Bold"&amp;12Attachment 2. Emission Calculations&amp;R
</oddHeader>
    <oddFooter>&amp;L&amp;"Tahoma,Regular"Microchip
Gresham Facility&amp;C&amp;"Tahoma,Regular"Page &amp;P of &amp;N&amp;R&amp;"Tahoma,Regular"Trinity Consultants</oddFooter>
  </headerFooter>
  <rowBreaks count="3" manualBreakCount="3">
    <brk id="31" max="8" man="1"/>
    <brk id="62" max="8" man="1"/>
    <brk id="9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2B290F-7807-4808-AA81-5E2453D72191}">
  <ds:schemaRefs>
    <ds:schemaRef ds:uri="http://purl.org/dc/dcmitype/"/>
    <ds:schemaRef ds:uri="http://schemas.microsoft.com/office/2006/metadata/properties"/>
    <ds:schemaRef ds:uri="6076d197-b432-4a89-8b9d-b97676e775aa"/>
    <ds:schemaRef ds:uri="http://schemas.openxmlformats.org/package/2006/metadata/core-properties"/>
    <ds:schemaRef ds:uri="http://schemas.microsoft.com/office/2006/documentManagement/types"/>
    <ds:schemaRef ds:uri="http://schemas.microsoft.com/office/infopath/2007/PartnerControls"/>
    <ds:schemaRef ds:uri="3f71e46e-dbdb-4936-a808-49fb891fc3e2"/>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DE79AFD7-D7D4-4844-AD81-8C07E8CC4AC3}">
  <ds:schemaRefs>
    <ds:schemaRef ds:uri="http://schemas.microsoft.com/sharepoint/v3/contenttype/forms"/>
  </ds:schemaRefs>
</ds:datastoreItem>
</file>

<file path=customXml/itemProps3.xml><?xml version="1.0" encoding="utf-8"?>
<ds:datastoreItem xmlns:ds="http://schemas.openxmlformats.org/officeDocument/2006/customXml" ds:itemID="{E69BE326-C303-463D-841A-F75025035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Mock Forms --&gt;</vt:lpstr>
      <vt:lpstr>2. Emissions Units &amp; Activities</vt:lpstr>
      <vt:lpstr>3. Pollutant Emissions - EF</vt:lpstr>
      <vt:lpstr>PTE Emission Calcs --&gt;</vt:lpstr>
      <vt:lpstr>Gas and Liquid Precursor PTE</vt:lpstr>
      <vt:lpstr>Acids Bases Plating CMP PTE</vt:lpstr>
      <vt:lpstr>Photoresist and Organics PTE</vt:lpstr>
      <vt:lpstr>Boilers POU VOC Control PTE</vt:lpstr>
      <vt:lpstr>Diesel Generators PTE</vt:lpstr>
      <vt:lpstr>HCl Tank PTE</vt:lpstr>
      <vt:lpstr>REF --&gt;</vt:lpstr>
      <vt:lpstr>DEQ Table 2</vt:lpstr>
      <vt:lpstr>'Acids Bases Plating CMP PTE'!Print_Area</vt:lpstr>
      <vt:lpstr>'Boilers POU VOC Control PTE'!Print_Area</vt:lpstr>
      <vt:lpstr>'Diesel Generators PTE'!Print_Area</vt:lpstr>
      <vt:lpstr>'Gas and Liquid Precursor PTE'!Print_Area</vt:lpstr>
      <vt:lpstr>'Photoresist and Organics PTE'!Print_Area</vt:lpstr>
    </vt:vector>
  </TitlesOfParts>
  <Manager/>
  <Company>SCS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Microchip Tempe Emissions</dc:title>
  <dc:subject/>
  <dc:creator>Mike Sherer</dc:creator>
  <cp:keywords/>
  <dc:description/>
  <cp:lastModifiedBy>LAYSHOCK Julie * DEQ</cp:lastModifiedBy>
  <cp:revision/>
  <dcterms:created xsi:type="dcterms:W3CDTF">2005-02-11T14:31:46Z</dcterms:created>
  <dcterms:modified xsi:type="dcterms:W3CDTF">2026-01-09T21:20:08Z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