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stateoforegon-my.sharepoint.com/personal/emil_hnidey_deq_oregon_gov/Documents/Desktop/CAO/"/>
    </mc:Choice>
  </mc:AlternateContent>
  <xr:revisionPtr revIDLastSave="14" documentId="8_{AA76E370-27A6-4602-9109-56EB2D56FD18}" xr6:coauthVersionLast="47" xr6:coauthVersionMax="47" xr10:uidLastSave="{97D8E026-D10C-4C78-9FE8-C4B581B22CF5}"/>
  <bookViews>
    <workbookView xWindow="-120" yWindow="-120" windowWidth="29040" windowHeight="15720" tabRatio="890" xr2:uid="{662691E7-6D6E-4153-B883-781CEA49C7CC}"/>
  </bookViews>
  <sheets>
    <sheet name="ReadMe" sheetId="3" r:id="rId1"/>
    <sheet name="MPAFs" sheetId="1" r:id="rId2"/>
    <sheet name="ResidentialCancer" sheetId="13" r:id="rId3"/>
    <sheet name="ResidentialNoncancer" sheetId="5" r:id="rId4"/>
    <sheet name="NonresidentChildCancer" sheetId="16" r:id="rId5"/>
    <sheet name="NonresidentChildNoncancer" sheetId="17" r:id="rId6"/>
    <sheet name="WorkerCancer" sheetId="11" r:id="rId7"/>
    <sheet name="WorkerNoncancer" sheetId="9" r:id="rId8"/>
    <sheet name="ChemicalProperties" sheetId="6" r:id="rId9"/>
    <sheet name="ScenarioParameters" sheetId="12" r:id="rId10"/>
    <sheet name="ExposureGroupParameters" sheetId="7" r:id="rId11"/>
    <sheet name="PFAS BAF" sheetId="18" r:id="rId12"/>
  </sheets>
  <externalReferences>
    <externalReference r:id="rId13"/>
  </externalReferences>
  <definedNames>
    <definedName name="_xlnm._FilterDatabase" localSheetId="8" hidden="1">ChemicalProperties!$A$2:$Z$2</definedName>
    <definedName name="Auth_key">[1]Lookups!$B$5:$C$13</definedName>
    <definedName name="TRV_Acodes">[1]Lookups!$L$5:$M$17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8" l="1"/>
  <c r="D42" i="18" s="1"/>
  <c r="C41" i="18"/>
  <c r="C42" i="18" s="1"/>
  <c r="D35" i="18"/>
  <c r="D36" i="18" s="1"/>
  <c r="C35" i="18"/>
  <c r="C36" i="18" s="1"/>
  <c r="F33" i="18"/>
  <c r="F35" i="18" s="1"/>
  <c r="E33" i="18"/>
  <c r="E35" i="18" s="1"/>
  <c r="D29" i="18"/>
  <c r="C29" i="18"/>
  <c r="F27" i="18"/>
  <c r="F29" i="18" s="1"/>
  <c r="E27" i="18"/>
  <c r="E29" i="18" s="1"/>
  <c r="D24" i="18"/>
  <c r="C24" i="18"/>
  <c r="D23" i="18"/>
  <c r="C23" i="18"/>
  <c r="F21" i="18"/>
  <c r="F23" i="18" s="1"/>
  <c r="E21" i="18"/>
  <c r="E23" i="18" s="1"/>
  <c r="D18" i="18"/>
  <c r="C18" i="18"/>
  <c r="F17" i="18"/>
  <c r="E17" i="18"/>
  <c r="D17" i="18"/>
  <c r="C17" i="18"/>
  <c r="F11" i="18"/>
  <c r="E11" i="18"/>
  <c r="D11" i="18"/>
  <c r="D12" i="18" s="1"/>
  <c r="C11" i="18"/>
  <c r="C12" i="18" s="1"/>
  <c r="F6" i="18"/>
  <c r="F36" i="18" s="1"/>
  <c r="E6" i="18"/>
  <c r="E36" i="18" s="1"/>
  <c r="D6" i="18"/>
  <c r="D30" i="18" s="1"/>
  <c r="C6" i="18"/>
  <c r="C30" i="18" s="1"/>
  <c r="D3" i="6"/>
  <c r="V50" i="6"/>
  <c r="V42" i="6"/>
  <c r="V40" i="6"/>
  <c r="V59" i="6"/>
  <c r="V54" i="6"/>
  <c r="V53" i="6"/>
  <c r="V52" i="6"/>
  <c r="V51" i="6"/>
  <c r="V46" i="6"/>
  <c r="V45" i="6"/>
  <c r="V44" i="6"/>
  <c r="V43" i="6"/>
  <c r="V39" i="6"/>
  <c r="V38" i="6"/>
  <c r="V37" i="6"/>
  <c r="V36" i="6"/>
  <c r="V69" i="6"/>
  <c r="V68" i="6"/>
  <c r="V67" i="6"/>
  <c r="V66" i="6"/>
  <c r="V65" i="6"/>
  <c r="V61" i="6"/>
  <c r="V60" i="6"/>
  <c r="V57" i="6"/>
  <c r="V56" i="6"/>
  <c r="V55" i="6"/>
  <c r="V49" i="6"/>
  <c r="V48" i="6"/>
  <c r="V47" i="6"/>
  <c r="R39" i="6"/>
  <c r="S39" i="6"/>
  <c r="H42" i="6"/>
  <c r="H40" i="6"/>
  <c r="H54" i="6"/>
  <c r="H53" i="6"/>
  <c r="H52" i="6"/>
  <c r="H46" i="6"/>
  <c r="H36" i="6"/>
  <c r="H68" i="6"/>
  <c r="H67" i="6"/>
  <c r="H66" i="6"/>
  <c r="H65" i="6"/>
  <c r="H61" i="6"/>
  <c r="H60" i="6"/>
  <c r="H57" i="6"/>
  <c r="H56" i="6"/>
  <c r="H49" i="6"/>
  <c r="H48" i="6"/>
  <c r="H47" i="6"/>
  <c r="S38" i="6"/>
  <c r="R38" i="6"/>
  <c r="D38" i="6"/>
  <c r="D39" i="6"/>
  <c r="I25" i="6"/>
  <c r="E30" i="18" l="1"/>
  <c r="F30" i="18"/>
  <c r="E24" i="18"/>
  <c r="F24" i="18"/>
  <c r="E18" i="18"/>
  <c r="F18" i="18"/>
  <c r="E12" i="18"/>
  <c r="F12" i="18"/>
  <c r="S32" i="6"/>
  <c r="S24" i="6"/>
  <c r="S20" i="6"/>
  <c r="S31" i="6"/>
  <c r="S30" i="6"/>
  <c r="S29" i="6"/>
  <c r="S28" i="6"/>
  <c r="S27" i="6"/>
  <c r="S26" i="6"/>
  <c r="S25" i="6"/>
  <c r="S23" i="6"/>
  <c r="S22" i="6"/>
  <c r="R72" i="6"/>
  <c r="S74" i="6"/>
  <c r="S73" i="6"/>
  <c r="S70" i="6"/>
  <c r="R70" i="6"/>
  <c r="S58" i="6"/>
  <c r="R58" i="6"/>
  <c r="S50" i="6"/>
  <c r="R50" i="6"/>
  <c r="S41" i="6"/>
  <c r="R41" i="6"/>
  <c r="S42" i="6"/>
  <c r="R42" i="6"/>
  <c r="S40" i="6"/>
  <c r="R40" i="6"/>
  <c r="S59" i="6"/>
  <c r="R59" i="6"/>
  <c r="S54" i="6"/>
  <c r="R54" i="6"/>
  <c r="S53" i="6"/>
  <c r="R53" i="6"/>
  <c r="S52" i="6"/>
  <c r="R52" i="6"/>
  <c r="S51" i="6"/>
  <c r="R51" i="6"/>
  <c r="S46" i="6"/>
  <c r="R46" i="6"/>
  <c r="S45" i="6"/>
  <c r="R45" i="6"/>
  <c r="S44" i="6"/>
  <c r="R44" i="6"/>
  <c r="S43" i="6"/>
  <c r="R43" i="6"/>
  <c r="S37" i="6"/>
  <c r="R37" i="6"/>
  <c r="S36" i="6"/>
  <c r="R36" i="6"/>
  <c r="S69" i="6"/>
  <c r="R69" i="6"/>
  <c r="S68" i="6"/>
  <c r="R68" i="6"/>
  <c r="S67" i="6"/>
  <c r="R67" i="6"/>
  <c r="S66" i="6"/>
  <c r="R66" i="6"/>
  <c r="S65" i="6"/>
  <c r="R65" i="6"/>
  <c r="S63" i="6"/>
  <c r="R63" i="6"/>
  <c r="S62" i="6"/>
  <c r="R62" i="6"/>
  <c r="S61" i="6"/>
  <c r="R61" i="6"/>
  <c r="S60" i="6"/>
  <c r="R60" i="6"/>
  <c r="S57" i="6"/>
  <c r="R57" i="6"/>
  <c r="S56" i="6"/>
  <c r="R56" i="6"/>
  <c r="S55" i="6"/>
  <c r="R55" i="6"/>
  <c r="S49" i="6"/>
  <c r="R49" i="6"/>
  <c r="S48" i="6"/>
  <c r="R48" i="6"/>
  <c r="S47" i="6"/>
  <c r="R47" i="6"/>
  <c r="D70" i="6"/>
  <c r="D58" i="6"/>
  <c r="D50" i="6"/>
  <c r="D41" i="6"/>
  <c r="D42" i="6"/>
  <c r="D40" i="6"/>
  <c r="D59" i="6"/>
  <c r="D54" i="6"/>
  <c r="D53" i="6"/>
  <c r="D52" i="6"/>
  <c r="D51" i="6"/>
  <c r="D46" i="6"/>
  <c r="D45" i="6"/>
  <c r="D44" i="6"/>
  <c r="D43" i="6"/>
  <c r="D37" i="6"/>
  <c r="D36" i="6"/>
  <c r="D69" i="6"/>
  <c r="D68" i="6"/>
  <c r="D67" i="6"/>
  <c r="D66" i="6"/>
  <c r="D65" i="6"/>
  <c r="D63" i="6"/>
  <c r="D62" i="6"/>
  <c r="D61" i="6"/>
  <c r="D60" i="6"/>
  <c r="D57" i="6"/>
  <c r="D56" i="6"/>
  <c r="D55" i="6"/>
  <c r="D49" i="6"/>
  <c r="D48" i="6"/>
  <c r="D47" i="6"/>
  <c r="R29" i="6"/>
  <c r="R27" i="6"/>
  <c r="R22" i="6"/>
  <c r="I29" i="6"/>
  <c r="I27" i="6"/>
  <c r="I22" i="6"/>
  <c r="D29" i="6"/>
  <c r="D27" i="6"/>
  <c r="D22" i="6"/>
  <c r="V72" i="6"/>
  <c r="V71" i="6"/>
  <c r="S72" i="6"/>
  <c r="S71" i="6"/>
  <c r="D72" i="6"/>
  <c r="I72" i="6"/>
  <c r="R74" i="6"/>
  <c r="R73" i="6"/>
  <c r="R71" i="6"/>
  <c r="R32" i="6"/>
  <c r="R31" i="6"/>
  <c r="R24" i="6"/>
  <c r="R20" i="6"/>
  <c r="R30" i="6"/>
  <c r="R28" i="6"/>
  <c r="R26" i="6"/>
  <c r="R25" i="6"/>
  <c r="R23" i="6"/>
  <c r="R21" i="6"/>
  <c r="R9" i="6"/>
  <c r="R8" i="6"/>
  <c r="R6" i="6"/>
  <c r="R5" i="6"/>
  <c r="I21" i="6" l="1"/>
  <c r="I9" i="6"/>
  <c r="I8" i="6"/>
  <c r="I6" i="6"/>
  <c r="I5" i="6"/>
  <c r="I74" i="6"/>
  <c r="I73" i="6"/>
  <c r="I32" i="6"/>
  <c r="I24" i="6"/>
  <c r="I20" i="6"/>
  <c r="I31" i="6"/>
  <c r="I30" i="6"/>
  <c r="I28" i="6"/>
  <c r="I26" i="6"/>
  <c r="I23" i="6"/>
  <c r="D74" i="6"/>
  <c r="D73" i="6"/>
  <c r="D71" i="6"/>
  <c r="D32" i="6"/>
  <c r="D24" i="6"/>
  <c r="D20" i="6"/>
  <c r="D31" i="6"/>
  <c r="D30" i="6"/>
  <c r="D28" i="6"/>
  <c r="D26" i="6"/>
  <c r="D25" i="6"/>
  <c r="D23" i="6"/>
  <c r="D21" i="6"/>
  <c r="D9" i="6"/>
  <c r="D8" i="6"/>
  <c r="D6" i="6"/>
  <c r="D5" i="6"/>
  <c r="D29" i="17"/>
  <c r="D25" i="9"/>
  <c r="D37" i="5"/>
  <c r="D49" i="17" l="1"/>
  <c r="D46" i="16"/>
  <c r="D39" i="9"/>
  <c r="D38" i="11"/>
  <c r="D57" i="16" l="1"/>
  <c r="D56" i="16"/>
  <c r="D43" i="11"/>
  <c r="D191" i="13"/>
  <c r="D190" i="13"/>
  <c r="D189" i="13"/>
  <c r="D188" i="13"/>
  <c r="V33" i="6"/>
  <c r="V35" i="6"/>
  <c r="V34" i="6"/>
  <c r="V64" i="6"/>
  <c r="V19" i="6"/>
  <c r="V18" i="6"/>
  <c r="V17" i="6"/>
  <c r="V16" i="6"/>
  <c r="V15" i="6"/>
  <c r="V14" i="6"/>
  <c r="V13" i="6"/>
  <c r="V12" i="6"/>
  <c r="V11" i="6"/>
  <c r="V7" i="6"/>
  <c r="V4" i="6"/>
  <c r="V10" i="6"/>
  <c r="V3" i="6"/>
  <c r="A1" i="17"/>
  <c r="A1" i="16"/>
  <c r="A1" i="9"/>
  <c r="A1" i="11"/>
  <c r="A1" i="5"/>
  <c r="A1" i="13"/>
  <c r="D4" i="17" l="1"/>
  <c r="D4" i="16"/>
  <c r="D4" i="9"/>
  <c r="D4" i="11"/>
  <c r="D4" i="5"/>
  <c r="D4" i="13"/>
  <c r="D64" i="6"/>
  <c r="R64" i="6"/>
  <c r="S64" i="6"/>
  <c r="D34" i="6"/>
  <c r="R34" i="6"/>
  <c r="S34" i="6"/>
  <c r="D35" i="6"/>
  <c r="R35" i="6"/>
  <c r="S35" i="6"/>
  <c r="D33" i="6"/>
  <c r="R33" i="6"/>
  <c r="S33" i="6"/>
  <c r="D36" i="16" l="1"/>
  <c r="D35" i="16"/>
  <c r="D25" i="16"/>
  <c r="D24" i="16"/>
  <c r="C16" i="12"/>
  <c r="D26" i="16" s="1"/>
  <c r="C15" i="12"/>
  <c r="D24" i="11" s="1"/>
  <c r="C14" i="12"/>
  <c r="D33" i="13" s="1"/>
  <c r="D40" i="17"/>
  <c r="D39" i="17"/>
  <c r="D28" i="17"/>
  <c r="D27" i="17"/>
  <c r="D25" i="17"/>
  <c r="D24" i="17"/>
  <c r="D17" i="17"/>
  <c r="D16" i="17"/>
  <c r="D14" i="17"/>
  <c r="D11" i="17"/>
  <c r="D10" i="17"/>
  <c r="D58" i="16"/>
  <c r="D17" i="16"/>
  <c r="D16" i="16"/>
  <c r="D14" i="16"/>
  <c r="D15" i="16" s="1"/>
  <c r="D11" i="16"/>
  <c r="D10" i="16"/>
  <c r="D12" i="16" l="1"/>
  <c r="D12" i="17"/>
  <c r="R10" i="6" l="1"/>
  <c r="S10" i="6"/>
  <c r="R4" i="6"/>
  <c r="S4" i="6"/>
  <c r="R7" i="6"/>
  <c r="S7" i="6"/>
  <c r="R11" i="6"/>
  <c r="S11" i="6"/>
  <c r="R12" i="6"/>
  <c r="S12" i="6"/>
  <c r="R13" i="6"/>
  <c r="S13" i="6"/>
  <c r="R14" i="6"/>
  <c r="S14" i="6"/>
  <c r="R15" i="6"/>
  <c r="S15" i="6"/>
  <c r="R16" i="6"/>
  <c r="S16" i="6"/>
  <c r="R17" i="6"/>
  <c r="S17" i="6"/>
  <c r="R18" i="6"/>
  <c r="S18" i="6"/>
  <c r="R19" i="6"/>
  <c r="S19" i="6"/>
  <c r="S3" i="6"/>
  <c r="R3" i="6"/>
  <c r="D154" i="5"/>
  <c r="D150" i="5"/>
  <c r="D149" i="5"/>
  <c r="D167" i="13"/>
  <c r="D166" i="13"/>
  <c r="D159" i="13"/>
  <c r="D155" i="13"/>
  <c r="D154" i="13"/>
  <c r="D156" i="13" l="1"/>
  <c r="C9" i="7" l="1"/>
  <c r="D115" i="13" l="1"/>
  <c r="D109" i="13"/>
  <c r="D103" i="13"/>
  <c r="D97" i="13"/>
  <c r="D45" i="13"/>
  <c r="D28" i="13"/>
  <c r="I16" i="6"/>
  <c r="I18" i="6"/>
  <c r="I7" i="6"/>
  <c r="D16" i="6" l="1"/>
  <c r="D198" i="13"/>
  <c r="D35" i="11" l="1"/>
  <c r="D36" i="11" s="1"/>
  <c r="D36" i="9"/>
  <c r="D116" i="13"/>
  <c r="D192" i="13"/>
  <c r="D119" i="13" l="1"/>
  <c r="D118" i="13"/>
  <c r="D117" i="13"/>
  <c r="D113" i="13"/>
  <c r="D112" i="13"/>
  <c r="D111" i="13"/>
  <c r="D110" i="13"/>
  <c r="D107" i="13"/>
  <c r="D106" i="13"/>
  <c r="D105" i="13"/>
  <c r="D104" i="13"/>
  <c r="D101" i="13"/>
  <c r="D100" i="13"/>
  <c r="D99" i="13"/>
  <c r="D98" i="13"/>
  <c r="D95" i="13"/>
  <c r="D71" i="13"/>
  <c r="D70" i="13"/>
  <c r="D69" i="13"/>
  <c r="D68" i="13"/>
  <c r="D66" i="13"/>
  <c r="D65" i="13"/>
  <c r="D64" i="13"/>
  <c r="D63" i="13"/>
  <c r="D61" i="13"/>
  <c r="D60" i="13"/>
  <c r="D49" i="13"/>
  <c r="D48" i="13"/>
  <c r="D47" i="13"/>
  <c r="D46" i="13"/>
  <c r="D32" i="13"/>
  <c r="D31" i="13"/>
  <c r="D30" i="13"/>
  <c r="D29" i="13"/>
  <c r="D19" i="13"/>
  <c r="D18" i="13"/>
  <c r="D16" i="13"/>
  <c r="D14" i="13"/>
  <c r="D11" i="13"/>
  <c r="D10" i="13"/>
  <c r="D44" i="11"/>
  <c r="D42" i="11"/>
  <c r="D15" i="13" l="1"/>
  <c r="D75" i="13" s="1"/>
  <c r="D12" i="13"/>
  <c r="D74" i="13" l="1"/>
  <c r="D76" i="13"/>
  <c r="D73" i="13"/>
  <c r="D17" i="11" l="1"/>
  <c r="D16" i="11"/>
  <c r="D14" i="11"/>
  <c r="D11" i="11"/>
  <c r="D10" i="11"/>
  <c r="D17" i="9"/>
  <c r="D16" i="9"/>
  <c r="D14" i="9"/>
  <c r="D11" i="9"/>
  <c r="D10" i="9"/>
  <c r="D161" i="5"/>
  <c r="D98" i="5"/>
  <c r="D74" i="5"/>
  <c r="D73" i="5"/>
  <c r="D72" i="5"/>
  <c r="D71" i="5"/>
  <c r="D69" i="5"/>
  <c r="D68" i="5"/>
  <c r="D67" i="5"/>
  <c r="D66" i="5"/>
  <c r="D64" i="5"/>
  <c r="D63" i="5"/>
  <c r="D19" i="5"/>
  <c r="D18" i="5"/>
  <c r="D16" i="5"/>
  <c r="D14" i="5"/>
  <c r="D11" i="5"/>
  <c r="D10" i="5"/>
  <c r="D113" i="5"/>
  <c r="I17" i="6" l="1"/>
  <c r="D118" i="5"/>
  <c r="D108" i="5"/>
  <c r="D103" i="5"/>
  <c r="D52" i="5"/>
  <c r="D36" i="5"/>
  <c r="D31" i="5"/>
  <c r="D30" i="11"/>
  <c r="D23" i="11"/>
  <c r="D31" i="9"/>
  <c r="D24" i="9"/>
  <c r="D23" i="9"/>
  <c r="D117" i="5"/>
  <c r="D116" i="5"/>
  <c r="D115" i="5"/>
  <c r="D112" i="5"/>
  <c r="D111" i="5"/>
  <c r="D110" i="5"/>
  <c r="D107" i="5"/>
  <c r="D106" i="5"/>
  <c r="D105" i="5"/>
  <c r="D102" i="5"/>
  <c r="D101" i="5"/>
  <c r="D100" i="5"/>
  <c r="D51" i="5"/>
  <c r="D50" i="5"/>
  <c r="D49" i="5"/>
  <c r="D35" i="5"/>
  <c r="D34" i="5"/>
  <c r="D33" i="5"/>
  <c r="D30" i="5"/>
  <c r="D29" i="5"/>
  <c r="D28" i="5"/>
  <c r="D15" i="11"/>
  <c r="D12" i="11"/>
  <c r="D12" i="5"/>
  <c r="D12" i="9"/>
  <c r="I11" i="6"/>
  <c r="I4" i="6" l="1"/>
  <c r="I3" i="6" l="1"/>
  <c r="D10" i="6"/>
  <c r="D4" i="6"/>
  <c r="D7" i="6"/>
  <c r="D11" i="6"/>
  <c r="D12" i="6"/>
  <c r="D13" i="6"/>
  <c r="D14" i="6"/>
  <c r="D15" i="6"/>
  <c r="D17" i="6"/>
  <c r="D18" i="6"/>
  <c r="D19" i="6"/>
  <c r="D44" i="16" l="1"/>
  <c r="D45" i="16" s="1"/>
  <c r="D173" i="13"/>
  <c r="D51" i="17"/>
  <c r="D22" i="16"/>
  <c r="D37" i="11"/>
  <c r="D39" i="11" s="1"/>
  <c r="D148" i="5"/>
  <c r="D8" i="5"/>
  <c r="D9" i="5" s="1"/>
  <c r="D13" i="5" s="1"/>
  <c r="D172" i="13"/>
  <c r="D78" i="13"/>
  <c r="D8" i="16"/>
  <c r="D9" i="16" s="1"/>
  <c r="D13" i="16" s="1"/>
  <c r="D18" i="16" s="1"/>
  <c r="D29" i="11"/>
  <c r="D84" i="5"/>
  <c r="D158" i="13"/>
  <c r="D43" i="13"/>
  <c r="D41" i="9"/>
  <c r="D22" i="11"/>
  <c r="D83" i="5"/>
  <c r="D157" i="13"/>
  <c r="D26" i="13"/>
  <c r="D8" i="9"/>
  <c r="D9" i="9" s="1"/>
  <c r="D13" i="9" s="1"/>
  <c r="D47" i="5"/>
  <c r="D33" i="16"/>
  <c r="D40" i="11"/>
  <c r="D26" i="5"/>
  <c r="D79" i="13"/>
  <c r="D48" i="17"/>
  <c r="D50" i="17" s="1"/>
  <c r="D37" i="17"/>
  <c r="D22" i="17"/>
  <c r="D38" i="9"/>
  <c r="D8" i="11"/>
  <c r="D9" i="11" s="1"/>
  <c r="D13" i="11" s="1"/>
  <c r="D18" i="11" s="1"/>
  <c r="D82" i="5"/>
  <c r="D153" i="13"/>
  <c r="D8" i="13"/>
  <c r="D9" i="13" s="1"/>
  <c r="D13" i="13" s="1"/>
  <c r="D30" i="9"/>
  <c r="D168" i="5"/>
  <c r="D81" i="5"/>
  <c r="D59" i="13"/>
  <c r="D22" i="9"/>
  <c r="D166" i="5"/>
  <c r="D62" i="5"/>
  <c r="D81" i="13"/>
  <c r="D153" i="5"/>
  <c r="D80" i="13"/>
  <c r="D152" i="5"/>
  <c r="D176" i="13"/>
  <c r="D8" i="17"/>
  <c r="D9" i="17" s="1"/>
  <c r="D13" i="17" s="1"/>
  <c r="D48" i="16"/>
  <c r="D43" i="16"/>
  <c r="D151" i="5"/>
  <c r="D40" i="9" l="1"/>
  <c r="D47" i="16"/>
  <c r="D186" i="13"/>
  <c r="D183" i="13"/>
  <c r="D184" i="13"/>
  <c r="D185" i="13"/>
  <c r="D199" i="13"/>
  <c r="D174" i="13"/>
  <c r="D175" i="13" s="1"/>
  <c r="D54" i="16"/>
  <c r="D53" i="16"/>
  <c r="D38" i="16"/>
  <c r="D28" i="16"/>
  <c r="D39" i="16"/>
  <c r="D29" i="16"/>
  <c r="D15" i="17"/>
  <c r="D18" i="17" s="1"/>
  <c r="D167" i="5"/>
  <c r="D15" i="5"/>
  <c r="D15" i="9"/>
  <c r="D18" i="9" s="1"/>
  <c r="D37" i="9"/>
  <c r="D25" i="11"/>
  <c r="D31" i="11"/>
  <c r="D21" i="13"/>
  <c r="D22" i="13"/>
  <c r="D51" i="16" l="1"/>
  <c r="D61" i="16" s="1"/>
  <c r="D50" i="16"/>
  <c r="D60" i="16" s="1"/>
  <c r="D43" i="17"/>
  <c r="D42" i="17"/>
  <c r="D44" i="17" s="1"/>
  <c r="D31" i="17"/>
  <c r="D33" i="17" s="1"/>
  <c r="D32" i="17"/>
  <c r="D35" i="13"/>
  <c r="D37" i="13"/>
  <c r="D39" i="13"/>
  <c r="D36" i="13"/>
  <c r="D38" i="13"/>
  <c r="D51" i="13"/>
  <c r="D41" i="11"/>
  <c r="D21" i="5"/>
  <c r="D76" i="5"/>
  <c r="D79" i="5"/>
  <c r="D78" i="5"/>
  <c r="D22" i="5"/>
  <c r="D77" i="5"/>
  <c r="D55" i="13"/>
  <c r="D160" i="13" s="1"/>
  <c r="D53" i="13"/>
  <c r="D54" i="13"/>
  <c r="D52" i="13"/>
  <c r="D26" i="9"/>
  <c r="D32" i="9"/>
  <c r="D85" i="13"/>
  <c r="D90" i="13" s="1"/>
  <c r="D83" i="13"/>
  <c r="D88" i="13" s="1"/>
  <c r="D84" i="13"/>
  <c r="D89" i="13" s="1"/>
  <c r="D86" i="13"/>
  <c r="D91" i="13" s="1"/>
  <c r="D45" i="11" l="1"/>
  <c r="D62" i="16"/>
  <c r="D63" i="16" s="1"/>
  <c r="C12" i="1" s="1"/>
  <c r="D131" i="13"/>
  <c r="D130" i="13"/>
  <c r="D129" i="13"/>
  <c r="D127" i="13"/>
  <c r="D128" i="13"/>
  <c r="D124" i="13"/>
  <c r="D123" i="13"/>
  <c r="D122" i="13"/>
  <c r="D121" i="13"/>
  <c r="D125" i="13"/>
  <c r="D134" i="13"/>
  <c r="D133" i="13"/>
  <c r="D135" i="13"/>
  <c r="D137" i="13"/>
  <c r="D136" i="13"/>
  <c r="D143" i="13"/>
  <c r="D142" i="13"/>
  <c r="D141" i="13"/>
  <c r="D140" i="13"/>
  <c r="D139" i="13"/>
  <c r="D42" i="9"/>
  <c r="D43" i="9" s="1"/>
  <c r="D86" i="5"/>
  <c r="D91" i="5" s="1"/>
  <c r="D89" i="5"/>
  <c r="D94" i="5" s="1"/>
  <c r="D88" i="5"/>
  <c r="D93" i="5" s="1"/>
  <c r="D87" i="5"/>
  <c r="D92" i="5" s="1"/>
  <c r="D42" i="5"/>
  <c r="D40" i="5"/>
  <c r="D39" i="5"/>
  <c r="D43" i="5" s="1"/>
  <c r="D41" i="5"/>
  <c r="D57" i="5"/>
  <c r="D155" i="5" s="1"/>
  <c r="D54" i="5"/>
  <c r="D58" i="5" s="1"/>
  <c r="D55" i="5"/>
  <c r="D56" i="5"/>
  <c r="D46" i="11" l="1"/>
  <c r="C10" i="1" s="1"/>
  <c r="D52" i="17"/>
  <c r="D53" i="17" s="1"/>
  <c r="D54" i="17" s="1"/>
  <c r="C13" i="1" s="1"/>
  <c r="D145" i="13"/>
  <c r="D178" i="13" s="1"/>
  <c r="D194" i="13" s="1"/>
  <c r="D44" i="9"/>
  <c r="C11" i="1" s="1"/>
  <c r="D148" i="13"/>
  <c r="D128" i="5"/>
  <c r="D127" i="5"/>
  <c r="D126" i="5"/>
  <c r="D125" i="5"/>
  <c r="D133" i="5"/>
  <c r="D130" i="5"/>
  <c r="D132" i="5"/>
  <c r="D131" i="5"/>
  <c r="D149" i="13"/>
  <c r="D161" i="13" s="1"/>
  <c r="D138" i="5"/>
  <c r="D136" i="5"/>
  <c r="D137" i="5"/>
  <c r="D135" i="5"/>
  <c r="D146" i="13"/>
  <c r="D123" i="5"/>
  <c r="D121" i="5"/>
  <c r="D120" i="5"/>
  <c r="D122" i="5"/>
  <c r="D147" i="13"/>
  <c r="D140" i="5" l="1"/>
  <c r="D144" i="5" s="1"/>
  <c r="D179" i="13"/>
  <c r="D195" i="13" s="1"/>
  <c r="D181" i="13"/>
  <c r="D197" i="13" s="1"/>
  <c r="D180" i="13"/>
  <c r="D196" i="13" s="1"/>
  <c r="D162" i="13"/>
  <c r="D168" i="13" s="1"/>
  <c r="D200" i="13" s="1"/>
  <c r="D143" i="5"/>
  <c r="D142" i="5"/>
  <c r="D141" i="5"/>
  <c r="D156" i="5" l="1"/>
  <c r="D157" i="5" s="1"/>
  <c r="D162" i="5" s="1"/>
  <c r="D169" i="5" s="1"/>
  <c r="D201" i="13"/>
  <c r="D202" i="13" l="1"/>
  <c r="C8" i="1" s="1"/>
  <c r="D170" i="5"/>
  <c r="D171" i="5" s="1"/>
  <c r="C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tc={B5D4C9D6-D95B-4563-8F54-720DBD1064A8}</author>
  </authors>
  <commentList>
    <comment ref="D12" authorId="0" shapeId="0" xr:uid="{B5D4C9D6-D95B-4563-8F54-720DBD1064A8}">
      <text>
        <t xml:space="preserve">[Threaded comment]
Your version of Excel allows you to read this threaded comment; however, any edits to it will get removed if the file is opened in a newer version of Excel. Learn more: https://go.microsoft.com/fwlink/?linkid=870924
Comment:
    Is this the correct default for noncancer? I thought it would just be two years for the residential 0-2 year old. </t>
      </text>
    </comment>
  </commentList>
</comments>
</file>

<file path=xl/sharedStrings.xml><?xml version="1.0" encoding="utf-8"?>
<sst xmlns="http://schemas.openxmlformats.org/spreadsheetml/2006/main" count="2633" uniqueCount="799">
  <si>
    <t>Background</t>
  </si>
  <si>
    <t>Methodology</t>
  </si>
  <si>
    <t xml:space="preserve">DEQ's MPAF derivation approach is similar to that developed by SCAQMD, but includes modified assumptions. SCAQMD's approach is summarized in SCAQMD (2024), and relies on equations and default parameter values identified in OEHHA (2015). Compared with SCAQMD's approach, major differences in DEQ's approach are:
• Development of MPAFs for nonresident children, to account for exposures in settings such as schools and daycares.
• Use of one set of exposure parameters per scenario, instead of using a mix of upper-percentile and central tendency exposure parameters for different pathways depending on contaminant-specific results for each pathway. 
• Deriving inhalation cancer risk directly from the contaminant's air concentration rather than by calculating an inhalation dose.
• Use of current chronic noncancer inhalation TRVs and USEPA oral Reference Doses (RfDs) to derive noncancer MPAFs.
• Use of current cancer inhalation TRVs and USEPA oral Cancer Slope Factors (CSFs) to derive cancer MPAFs.
Sources for the default parameter values and for the equations used in DEQ's approach can be found throughout the calculation and parameter worksheets.
</t>
  </si>
  <si>
    <t>Instructions</t>
  </si>
  <si>
    <t>Many contaminants will have default MPAFs for only a subset of the exposure scenarios. In particular, contaminants without noncancer TRVs or RfDs will not have default noncancer MPAFs, and contaminants without cancer TRVs or CSFs will not have default cancer MPAFs. Any exposure scenarios for which MPAFs could not be calculated will have "NA" listed as their MPAF.
All scenarios include exposure calculations for inhalation of TACs in air and contact with TACs in soil through incidental ingestion and dermal exposure. In addition, the residential scenarios include exposure calculations for ingestion of TACs in garden vegetables and mother's milk. For some contaminants, however, these last two ingestion pathways are not significant. If ingestion of garden vegetables is not a significant pathway for a contaminant, the "Consider crop consumption of this contaminant?" parameter will have a value of "No", and all associated calculations will no longer be visible on the residential scenario worksheets. Similarly, if ingestion of mother's milk is not a significant pathway, the "Consider mother's milk ingestion for this contaminant?" parameter will have a value of "No", and all associated calculations will no longer be visible on the residential scenario worksheets. The ingestion of garden vegetables and mother's milk pathways are considered significant for contaminants for which the "ChemicalProperties" worksheet provides the parameters required to evaluate the pathway.</t>
  </si>
  <si>
    <t>Sheet Summary</t>
  </si>
  <si>
    <t>References</t>
  </si>
  <si>
    <t>DEQ (2022). Recommended Procedures for Toxic Air Contaminant Health Risk Assessments. Cleaner Air Oregon Program, Oregon Department of Environmental Quality.</t>
  </si>
  <si>
    <t>MPCA (2016). Air Emissions Risk Analysis (AERA) Guidance. Minnesota Pollution Control Agency. Accessed December 2016. https://www.pca.state.mn.us/air/aera-guide.</t>
  </si>
  <si>
    <t>OEHHA (2012). Air Toxics Hot Spots Program Risk Assessment Guidelines; Technical Support Document for Exposure Assessment and Stochastic Analysis. Office of Environmental Health Hazard Assessment, California Environmental Protection Agency.</t>
  </si>
  <si>
    <t>OEHHA (2015). Air Toxics Hot Spots Program Risk Assessment Guidelines; The Air Toxics Hot Spots Program Guidance Manual for Preparation of Health Risk Assessments. Office of Environmental Health Hazard Assessment, California Environmental Protection Agency.</t>
  </si>
  <si>
    <t>SCAQMD (2016). Rule 1402. Control of Toxic Air Contaminants from Existing Sources. South Coast Air Quality Management District. Adopted April 8, 1994. Last amendment October 7, 2016.</t>
  </si>
  <si>
    <t>SCAQMD (2024). Risk Assessment Procedures for Rules 1401, 1401.1, and 212. Version 9.0. South Coast Air Quality Management District. October 31, 2024.</t>
  </si>
  <si>
    <t>USEPA (2011). Exposure Factors Handbook: 2011 Edition. National Center for Environmental Assessment, Washington, DC; EPA/600/R-09/052F. Available from the National Technical Information Service, Springfield, VA, and online at http://www.epa.gov/ncea/efh</t>
  </si>
  <si>
    <t>Multipathway Adjustment Factor Calculations</t>
  </si>
  <si>
    <t>Input Data</t>
  </si>
  <si>
    <t>CASRN or DEQ Sequence ID | Contaminant Name</t>
  </si>
  <si>
    <t>Output Data</t>
  </si>
  <si>
    <t>Scenario</t>
  </si>
  <si>
    <t>Multipathway Adjustment Factor</t>
  </si>
  <si>
    <t>Residential cancer</t>
  </si>
  <si>
    <t>Residential noncancer</t>
  </si>
  <si>
    <t>Worker cancer</t>
  </si>
  <si>
    <t>Worker noncancer</t>
  </si>
  <si>
    <t>Nonresident children cancer</t>
  </si>
  <si>
    <t>Nonresident children noncancer</t>
  </si>
  <si>
    <t>Parameter</t>
  </si>
  <si>
    <t>Symbol</t>
  </si>
  <si>
    <t>Value</t>
  </si>
  <si>
    <t>Units</t>
  </si>
  <si>
    <t>Notes</t>
  </si>
  <si>
    <t>Contaminant air concentration</t>
  </si>
  <si>
    <t>Unit emission rate used for convenience in calculating MPAFs</t>
  </si>
  <si>
    <t>Chemical specific soil half life</t>
  </si>
  <si>
    <t>d</t>
  </si>
  <si>
    <t>Soil elimination constant</t>
  </si>
  <si>
    <t>Beginning of soil accumulation evaluation period</t>
  </si>
  <si>
    <t>Start period of soil exposure</t>
  </si>
  <si>
    <t>End of soil accumulation evaluation period</t>
  </si>
  <si>
    <t>End period of soil exposure (70 years default)</t>
  </si>
  <si>
    <t>Integral function for soil accumulation</t>
  </si>
  <si>
    <t>X</t>
  </si>
  <si>
    <t>Vertical rate of deposition</t>
  </si>
  <si>
    <t>Dep-rate</t>
  </si>
  <si>
    <t>m/sec</t>
  </si>
  <si>
    <t>SCAQMD default for treated emissions</t>
  </si>
  <si>
    <t>Deposition on the affected soil area per day</t>
  </si>
  <si>
    <t>Dep</t>
  </si>
  <si>
    <t>Soil bulk density</t>
  </si>
  <si>
    <t>BD</t>
  </si>
  <si>
    <t>Soil mixing depth</t>
  </si>
  <si>
    <t>m</t>
  </si>
  <si>
    <t xml:space="preserve">     Playground setting</t>
  </si>
  <si>
    <t xml:space="preserve">     Agricultural setting</t>
  </si>
  <si>
    <t>Average soil concentration</t>
  </si>
  <si>
    <t>Gastrointestinal relative absorption fraction</t>
  </si>
  <si>
    <t>GRAF</t>
  </si>
  <si>
    <t>dimensionless</t>
  </si>
  <si>
    <t>Soil ingestion rate</t>
  </si>
  <si>
    <t>mg/kg/d</t>
  </si>
  <si>
    <t>Assume same as nursing mother</t>
  </si>
  <si>
    <t xml:space="preserve">     0 &lt; 2 Years</t>
  </si>
  <si>
    <t xml:space="preserve">     2 &lt; 16 Years</t>
  </si>
  <si>
    <t xml:space="preserve">     Nursing mother</t>
  </si>
  <si>
    <t>Assume 16 – 30 years old</t>
  </si>
  <si>
    <t>Exposure frequency</t>
  </si>
  <si>
    <t>Assumes 350 days/year</t>
  </si>
  <si>
    <t>Exposure group dose from soil ingestion</t>
  </si>
  <si>
    <t>Fraction absorbed across skin</t>
  </si>
  <si>
    <t>ABS</t>
  </si>
  <si>
    <t>USEPA value</t>
  </si>
  <si>
    <t>Annual dermal load</t>
  </si>
  <si>
    <t>mg/kg/yr</t>
  </si>
  <si>
    <t>Exposure group dermal dose</t>
  </si>
  <si>
    <t>Consider crop consumption of this contaminant?</t>
  </si>
  <si>
    <t>Weathering constant</t>
  </si>
  <si>
    <t>k</t>
  </si>
  <si>
    <t>Yield</t>
  </si>
  <si>
    <t>Y</t>
  </si>
  <si>
    <t>Interception fraction</t>
  </si>
  <si>
    <t xml:space="preserve">     Root crop</t>
  </si>
  <si>
    <t xml:space="preserve">     Leafy crop</t>
  </si>
  <si>
    <t xml:space="preserve">     Protected crop</t>
  </si>
  <si>
    <t xml:space="preserve">     Exposed crop</t>
  </si>
  <si>
    <t>Growth Period</t>
  </si>
  <si>
    <t>Concentration due to direct deposition</t>
  </si>
  <si>
    <t>Root uptake factor</t>
  </si>
  <si>
    <t>Concentration due to root translocation or update</t>
  </si>
  <si>
    <t>µg/kg</t>
  </si>
  <si>
    <t>Average concentration in and on vegetation</t>
  </si>
  <si>
    <t>Fraction of plant type consumed that is home-grown or locally grown</t>
  </si>
  <si>
    <t>L</t>
  </si>
  <si>
    <t>Root crop consumption</t>
  </si>
  <si>
    <t>g/kg/d</t>
  </si>
  <si>
    <t>Leafy crop consumption</t>
  </si>
  <si>
    <t>Protected crop consumption</t>
  </si>
  <si>
    <t>Exposed crop consumption</t>
  </si>
  <si>
    <t xml:space="preserve">Root crop chronic noncancer ingestion dose </t>
  </si>
  <si>
    <t xml:space="preserve">Leafy crop chronic noncancer ingestion dose </t>
  </si>
  <si>
    <t xml:space="preserve">Protected crop chronic noncancer ingestion dose </t>
  </si>
  <si>
    <t xml:space="preserve">Exposed crop chronic noncancer ingestion dose </t>
  </si>
  <si>
    <t>Exposure group dose from home grown produce ingestion</t>
  </si>
  <si>
    <t>Consider mother's milk ingestion for this contaminant?</t>
  </si>
  <si>
    <t>Nursing mother eight-hour breathing rate normalized to body weight</t>
  </si>
  <si>
    <t>BR/BW</t>
  </si>
  <si>
    <t>L/kg/d</t>
  </si>
  <si>
    <t>Nursing mother inhalation absorption factor</t>
  </si>
  <si>
    <t>A</t>
  </si>
  <si>
    <t>Nursing mother inhalation dose</t>
  </si>
  <si>
    <t>Biotransfer coefficient from inhalation and dermal absorption to mother's milk</t>
  </si>
  <si>
    <t>d/kg</t>
  </si>
  <si>
    <t>Biotransfer coefficient from ingestion to mother's milk</t>
  </si>
  <si>
    <t>Nursing mother body weight</t>
  </si>
  <si>
    <t>BW</t>
  </si>
  <si>
    <t>kg</t>
  </si>
  <si>
    <t>Nursing mother total inhalation and dermal dose</t>
  </si>
  <si>
    <t>Nursing mother total oral dose</t>
  </si>
  <si>
    <t>Contaminant concentration in mother's milk</t>
  </si>
  <si>
    <t>mg/kg</t>
  </si>
  <si>
    <t>Daily mother's milk ingestion rate for infants</t>
  </si>
  <si>
    <t>Infant mother's milk ingestion exposure frequency</t>
  </si>
  <si>
    <t>EF</t>
  </si>
  <si>
    <t>Dose to infant through ingestion of mother's milk</t>
  </si>
  <si>
    <t>MPAF</t>
  </si>
  <si>
    <t>Cancer inhalation toxicity reference value</t>
  </si>
  <si>
    <t>Apply early life adjustment factors?</t>
  </si>
  <si>
    <t>Inhalation residential early life adjustment factor</t>
  </si>
  <si>
    <t>ELAF</t>
  </si>
  <si>
    <t>Equals 1 if early life adjustment factors are not applied</t>
  </si>
  <si>
    <t>Inhalation cancer risk</t>
  </si>
  <si>
    <t>Oral cancer slope factor</t>
  </si>
  <si>
    <t>Exposure group total oral and dermal dose</t>
  </si>
  <si>
    <t>Exposure group age sensitivity factor</t>
  </si>
  <si>
    <t>Equals 1 for all exposure groups if early life adjustment factors are not applied</t>
  </si>
  <si>
    <t>Exposure duration</t>
  </si>
  <si>
    <t>years</t>
  </si>
  <si>
    <t>Averaging time</t>
  </si>
  <si>
    <t>AT</t>
  </si>
  <si>
    <t>Exposure group combined oral and dermal cancer risk</t>
  </si>
  <si>
    <t>Infant exposure duration for mother's milk ingestion</t>
  </si>
  <si>
    <t>Infant age sensitivity factor</t>
  </si>
  <si>
    <t>Cancer risk from mother's milk ingestion</t>
  </si>
  <si>
    <t>Combined oral and dermal cancer risk</t>
  </si>
  <si>
    <t>Multi-pathway adjustment factor</t>
  </si>
  <si>
    <t>Selected age group for maximum exposure to noncarcinogens in soil</t>
  </si>
  <si>
    <t>Residential noncancer scenario averaging time</t>
  </si>
  <si>
    <t>Exposure duration for the 0 &lt; 2 years exposure group</t>
  </si>
  <si>
    <t>Residential chronic noncancer soil ingestion dose</t>
  </si>
  <si>
    <t>Chronic noncancer dermal dose</t>
  </si>
  <si>
    <t>Residential chronic noncancer dermal dose</t>
  </si>
  <si>
    <t>Residential chronic noncancer produce ingestion dose</t>
  </si>
  <si>
    <t>Chronic noncancer inhalation toxicity reference value</t>
  </si>
  <si>
    <t>Inhalation hazard quotient</t>
  </si>
  <si>
    <t>Chronic oral reference dose</t>
  </si>
  <si>
    <t>Total oral and dermal dose</t>
  </si>
  <si>
    <t>Combined oral and dermal hazard quotient</t>
  </si>
  <si>
    <t>SD</t>
  </si>
  <si>
    <t xml:space="preserve">     2 &lt; 12 Years</t>
  </si>
  <si>
    <t>Assumes 250 days/year</t>
  </si>
  <si>
    <t>Inhalation nonresidential early life adjustment factor</t>
  </si>
  <si>
    <t>Nonresident adjustment factor, child cancer</t>
  </si>
  <si>
    <t>childNRAFc</t>
  </si>
  <si>
    <t>Nonresident child noncancer scenario averaging time</t>
  </si>
  <si>
    <t>Chronic noncancer soil ingestion dose</t>
  </si>
  <si>
    <t>Available for site-specific calculations</t>
  </si>
  <si>
    <t>Exposure group chronic noncancer dermal dose</t>
  </si>
  <si>
    <t>Nonresident adjustment factor, child noncancer</t>
  </si>
  <si>
    <t>childNRAFnc</t>
  </si>
  <si>
    <t>Worker soil ingestion rate</t>
  </si>
  <si>
    <t>SIR</t>
  </si>
  <si>
    <t>Worker exposure frequency</t>
  </si>
  <si>
    <t>Worker dose from soil ingestion</t>
  </si>
  <si>
    <t>Worker annual dermal load</t>
  </si>
  <si>
    <t>ADL</t>
  </si>
  <si>
    <t>Worker dermal dose</t>
  </si>
  <si>
    <t>Worker air concentration adjustment factor</t>
  </si>
  <si>
    <t>WAF</t>
  </si>
  <si>
    <t>Adjusted air concentration</t>
  </si>
  <si>
    <t>Nonresident adjustment factor, worker cancer</t>
  </si>
  <si>
    <t>workerNRAFc</t>
  </si>
  <si>
    <t>Worker age sensitivity factor</t>
  </si>
  <si>
    <t>ASF</t>
  </si>
  <si>
    <t>Worker exposure duration</t>
  </si>
  <si>
    <t>ED</t>
  </si>
  <si>
    <t>Combined worker oral and dermal cancer risk</t>
  </si>
  <si>
    <t>Worker noncancer scenario averaging time</t>
  </si>
  <si>
    <t>Exposure duration for the worker exposure group</t>
  </si>
  <si>
    <t>Worker chronic noncancer soil ingestion dose</t>
  </si>
  <si>
    <t>Worker chronic noncancer dermal dose</t>
  </si>
  <si>
    <t>Nonresident adjustment factor, worker noncancer</t>
  </si>
  <si>
    <t>workerNRAFnc</t>
  </si>
  <si>
    <t>CASRN or DEQ Sequence ID</t>
  </si>
  <si>
    <t>Contaminant Name</t>
  </si>
  <si>
    <t>Contaminant Key</t>
  </si>
  <si>
    <t>Chronic Noncancer Inhalation TRV (ug/m3)</t>
  </si>
  <si>
    <t>Chronic
Oral RfD (mg/kg/d)</t>
  </si>
  <si>
    <t>Half-life (d)</t>
  </si>
  <si>
    <t>Root Vegetation
Root Uptake Factor (dimensionless)</t>
  </si>
  <si>
    <t>Leafy Vegetation
Root Uptake Factor (dimensionless)</t>
  </si>
  <si>
    <t>Protected Vegetation
Root Uptake Factor (dimensionless)</t>
  </si>
  <si>
    <t>Exposed Vegetation
Root Uptake Factor (dimensionless)</t>
  </si>
  <si>
    <t>Gastrointestinal Relative Absorption Fraction (dimensionless)</t>
  </si>
  <si>
    <t>Fraction Absorbed Across Skin (dimensionless)</t>
  </si>
  <si>
    <t>Biotransfer coefficient from inhalation and dermal absorption to mother's milk
(d/kg)</t>
  </si>
  <si>
    <t>Biotransfer coefficient from ingestion to mother's milk
(d/kg)</t>
  </si>
  <si>
    <t>Evaluate crop consumption pathway?</t>
  </si>
  <si>
    <t>Evaluate mother's milk pathway?</t>
  </si>
  <si>
    <t>Residential Early Life Adjustment Factor</t>
  </si>
  <si>
    <t>Non-residential Early Life Adjustment Factor</t>
  </si>
  <si>
    <t>cPAH Relative Potency Factor</t>
  </si>
  <si>
    <t xml:space="preserve">Default Parameter Source   </t>
  </si>
  <si>
    <t>Nov 2024 DEQ Proposed Noncancer TRVs</t>
  </si>
  <si>
    <t>Nov 2024 DEQ Oral Reference Doses</t>
  </si>
  <si>
    <t>Nov 2024 DEQ Proposed Cancer TRVs</t>
  </si>
  <si>
    <t>Nov 2024 DEQ Oral Cancer Slope Factors</t>
  </si>
  <si>
    <t>OEHHA (2015) Table 5.2</t>
  </si>
  <si>
    <t>OEHHA (2015)
Table 5.13 and DEQ proposed values from EPA RSL table</t>
  </si>
  <si>
    <t>OEHHA (2015) Table 5.5</t>
  </si>
  <si>
    <t>NA</t>
  </si>
  <si>
    <t>DEQ (2022) Appendix D Equation D.2 and Table D-1</t>
  </si>
  <si>
    <t>DEQ (2022) Appendix D Equation D.3 and Table D-1</t>
  </si>
  <si>
    <t>RPF</t>
  </si>
  <si>
    <t>7440-38-2</t>
  </si>
  <si>
    <t>Arsenic and inorganic compounds</t>
  </si>
  <si>
    <t>7440-43-9</t>
  </si>
  <si>
    <t>Cadmium and compounds</t>
  </si>
  <si>
    <t>16065-83-1</t>
  </si>
  <si>
    <t>Chromium, trivalent and compounds (insoluble particulate)</t>
  </si>
  <si>
    <t>No</t>
  </si>
  <si>
    <t>1034</t>
  </si>
  <si>
    <t>Chromium, trivalent and compounds (soluble)</t>
  </si>
  <si>
    <t>18540-29-9</t>
  </si>
  <si>
    <t>Chromium VI, chromate and dichromate particulate</t>
  </si>
  <si>
    <t>7440-48-4</t>
  </si>
  <si>
    <t>Cobalt and compounds (insoluble particulate)</t>
  </si>
  <si>
    <t>1011</t>
  </si>
  <si>
    <t>Cobalt and compounds (soluble)</t>
  </si>
  <si>
    <t>117-81-7</t>
  </si>
  <si>
    <t>bis(2-Ethylhexyl) phthalate (DEHP)</t>
  </si>
  <si>
    <t>Fluoride and inorganic compounds</t>
  </si>
  <si>
    <t>608-73-1</t>
  </si>
  <si>
    <t>Hexachlorocyclohexanes (mixture) including but not limited to:</t>
  </si>
  <si>
    <t>319-84-6</t>
  </si>
  <si>
    <t>alpha-Hexachlorocyclohexane</t>
  </si>
  <si>
    <t>319-85-7</t>
  </si>
  <si>
    <t>beta-Hexachlorocyclohexane</t>
  </si>
  <si>
    <t>58-89-9</t>
  </si>
  <si>
    <t>gamma-Hexachlorocyclohexane {Lindane}</t>
  </si>
  <si>
    <t>7664-39-3</t>
  </si>
  <si>
    <t>Hydrogen fluoride</t>
  </si>
  <si>
    <t>7439-92-1</t>
  </si>
  <si>
    <t>Lead and compounds</t>
  </si>
  <si>
    <t>7439-97-6</t>
  </si>
  <si>
    <t>Mercury and inorganic compounds</t>
  </si>
  <si>
    <t>101-77-9</t>
  </si>
  <si>
    <t>4,4'-Methylenedianiline (and its dichloride)</t>
  </si>
  <si>
    <t>27619-97-2</t>
  </si>
  <si>
    <t>6:2 Fluorotelomer sulfonic acid (6:2 FTS)</t>
  </si>
  <si>
    <t>13252-13-6</t>
  </si>
  <si>
    <t>Hexafluoropropylene oxide dimer acid (HFPO-DA/Gen-X)</t>
  </si>
  <si>
    <t>375-73-5</t>
  </si>
  <si>
    <t>Perfluorobutanesulfonic acid (PFBS)</t>
  </si>
  <si>
    <t>375-22-4</t>
  </si>
  <si>
    <t>Perfluorobutanoic acid (PFBA)</t>
  </si>
  <si>
    <t>19430-93-4</t>
  </si>
  <si>
    <t>Perfluorobutylethylene (PFBE)</t>
  </si>
  <si>
    <t>335-76-2</t>
  </si>
  <si>
    <t>Perfluorodecanoic acid (PFDA)</t>
  </si>
  <si>
    <t>307-55-1</t>
  </si>
  <si>
    <t>Perfluorododecanoic acid (PFDoA)</t>
  </si>
  <si>
    <t>355-46-4</t>
  </si>
  <si>
    <t>Perfluorohexanesulfonic acid (PFHxS)</t>
  </si>
  <si>
    <t>307-24-4</t>
  </si>
  <si>
    <t>Perfluorohexanoic acid (PFHxA)</t>
  </si>
  <si>
    <t>375-95-1</t>
  </si>
  <si>
    <t>Perfluorononanoic acid (PFNA)</t>
  </si>
  <si>
    <t>754-91-6</t>
  </si>
  <si>
    <t>Perfluorooctanesulfonamide (PFOSA)</t>
  </si>
  <si>
    <t>1763-23-1</t>
  </si>
  <si>
    <t>Perfluorooctanesulfonic acid (PFOS)</t>
  </si>
  <si>
    <t>335-67-1</t>
  </si>
  <si>
    <t>Perfluorooctanoic acid (PFOA)</t>
  </si>
  <si>
    <t>1068</t>
  </si>
  <si>
    <t>Polybrominated dibenzo-p-dioxins (PBDDs) &amp; dibenzofurans (PBDFs) TEQ</t>
  </si>
  <si>
    <t>1336-36-3</t>
  </si>
  <si>
    <t>Total Polychlorinated Biphenyls (PCBs), evaporated mixtures</t>
  </si>
  <si>
    <t>1746-01-6</t>
  </si>
  <si>
    <t>2,3,7,8-Tetrachlorodibenzo-p-dioxin (TCDD)</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</si>
  <si>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</si>
  <si>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</si>
  <si>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</si>
  <si>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</si>
  <si>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</si>
  <si>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</si>
  <si>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</si>
  <si>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</si>
  <si>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</si>
  <si>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</si>
  <si>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</si>
  <si>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</si>
  <si>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</si>
  <si>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</si>
  <si>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</si>
  <si>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</si>
  <si>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</si>
  <si>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</si>
  <si>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218-01-9</t>
  </si>
  <si>
    <t>Chrysene</t>
  </si>
  <si>
    <t>27208-37-3</t>
  </si>
  <si>
    <t>Cyclopenta[c,d]pyrene</t>
  </si>
  <si>
    <t>226-36-8</t>
  </si>
  <si>
    <t>Dibenz[a,h]acridine</t>
  </si>
  <si>
    <t>224-42-0</t>
  </si>
  <si>
    <t>Dibenz[a,j]acridine</t>
  </si>
  <si>
    <t>194-59-2</t>
  </si>
  <si>
    <t>7H-Dibenzo[c,g]carbazole</t>
  </si>
  <si>
    <t>53-70-3</t>
  </si>
  <si>
    <t>Dibenz[a,h]anthracene</t>
  </si>
  <si>
    <t>192-65-4</t>
  </si>
  <si>
    <t>Dibenzo[a,e]pyrene</t>
  </si>
  <si>
    <t>189-64-0</t>
  </si>
  <si>
    <t>Dibenzo[a,h]pyrene</t>
  </si>
  <si>
    <t>189-55-9</t>
  </si>
  <si>
    <t>Dibenzo[a,i]pyrene</t>
  </si>
  <si>
    <t>191-30-0</t>
  </si>
  <si>
    <t>Dibenzo[a,l]pyrene</t>
  </si>
  <si>
    <t>57-97-6</t>
  </si>
  <si>
    <t>7,12-Dimethylbenz[a]anthracene</t>
  </si>
  <si>
    <t>42397-64-8</t>
  </si>
  <si>
    <t>1,6-Dinitropyrene</t>
  </si>
  <si>
    <t>42397-65-9</t>
  </si>
  <si>
    <t>1,8-Dinitropyrene</t>
  </si>
  <si>
    <t>206-44-0</t>
  </si>
  <si>
    <t>Fluoranthene</t>
  </si>
  <si>
    <t>193-39-5</t>
  </si>
  <si>
    <t>Indeno[1,2,3-cd]pyrene</t>
  </si>
  <si>
    <t>56-49-5</t>
  </si>
  <si>
    <t>3-Methylcholanthrene</t>
  </si>
  <si>
    <t>3697-24-3</t>
  </si>
  <si>
    <t>5-Methylchrysene</t>
  </si>
  <si>
    <t>90-12-0</t>
  </si>
  <si>
    <t>1-Methylnaphthalene</t>
  </si>
  <si>
    <t>91-57-6</t>
  </si>
  <si>
    <t>2-Methylnaphthalene</t>
  </si>
  <si>
    <t>91-20-3</t>
  </si>
  <si>
    <t>Naphthalene</t>
  </si>
  <si>
    <t>602-87-9</t>
  </si>
  <si>
    <t>5-Nitroacenaphthene</t>
  </si>
  <si>
    <t>7496-02-8</t>
  </si>
  <si>
    <t>6-Nitrochrysene</t>
  </si>
  <si>
    <t>607-57-8</t>
  </si>
  <si>
    <t>2-Nitrofluorene</t>
  </si>
  <si>
    <t>5522-43-0</t>
  </si>
  <si>
    <t>1-Nitropyrene</t>
  </si>
  <si>
    <t>57835-92-4</t>
  </si>
  <si>
    <t>4-Nitropyrene</t>
  </si>
  <si>
    <t>198-55-0</t>
  </si>
  <si>
    <t>Perylene</t>
  </si>
  <si>
    <t>Total Polycyclic aromatic hydrocarbons (PAHs)</t>
  </si>
  <si>
    <t>7782-49-2</t>
  </si>
  <si>
    <t>Selenium and compounds</t>
  </si>
  <si>
    <t>7440-61-1</t>
  </si>
  <si>
    <t>Uranium and compounds (insoluble particulate)</t>
  </si>
  <si>
    <t>1065</t>
  </si>
  <si>
    <t>Uranium and compounds (soluble)</t>
  </si>
  <si>
    <t>Note</t>
  </si>
  <si>
    <t>For some of the cPAHs, oral cancer slope factors were calculated using relative potency factors in column W.</t>
  </si>
  <si>
    <t>Default Parameter Source</t>
  </si>
  <si>
    <t>Applicable Scenarios</t>
  </si>
  <si>
    <t>All</t>
  </si>
  <si>
    <t>OEHHA (2015) Equation 5.3.2.A notes</t>
  </si>
  <si>
    <t>70 years</t>
  </si>
  <si>
    <t>OEHHA (2015) Equation 5.3.2.B notes</t>
  </si>
  <si>
    <t>Non-residential scenario soil mixing depth</t>
  </si>
  <si>
    <t>Worker, nonresident child</t>
  </si>
  <si>
    <t>Playground setting soil mixing depth</t>
  </si>
  <si>
    <t>Residential</t>
  </si>
  <si>
    <t>Agricultural setting soil mixing depth</t>
  </si>
  <si>
    <t>Averaging time for lifetime exposure in cancer scenarios</t>
  </si>
  <si>
    <t>OEHHA (2015) Section 5.4 and 8.2 equation notes</t>
  </si>
  <si>
    <t>Averaging time for residential noncancer scenarios</t>
  </si>
  <si>
    <t>Default 0 &lt; 2 years exposure duration</t>
  </si>
  <si>
    <t>Averaging time for worker noncancer scenarios</t>
  </si>
  <si>
    <t>Default worker exposure duration</t>
  </si>
  <si>
    <t>Worker</t>
  </si>
  <si>
    <t>Averaging time for nonresident child noncancer scenarios</t>
  </si>
  <si>
    <t>Nonresident child</t>
  </si>
  <si>
    <t>Residential cancer scenario exposure frequency</t>
  </si>
  <si>
    <t>OEHHA (2015) Section 5.4 Equation Notes</t>
  </si>
  <si>
    <t>Assumes 350 days/365 days (1-year)</t>
  </si>
  <si>
    <t>Worker cancer scenario exposure frequency</t>
  </si>
  <si>
    <t>Assumes 250 days/365 days (1-year)</t>
  </si>
  <si>
    <t>Nonresident children cancer scenario exposure frequency</t>
  </si>
  <si>
    <t>OEHHA (2015) Equation 5.3.4.1.B notes</t>
  </si>
  <si>
    <t>Root crop interception fraction</t>
  </si>
  <si>
    <t>Leafy crop interception fraction</t>
  </si>
  <si>
    <t>Protected crop interception fraction</t>
  </si>
  <si>
    <t>Exposed crop interception fraction</t>
  </si>
  <si>
    <t>Root crop growth period</t>
  </si>
  <si>
    <t>Leafy crop growth period</t>
  </si>
  <si>
    <t>Protected crop growth period</t>
  </si>
  <si>
    <t>Exposed crop growth period</t>
  </si>
  <si>
    <t>OEHHA (2015) Table 5.17 average total of vegetables and fruits for households that garden</t>
  </si>
  <si>
    <t>OEHHA (2015) Table 5.8. Recommended value specified in Equation 5.3.4.4 notes</t>
  </si>
  <si>
    <t>OEHHA (2015) Equation 5.4.1.1 and Equation 5.4.1.2 notes</t>
  </si>
  <si>
    <t>Assumes 365 days/365 days (1-year)</t>
  </si>
  <si>
    <t>OEHHA (2015) Table 5.22 mean</t>
  </si>
  <si>
    <t>OEHHA (2015) Equation 5.4.3.5.1 notes</t>
  </si>
  <si>
    <t>Assumes 365 days / 365 days</t>
  </si>
  <si>
    <t>Infant mother's milk ingestion exposure duration</t>
  </si>
  <si>
    <t>OEHHA (2015) Equation 8.2.7 notes</t>
  </si>
  <si>
    <t>Infant mother's milk age sensitivity factor</t>
  </si>
  <si>
    <t>OEHHA (2015) Table 5.10 for continuous exposure</t>
  </si>
  <si>
    <t>Nonresident adjustment factor, worker cancer (workerNRAFc)</t>
  </si>
  <si>
    <t>DEQ (2022) Appendix C Equation C.3</t>
  </si>
  <si>
    <t>Nonresident adjustment factor, worker noncancer (workerNRAFnc)</t>
  </si>
  <si>
    <t>DEQ (2022) Appendix C Equation C.1</t>
  </si>
  <si>
    <t>Nonresident adjustment factor, child cancer (childNRAFc)</t>
  </si>
  <si>
    <t>DEQ (2022) Appendix C Equation C.2</t>
  </si>
  <si>
    <t>Nonresidential child</t>
  </si>
  <si>
    <t>Nonresident adjustment factor, child noncancer (childNRAFnc)</t>
  </si>
  <si>
    <t>Exposure Group</t>
  </si>
  <si>
    <t>Soil Ingestion Rate (mg/kg BW-day)</t>
  </si>
  <si>
    <t>Exposure Duration (years)</t>
  </si>
  <si>
    <t>Root Crop Consumption (g/kg/d)</t>
  </si>
  <si>
    <t>Leafy Crop Consumption (g/kg/d)</t>
  </si>
  <si>
    <t>Protected Crop Consumption (g/kg/d)</t>
  </si>
  <si>
    <t>Exposed Crop Consumption (g/kg/d)</t>
  </si>
  <si>
    <t>Annual Dermal Load
(mg/kg/yr)</t>
  </si>
  <si>
    <t>Age Sensitivity Factor (dimensionless)</t>
  </si>
  <si>
    <t>Time-weighted average estimates from OHA and ATSDR</t>
  </si>
  <si>
    <t>OEHHA (2015)
Table 5.11
warm climate means</t>
  </si>
  <si>
    <t>OEHHA (2015) Table 8.3</t>
  </si>
  <si>
    <t>3rd Trimester</t>
  </si>
  <si>
    <t>0 &lt; 2 Years</t>
  </si>
  <si>
    <t>2 &lt; 12 Years</t>
  </si>
  <si>
    <t>2 &lt; 16 Years</t>
  </si>
  <si>
    <t>Nursing mother</t>
  </si>
  <si>
    <t>7440-38-2 | Arsenic and inorganic compounds</t>
  </si>
  <si>
    <t>Total days of soil accumulation</t>
  </si>
  <si>
    <t>Calculation of Bioaccumulation Factors for PFAS</t>
  </si>
  <si>
    <t>Dry soil mass fraction</t>
  </si>
  <si>
    <t>EPA 2025, page 55, footnote 13</t>
  </si>
  <si>
    <t>Root Crop</t>
  </si>
  <si>
    <t>Leafy Crop</t>
  </si>
  <si>
    <t>Protected Fuit</t>
  </si>
  <si>
    <t>Exposed Fruit</t>
  </si>
  <si>
    <t>Source</t>
  </si>
  <si>
    <t>MAF</t>
  </si>
  <si>
    <t>EPA 2025, Table 11, moisture adjustment factor</t>
  </si>
  <si>
    <t>1-MAF</t>
  </si>
  <si>
    <t>Calculated Bioconcentration Factor</t>
  </si>
  <si>
    <t>Comment</t>
  </si>
  <si>
    <t>PFOS</t>
  </si>
  <si>
    <t>BCFdd</t>
  </si>
  <si>
    <t>Source:</t>
  </si>
  <si>
    <t>EPA 2025, Table 13, root vegetables</t>
  </si>
  <si>
    <t>EPA 2025, Table 13, vegetables (above ground)</t>
  </si>
  <si>
    <t>EPA 2025, Table 13, fruit</t>
  </si>
  <si>
    <t>BCFdw</t>
  </si>
  <si>
    <t>BCFdd / Dry soil mass fraction</t>
  </si>
  <si>
    <t>BCFww</t>
  </si>
  <si>
    <t>BCFdw / (1 - MAF)</t>
  </si>
  <si>
    <t>PFOA</t>
  </si>
  <si>
    <t>PFBA</t>
  </si>
  <si>
    <t>Blaine 2014, Table S6, Radish RCF</t>
  </si>
  <si>
    <t>Median of pot celery SCF (49.49 from Blaine 2014 Table S6), pot lettuce industrially impacted soil (56.8 from Blaine 2013 Table 2), and pot lettuce municipal soil (28.4 from Blaine  2013 Table 2)</t>
  </si>
  <si>
    <t>Median of Blaine 2014 Table S6 tomato FCF (12.16) and pea FCF (32.07)</t>
  </si>
  <si>
    <t>PFBS</t>
  </si>
  <si>
    <t>Blaine 2014 Table S6</t>
  </si>
  <si>
    <t>Median of pot celery SCF (2.21 from Blaine 2014 Table S6), pot lettuce industrially impacted soil (4.22 from Blaine 2013 Table 2), and pot lettuce municipal soil (14.5 from Blaine 2013 Table 2)</t>
  </si>
  <si>
    <t>Median of Blaine 2014 Table S6 tomato FCF (0.42) and pea FCF (0.33)</t>
  </si>
  <si>
    <t>PFHxA</t>
  </si>
  <si>
    <t>Median of pot celery SCF (11.91 from Blaine  2014 Table S6, pot lettuce industrially impacted soil (9.90 from Blaine 2013 Table 2), and pot lettuce municipal soil (11.7 from Blaine 2013 Table 2)</t>
  </si>
  <si>
    <t>Median of Blaine 2014 Table S6 tomato FCF (2.9) and pea FCF (1.47)</t>
  </si>
  <si>
    <t>PFDA</t>
  </si>
  <si>
    <t>LOQ</t>
  </si>
  <si>
    <t>Median of pot celery SCF (0.32 from Blaine  2014 Table S6), pot lettuce industrially impacted soil (0.52 from Blaine 2013 Table 2), and pot lettuce municipal soil (0.34 from Blaine 2013 Table 2)</t>
  </si>
  <si>
    <t>No value because below LOQ for tomato and pea FCFs, Blaine 2014 Table S6</t>
  </si>
  <si>
    <t>Notes:</t>
  </si>
  <si>
    <t>MAF =</t>
  </si>
  <si>
    <t>Moisture adjustment factor (fraction water)</t>
  </si>
  <si>
    <t>1 - MAF =</t>
  </si>
  <si>
    <t>Fraction solid</t>
  </si>
  <si>
    <t>BCF =</t>
  </si>
  <si>
    <t>Bioconcentration factor, soil to plant</t>
  </si>
  <si>
    <t>dd =</t>
  </si>
  <si>
    <t>Dry weight plant / dry weight soil</t>
  </si>
  <si>
    <t>dw =</t>
  </si>
  <si>
    <t>Dry weight plant / wet weight soil</t>
  </si>
  <si>
    <t>BCFdw = BCFdd / 0.87 (solid fraction of soil)</t>
  </si>
  <si>
    <t xml:space="preserve">ww = </t>
  </si>
  <si>
    <t>Wet weight plant / wet weight soil</t>
  </si>
  <si>
    <t>BCFww = BCFdw * (1 - MAF)</t>
  </si>
  <si>
    <t>RCF =</t>
  </si>
  <si>
    <t>Root concentration factor (mg/kg root / mg/kg soil)</t>
  </si>
  <si>
    <t>SCF =</t>
  </si>
  <si>
    <t>Shoot concentration factor (mg/kg shoot / mg/kg soil)</t>
  </si>
  <si>
    <t>FCF =</t>
  </si>
  <si>
    <t>Fruit concentration factor (mg/kg fruit / mg/kg soil)</t>
  </si>
  <si>
    <t>References:</t>
  </si>
  <si>
    <t>EPA 2025</t>
  </si>
  <si>
    <t>U.S. EPA Draft Sewage Sludge Risk Assessment for Perfluorooctanoic Acid (PFOA) and Perfluorooctane Sulfonic Acid (PFOS)</t>
  </si>
  <si>
    <t>Blaine 2013</t>
  </si>
  <si>
    <t>Blaine, A. C., Rich, C. D., Hundal, L. S., Lau, C., Mills, M. A., Harris, K. M. &amp; Higgins, C. P. (2013)</t>
  </si>
  <si>
    <t>Uptake of perfluoroalkyl acids into edible crops via land applied biosolids: field and greenhouse studies. Environmental Science &amp; Technology, 47, 14062–14069.</t>
  </si>
  <si>
    <t>Blaine 2014</t>
  </si>
  <si>
    <t>Blaine, A. C., Rich, C. D., Sedlacko, E. M., Hundal, L. S., Kumar, K., Lau, C., Mills, M. A., Harris, K. M., &amp; Higgins, C. P. (2014)</t>
  </si>
  <si>
    <t xml:space="preserve"> Perfluoroalkyl acid distribution in various plant compartments of edible crops grown in biosolids-amended soils. Environmental Science &amp; Technology, 48, 7858–7865</t>
  </si>
  <si>
    <t>PFAS:</t>
  </si>
  <si>
    <t>Gen-X</t>
  </si>
  <si>
    <t>Hexafluoropropylene oxide dimer acid (HPFO-DA/Gen-X)</t>
  </si>
  <si>
    <t>Perflurodecanoic acid</t>
  </si>
  <si>
    <t>PFDoA</t>
  </si>
  <si>
    <t>Perfluorododecanoic acid</t>
  </si>
  <si>
    <t>Perfluorohexanoic acid</t>
  </si>
  <si>
    <t>Perfluorooctanoic acid</t>
  </si>
  <si>
    <t>Perfluorooctanesulfonate</t>
  </si>
  <si>
    <t>PFOSA</t>
  </si>
  <si>
    <t>Perfluoro-1-octanesulfonamide</t>
  </si>
  <si>
    <t>6:2FTS</t>
  </si>
  <si>
    <t>1H,1H,2H,2H-Perfluorooctanesulfonic acid</t>
  </si>
  <si>
    <t>PFBE</t>
  </si>
  <si>
    <r>
      <rPr>
        <sz val="20"/>
        <color theme="1"/>
        <rFont val="Arial"/>
        <family val="2"/>
      </rPr>
      <t xml:space="preserve">Table of Contents and Instructions for </t>
    </r>
    <r>
      <rPr>
        <b/>
        <sz val="20"/>
        <color theme="1"/>
        <rFont val="Arial"/>
        <family val="2"/>
      </rPr>
      <t>Multi-Pathway Adjustment Factor (MPAF) Calculator</t>
    </r>
  </si>
  <si>
    <r>
      <t xml:space="preserve">Date: </t>
    </r>
    <r>
      <rPr>
        <sz val="11"/>
        <color theme="1"/>
        <rFont val="Arial"/>
        <family val="2"/>
      </rPr>
      <t>1-5-2026</t>
    </r>
  </si>
  <si>
    <r>
      <rPr>
        <b/>
        <sz val="11"/>
        <color theme="1"/>
        <rFont val="Arial"/>
        <family val="2"/>
      </rPr>
      <t>Author</t>
    </r>
    <r>
      <rPr>
        <sz val="11"/>
        <color theme="1"/>
        <rFont val="Arial"/>
        <family val="2"/>
      </rPr>
      <t>: Oregon Department of Environmental Quality (DEQ)</t>
    </r>
  </si>
  <si>
    <r>
      <t>The Oregon Department of Environmental Quality (DEQ) Cleaner Air Oregon (CAO) Program regulates emissions of Toxic Air Contaminants (TACs) from Oregon facilities. DEQ uses Toxicity Reference Values (TRVs) to estimate human health risks of emissions from these facilities. For carcinogens, TRVs are the contaminant concentrations in air that correspond with an excess cancer risk of one-in-one million. For noncarcinogens, TRVs are the contaminant air concentrations</t>
    </r>
    <r>
      <rPr>
        <sz val="11"/>
        <rFont val="Arial"/>
        <family val="2"/>
      </rPr>
      <t xml:space="preserve"> below which adverse effects to humans are unlikey to occur.</t>
    </r>
    <r>
      <rPr>
        <sz val="11"/>
        <color theme="1"/>
        <rFont val="Arial"/>
        <family val="2"/>
      </rPr>
      <t xml:space="preserve">
The CAO program uses TRVs to develop Risk Based Concentrations (RBCs), which are regulatory risk thresholds derived from standard exposure scenarios above which facilities are required to take action. To fully address potential risks from facilities that emit persistent and/or bioaccumulative air contaminants, the scenarios used to derive RBCs consider exposures both from air inhalation and from other pathways, such as soil ingestion and dermal contact. DEQ uses multipathway adjustment factors (MPAFs) to account for these additional pathways when developing RBCs and in TAC health risk assessments. 
When the CAO program was established in 2018, DEQ considered developing MPAFs specific to Oregon but determined that the agency had neither the time nor the resources to do so. After evaluating MPAFs from other agencies, including from the Minnesota Pollution Control Agency (MPCA 2016) and California’s South Coast Air Quality Management District (SCAQMD 2016), DEQ decided to use MPAFs developed by SCAQMD because of the large list of contaminants they evaluated and the extensive modeling they performed to develop their MPAFs. However, because exposure conditions at Oregon facilities may not be the same as those used to derive the original MPAFs, DEQ developed this workbook to support calculation of new MPAFs. </t>
    </r>
  </si>
  <si>
    <r>
      <t xml:space="preserve">DEQ calculated MPAFs for the following six exposure scenarios:
• Residential cancer
• Residential noncancer
• Worker cancer
• Worker noncancer
• Nonresident child cancer
• Nonresident child noncancer
The calculated MPAFs account for the following processes and exposure pathways:
• Inhalation of TACs in air (all scenarios)
• Deposition of TACs to soil and exposure through </t>
    </r>
    <r>
      <rPr>
        <sz val="11"/>
        <rFont val="Arial"/>
        <family val="2"/>
      </rPr>
      <t>incidental</t>
    </r>
    <r>
      <rPr>
        <sz val="11"/>
        <color rgb="FFFF0000"/>
        <rFont val="Arial"/>
        <family val="2"/>
      </rPr>
      <t xml:space="preserve"> </t>
    </r>
    <r>
      <rPr>
        <sz val="11"/>
        <color theme="1"/>
        <rFont val="Arial"/>
        <family val="2"/>
      </rPr>
      <t>soil ingestion and dermal contact (all scenarios)
• Uptake of TACs into garden vegetables and exposure through ingestion of garden vegetables (residential scenarios only)
• Bioaccumulation of TACs in women and exposure through infant ingestion of mother's milk (residential scenarios only)</t>
    </r>
  </si>
  <si>
    <r>
      <t>To calculate MPAFs for a contaminant, navigate to the MPAFs worksheet and select the contaminant from the "CASRN or DEQ Sequence ID | Contaminant Name" dropdown menu under the Input Data heading. Each of the six exposure scenarios has its own worksheet that contains all the supporting calculations for the scenario. Once you have selected a contaminant, the calculations will occur automatically in the exposure scenario worksheets, and the MPAF calculation results will be summarized in the table under the Output Data heading of the MPAFs worksheet. 
All worksheets in this workbook are password protected to avoid accidental modification. Similarly, the workbook itself is also password protected. The password for both the workbook and the worksheets is "</t>
    </r>
    <r>
      <rPr>
        <b/>
        <sz val="11"/>
        <color theme="1"/>
        <rFont val="Arial"/>
        <family val="2"/>
      </rPr>
      <t>MPAF</t>
    </r>
    <r>
      <rPr>
        <sz val="11"/>
        <color theme="1"/>
        <rFont val="Arial"/>
        <family val="2"/>
      </rPr>
      <t xml:space="preserve">". To unprotect the workbook or worksheets so that they can be modified, click the Review tab in the ribbon, and click either the "Unprotect Sheet" or "Unprotect Workbook" option in the Protect group. In the popup menu that appears, enter "MPAF" (in all caps and without the quotation marks) and click ok. Once desired changes are made, the worksheet can be Protected again with the same password. 
The exposure scenarios use default chemical properties and parameter values that are consistent across scenarios. None of the default parameter values are hard-coded into the exposure scenario worksheets. Instead, the parameter values are stored in the "ChemicalProperties", "ScenarioParameters", and "ExposureGroupParameters" worksheets, and are referenced from the scenario worksheets using formulas. For site-specific evaluations, change the values on the properties and parameters worksheets rather than overwriting the formulas in the exposure scenario worksheets to ensure that consistent parameter values are used across scenarios. New chemicals can be entered on the "ChemicalProperties" worksheet by inserting them into or appending them after the existing chemical list.
</t>
    </r>
  </si>
  <si>
    <r>
      <t>MPAFs</t>
    </r>
    <r>
      <rPr>
        <sz val="11"/>
        <color theme="1"/>
        <rFont val="Arial"/>
        <family val="2"/>
      </rPr>
      <t>: Summary sheet showing the contaminant MPAFs calculated in the six exposure scenarios evaluated.</t>
    </r>
  </si>
  <si>
    <r>
      <t>ResidentialCancer</t>
    </r>
    <r>
      <rPr>
        <sz val="11"/>
        <color theme="1"/>
        <rFont val="Arial"/>
        <family val="2"/>
      </rPr>
      <t>: Concentration, dose, and MPAF calculations for the residential cancer exposure scenario</t>
    </r>
    <r>
      <rPr>
        <i/>
        <sz val="11"/>
        <color theme="1"/>
        <rFont val="Arial"/>
        <family val="2"/>
      </rPr>
      <t>.</t>
    </r>
  </si>
  <si>
    <r>
      <t>ResidentialNoncancer</t>
    </r>
    <r>
      <rPr>
        <sz val="11"/>
        <color theme="1"/>
        <rFont val="Arial"/>
        <family val="2"/>
      </rPr>
      <t>: Concentration, dose, and MPAF calculations for the residential noncancer exposure scenario.</t>
    </r>
  </si>
  <si>
    <r>
      <t>WorkerCancer</t>
    </r>
    <r>
      <rPr>
        <sz val="11"/>
        <color theme="1"/>
        <rFont val="Arial"/>
        <family val="2"/>
      </rPr>
      <t>: Concentration, dose, and MPAF calculations for the worker cancer exposure scenario</t>
    </r>
    <r>
      <rPr>
        <i/>
        <sz val="11"/>
        <color theme="1"/>
        <rFont val="Arial"/>
        <family val="2"/>
      </rPr>
      <t>.</t>
    </r>
  </si>
  <si>
    <r>
      <t>WorkerNoncancer</t>
    </r>
    <r>
      <rPr>
        <sz val="11"/>
        <color theme="1"/>
        <rFont val="Arial"/>
        <family val="2"/>
      </rPr>
      <t>: Concentration, dose, and MPAF calculations for the worker noncancer exposure scenario.</t>
    </r>
  </si>
  <si>
    <r>
      <t>NonresidentChildCancer</t>
    </r>
    <r>
      <rPr>
        <sz val="11"/>
        <color theme="1"/>
        <rFont val="Arial"/>
        <family val="2"/>
      </rPr>
      <t>: Concentration, dose, and MPAF calculations for the nonresident child cancer exposure scenario</t>
    </r>
    <r>
      <rPr>
        <i/>
        <sz val="11"/>
        <color theme="1"/>
        <rFont val="Arial"/>
        <family val="2"/>
      </rPr>
      <t>.</t>
    </r>
  </si>
  <si>
    <r>
      <t>NonresidentChildNoncancer</t>
    </r>
    <r>
      <rPr>
        <sz val="11"/>
        <color theme="1"/>
        <rFont val="Arial"/>
        <family val="2"/>
      </rPr>
      <t>: Concentration, dose, and MPAF calculations for the nonresident child noncancer exposure scenario.</t>
    </r>
  </si>
  <si>
    <r>
      <t>ChemicalProperties</t>
    </r>
    <r>
      <rPr>
        <sz val="11"/>
        <color theme="1"/>
        <rFont val="Arial"/>
        <family val="2"/>
      </rPr>
      <t>: Chemical-specific properties (TRVs, plant uptake factors, etc.) used to calculate MPAFs across exposure scenarios</t>
    </r>
    <r>
      <rPr>
        <i/>
        <sz val="11"/>
        <color theme="1"/>
        <rFont val="Arial"/>
        <family val="2"/>
      </rPr>
      <t>.</t>
    </r>
  </si>
  <si>
    <r>
      <t>ScenarioParameters</t>
    </r>
    <r>
      <rPr>
        <sz val="11"/>
        <color theme="1"/>
        <rFont val="Arial"/>
        <family val="2"/>
      </rPr>
      <t>: Exposure scenario parameters (TAC deposition parameters, exposure frequencies, etc.) used to calculate MPAFs across exposure scenarios</t>
    </r>
    <r>
      <rPr>
        <i/>
        <sz val="11"/>
        <color theme="1"/>
        <rFont val="Arial"/>
        <family val="2"/>
      </rPr>
      <t>.</t>
    </r>
  </si>
  <si>
    <r>
      <t>ExposureGroupParameters</t>
    </r>
    <r>
      <rPr>
        <sz val="11"/>
        <color theme="1"/>
        <rFont val="Arial"/>
        <family val="2"/>
      </rPr>
      <t>: Exposure group parameters (soil ingestion rates, annual dermal loads, etc.) used to calculate MPAFs across exposure scenarios</t>
    </r>
    <r>
      <rPr>
        <i/>
        <sz val="11"/>
        <color theme="1"/>
        <rFont val="Arial"/>
        <family val="2"/>
      </rPr>
      <t>.</t>
    </r>
  </si>
  <si>
    <r>
      <t>PFAS BAF</t>
    </r>
    <r>
      <rPr>
        <sz val="11"/>
        <color theme="1"/>
        <rFont val="Arial"/>
        <family val="2"/>
      </rPr>
      <t>: Derivation of plant uptake factors for per- and polyfluoroalkyl substances used to calculate MPAFs.</t>
    </r>
  </si>
  <si>
    <r>
      <t>C</t>
    </r>
    <r>
      <rPr>
        <b/>
        <vertAlign val="subscript"/>
        <sz val="11"/>
        <rFont val="Arial"/>
        <family val="2"/>
      </rPr>
      <t>air</t>
    </r>
  </si>
  <si>
    <r>
      <t>C</t>
    </r>
    <r>
      <rPr>
        <b/>
        <vertAlign val="subscript"/>
        <sz val="11"/>
        <color theme="1"/>
        <rFont val="Arial"/>
        <family val="2"/>
      </rPr>
      <t>air</t>
    </r>
  </si>
  <si>
    <r>
      <t>µg/m</t>
    </r>
    <r>
      <rPr>
        <b/>
        <vertAlign val="superscript"/>
        <sz val="11"/>
        <color theme="1"/>
        <rFont val="Arial"/>
        <family val="2"/>
      </rPr>
      <t>3</t>
    </r>
  </si>
  <si>
    <r>
      <t>C</t>
    </r>
    <r>
      <rPr>
        <b/>
        <vertAlign val="subscript"/>
        <sz val="11"/>
        <rFont val="Arial"/>
        <family val="2"/>
      </rPr>
      <t>soil</t>
    </r>
  </si>
  <si>
    <r>
      <t>t</t>
    </r>
    <r>
      <rPr>
        <vertAlign val="subscript"/>
        <sz val="11"/>
        <color theme="1"/>
        <rFont val="Arial"/>
        <family val="2"/>
      </rPr>
      <t>1/2</t>
    </r>
  </si>
  <si>
    <r>
      <t>K</t>
    </r>
    <r>
      <rPr>
        <vertAlign val="subscript"/>
        <sz val="11"/>
        <color theme="1"/>
        <rFont val="Arial"/>
        <family val="2"/>
      </rPr>
      <t>s</t>
    </r>
  </si>
  <si>
    <r>
      <t>d</t>
    </r>
    <r>
      <rPr>
        <vertAlign val="superscript"/>
        <sz val="11"/>
        <color theme="1"/>
        <rFont val="Arial"/>
        <family val="2"/>
      </rPr>
      <t>-1</t>
    </r>
  </si>
  <si>
    <r>
      <t>OEHHA (2015) Equation 5.3.2.D:
K</t>
    </r>
    <r>
      <rPr>
        <vertAlign val="subscript"/>
        <sz val="11"/>
        <color theme="1"/>
        <rFont val="Arial"/>
        <family val="2"/>
      </rPr>
      <t>s</t>
    </r>
    <r>
      <rPr>
        <sz val="11"/>
        <color theme="1"/>
        <rFont val="Arial"/>
        <family val="2"/>
      </rPr>
      <t xml:space="preserve"> = ln(2) / t</t>
    </r>
    <r>
      <rPr>
        <vertAlign val="subscript"/>
        <sz val="11"/>
        <color theme="1"/>
        <rFont val="Arial"/>
        <family val="2"/>
      </rPr>
      <t>1/2</t>
    </r>
  </si>
  <si>
    <r>
      <t>T</t>
    </r>
    <r>
      <rPr>
        <vertAlign val="subscript"/>
        <sz val="11"/>
        <color theme="1"/>
        <rFont val="Arial"/>
        <family val="2"/>
      </rPr>
      <t>o</t>
    </r>
  </si>
  <si>
    <r>
      <t>T</t>
    </r>
    <r>
      <rPr>
        <vertAlign val="subscript"/>
        <sz val="11"/>
        <color theme="1"/>
        <rFont val="Arial"/>
        <family val="2"/>
      </rPr>
      <t>f</t>
    </r>
  </si>
  <si>
    <r>
      <t>T</t>
    </r>
    <r>
      <rPr>
        <vertAlign val="subscript"/>
        <sz val="11"/>
        <color theme="1"/>
        <rFont val="Arial"/>
        <family val="2"/>
      </rPr>
      <t>t</t>
    </r>
  </si>
  <si>
    <r>
      <t>T</t>
    </r>
    <r>
      <rPr>
        <vertAlign val="subscript"/>
        <sz val="11"/>
        <color theme="1"/>
        <rFont val="Arial"/>
        <family val="2"/>
      </rPr>
      <t>t</t>
    </r>
    <r>
      <rPr>
        <sz val="11"/>
        <color theme="1"/>
        <rFont val="Arial"/>
        <family val="2"/>
      </rPr>
      <t xml:space="preserve"> = T</t>
    </r>
    <r>
      <rPr>
        <vertAlign val="subscript"/>
        <sz val="11"/>
        <color theme="1"/>
        <rFont val="Arial"/>
        <family val="2"/>
      </rPr>
      <t>f</t>
    </r>
    <r>
      <rPr>
        <sz val="11"/>
        <color theme="1"/>
        <rFont val="Arial"/>
        <family val="2"/>
      </rPr>
      <t xml:space="preserve"> - T</t>
    </r>
    <r>
      <rPr>
        <vertAlign val="subscript"/>
        <sz val="11"/>
        <color theme="1"/>
        <rFont val="Arial"/>
        <family val="2"/>
      </rPr>
      <t>o</t>
    </r>
  </si>
  <si>
    <r>
      <t>OEHHA (2015) Equation 5.3.2.C:
X = [{e</t>
    </r>
    <r>
      <rPr>
        <vertAlign val="superscript"/>
        <sz val="11"/>
        <color theme="1"/>
        <rFont val="Arial"/>
        <family val="2"/>
      </rPr>
      <t>-Ks × Tf</t>
    </r>
    <r>
      <rPr>
        <sz val="11"/>
        <color theme="1"/>
        <rFont val="Arial"/>
        <family val="2"/>
      </rPr>
      <t xml:space="preserve"> - e </t>
    </r>
    <r>
      <rPr>
        <vertAlign val="superscript"/>
        <sz val="11"/>
        <color theme="1"/>
        <rFont val="Arial"/>
        <family val="2"/>
      </rPr>
      <t>-Ks × To</t>
    </r>
    <r>
      <rPr>
        <sz val="11"/>
        <color theme="1"/>
        <rFont val="Arial"/>
        <family val="2"/>
      </rPr>
      <t>} / Ks] + Tt</t>
    </r>
  </si>
  <si>
    <r>
      <t>µg/m</t>
    </r>
    <r>
      <rPr>
        <vertAlign val="superscript"/>
        <sz val="11"/>
        <color theme="1"/>
        <rFont val="Arial"/>
        <family val="2"/>
      </rPr>
      <t>2</t>
    </r>
    <r>
      <rPr>
        <sz val="11"/>
        <color theme="1"/>
        <rFont val="Arial"/>
        <family val="2"/>
      </rPr>
      <t>-d</t>
    </r>
  </si>
  <si>
    <r>
      <t>OEHHA (2015) Equation 5.3.2 B:
Dep = C</t>
    </r>
    <r>
      <rPr>
        <vertAlign val="subscript"/>
        <sz val="11"/>
        <color theme="1"/>
        <rFont val="Arial"/>
        <family val="2"/>
      </rPr>
      <t>air</t>
    </r>
    <r>
      <rPr>
        <sz val="11"/>
        <color theme="1"/>
        <rFont val="Arial"/>
        <family val="2"/>
      </rPr>
      <t xml:space="preserve"> × Dep-rate × [86400 sec/d]</t>
    </r>
  </si>
  <si>
    <r>
      <t>kg/m</t>
    </r>
    <r>
      <rPr>
        <vertAlign val="superscript"/>
        <sz val="11"/>
        <color theme="1"/>
        <rFont val="Arial"/>
        <family val="2"/>
      </rPr>
      <t>3</t>
    </r>
  </si>
  <si>
    <r>
      <t>SD</t>
    </r>
    <r>
      <rPr>
        <vertAlign val="subscript"/>
        <sz val="11"/>
        <color theme="1"/>
        <rFont val="Arial"/>
        <family val="2"/>
      </rPr>
      <t>playground</t>
    </r>
  </si>
  <si>
    <r>
      <t>SD</t>
    </r>
    <r>
      <rPr>
        <vertAlign val="subscript"/>
        <sz val="11"/>
        <color theme="1"/>
        <rFont val="Arial"/>
        <family val="2"/>
      </rPr>
      <t>agricultural</t>
    </r>
  </si>
  <si>
    <r>
      <t>OEHHA (2015) Equation 5.3.2 A:
C</t>
    </r>
    <r>
      <rPr>
        <b/>
        <vertAlign val="subscript"/>
        <sz val="11"/>
        <color theme="1"/>
        <rFont val="Arial"/>
        <family val="2"/>
      </rPr>
      <t xml:space="preserve">soil </t>
    </r>
    <r>
      <rPr>
        <b/>
        <sz val="11"/>
        <color theme="1"/>
        <rFont val="Arial"/>
        <family val="2"/>
      </rPr>
      <t>= Dep × X / (K</t>
    </r>
    <r>
      <rPr>
        <b/>
        <vertAlign val="subscript"/>
        <sz val="11"/>
        <color theme="1"/>
        <rFont val="Arial"/>
        <family val="2"/>
      </rPr>
      <t>s</t>
    </r>
    <r>
      <rPr>
        <b/>
        <sz val="11"/>
        <color theme="1"/>
        <rFont val="Arial"/>
        <family val="2"/>
      </rPr>
      <t xml:space="preserve"> × SD × BD × T</t>
    </r>
    <r>
      <rPr>
        <b/>
        <vertAlign val="subscript"/>
        <sz val="11"/>
        <color theme="1"/>
        <rFont val="Arial"/>
        <family val="2"/>
      </rPr>
      <t>t</t>
    </r>
    <r>
      <rPr>
        <b/>
        <sz val="11"/>
        <color theme="1"/>
        <rFont val="Arial"/>
        <family val="2"/>
      </rPr>
      <t>)</t>
    </r>
  </si>
  <si>
    <r>
      <t>C</t>
    </r>
    <r>
      <rPr>
        <b/>
        <vertAlign val="subscript"/>
        <sz val="11"/>
        <color theme="1"/>
        <rFont val="Arial"/>
        <family val="2"/>
      </rPr>
      <t>soil (playground)</t>
    </r>
  </si>
  <si>
    <r>
      <t>C</t>
    </r>
    <r>
      <rPr>
        <b/>
        <vertAlign val="subscript"/>
        <sz val="11"/>
        <color theme="1"/>
        <rFont val="Arial"/>
        <family val="2"/>
      </rPr>
      <t>soil (agricultural)</t>
    </r>
  </si>
  <si>
    <r>
      <t>DOSE</t>
    </r>
    <r>
      <rPr>
        <b/>
        <vertAlign val="subscript"/>
        <sz val="11"/>
        <rFont val="Arial"/>
        <family val="2"/>
      </rPr>
      <t>soil</t>
    </r>
  </si>
  <si>
    <r>
      <t xml:space="preserve">     3</t>
    </r>
    <r>
      <rPr>
        <vertAlign val="superscript"/>
        <sz val="11"/>
        <color theme="1"/>
        <rFont val="Arial"/>
        <family val="2"/>
      </rPr>
      <t>rd</t>
    </r>
    <r>
      <rPr>
        <sz val="11"/>
        <color theme="1"/>
        <rFont val="Arial"/>
        <family val="2"/>
      </rPr>
      <t xml:space="preserve"> Trimester</t>
    </r>
  </si>
  <si>
    <r>
      <t>SIR</t>
    </r>
    <r>
      <rPr>
        <vertAlign val="subscript"/>
        <sz val="11"/>
        <color theme="1"/>
        <rFont val="Arial"/>
        <family val="2"/>
      </rPr>
      <t>3rd trimester</t>
    </r>
  </si>
  <si>
    <r>
      <t>SIR</t>
    </r>
    <r>
      <rPr>
        <vertAlign val="subscript"/>
        <sz val="11"/>
        <color theme="1"/>
        <rFont val="Arial"/>
        <family val="2"/>
      </rPr>
      <t>0 &lt; 2 years</t>
    </r>
  </si>
  <si>
    <r>
      <t>SIR</t>
    </r>
    <r>
      <rPr>
        <vertAlign val="subscript"/>
        <sz val="11"/>
        <color theme="1"/>
        <rFont val="Arial"/>
        <family val="2"/>
      </rPr>
      <t>2 &lt; 16 years</t>
    </r>
  </si>
  <si>
    <t xml:space="preserve">     16 – 70 Years</t>
  </si>
  <si>
    <r>
      <t>SIR</t>
    </r>
    <r>
      <rPr>
        <vertAlign val="subscript"/>
        <sz val="11"/>
        <color theme="1"/>
        <rFont val="Arial"/>
        <family val="2"/>
      </rPr>
      <t>16 – 70 years</t>
    </r>
  </si>
  <si>
    <r>
      <t>SIR</t>
    </r>
    <r>
      <rPr>
        <vertAlign val="subscript"/>
        <sz val="11"/>
        <color theme="1"/>
        <rFont val="Arial"/>
        <family val="2"/>
      </rPr>
      <t>nursing mother</t>
    </r>
  </si>
  <si>
    <r>
      <t>OEHHA (2015) Equation 5.4.3.1.1:
DOSE</t>
    </r>
    <r>
      <rPr>
        <b/>
        <vertAlign val="subscript"/>
        <sz val="11"/>
        <rFont val="Arial"/>
        <family val="2"/>
      </rPr>
      <t>soil (exposure group)</t>
    </r>
    <r>
      <rPr>
        <b/>
        <sz val="11"/>
        <rFont val="Arial"/>
        <family val="2"/>
      </rPr>
      <t xml:space="preserve"> = C</t>
    </r>
    <r>
      <rPr>
        <b/>
        <vertAlign val="subscript"/>
        <sz val="11"/>
        <rFont val="Arial"/>
        <family val="2"/>
      </rPr>
      <t>soil (playground)</t>
    </r>
    <r>
      <rPr>
        <b/>
        <sz val="11"/>
        <rFont val="Arial"/>
        <family val="2"/>
      </rPr>
      <t xml:space="preserve"> × GRAF × SIR × [10</t>
    </r>
    <r>
      <rPr>
        <b/>
        <vertAlign val="superscript"/>
        <sz val="11"/>
        <rFont val="Arial"/>
        <family val="2"/>
      </rPr>
      <t>-9</t>
    </r>
    <r>
      <rPr>
        <b/>
        <sz val="11"/>
        <rFont val="Arial"/>
        <family val="2"/>
      </rPr>
      <t xml:space="preserve"> kg/µg] × EF</t>
    </r>
  </si>
  <si>
    <r>
      <t xml:space="preserve">     3</t>
    </r>
    <r>
      <rPr>
        <b/>
        <vertAlign val="superscript"/>
        <sz val="11"/>
        <color theme="1"/>
        <rFont val="Arial"/>
        <family val="2"/>
      </rPr>
      <t>rd</t>
    </r>
    <r>
      <rPr>
        <b/>
        <sz val="11"/>
        <color theme="1"/>
        <rFont val="Arial"/>
        <family val="2"/>
      </rPr>
      <t xml:space="preserve"> Trimester</t>
    </r>
  </si>
  <si>
    <r>
      <t>DOSE</t>
    </r>
    <r>
      <rPr>
        <b/>
        <vertAlign val="subscript"/>
        <sz val="11"/>
        <color theme="1"/>
        <rFont val="Arial"/>
        <family val="2"/>
      </rPr>
      <t>soil (3rd trimester)</t>
    </r>
  </si>
  <si>
    <r>
      <t>DOSE</t>
    </r>
    <r>
      <rPr>
        <b/>
        <vertAlign val="subscript"/>
        <sz val="11"/>
        <color theme="1"/>
        <rFont val="Arial"/>
        <family val="2"/>
      </rPr>
      <t>soil (0 &lt; 2 years)</t>
    </r>
  </si>
  <si>
    <r>
      <t>DOSE</t>
    </r>
    <r>
      <rPr>
        <b/>
        <vertAlign val="subscript"/>
        <sz val="11"/>
        <color theme="1"/>
        <rFont val="Arial"/>
        <family val="2"/>
      </rPr>
      <t>soil (2 &lt; 16 years)</t>
    </r>
  </si>
  <si>
    <r>
      <t>DOSE</t>
    </r>
    <r>
      <rPr>
        <b/>
        <vertAlign val="subscript"/>
        <sz val="11"/>
        <color theme="1"/>
        <rFont val="Arial"/>
        <family val="2"/>
      </rPr>
      <t>soil (16 – 70 years)</t>
    </r>
  </si>
  <si>
    <r>
      <t>DOSE</t>
    </r>
    <r>
      <rPr>
        <b/>
        <vertAlign val="subscript"/>
        <sz val="11"/>
        <color theme="1"/>
        <rFont val="Arial"/>
        <family val="2"/>
      </rPr>
      <t>soil (nursing mother)</t>
    </r>
  </si>
  <si>
    <r>
      <t>DOSE</t>
    </r>
    <r>
      <rPr>
        <b/>
        <vertAlign val="subscript"/>
        <sz val="11"/>
        <rFont val="Arial"/>
        <family val="2"/>
      </rPr>
      <t>dermal</t>
    </r>
  </si>
  <si>
    <r>
      <t>ADL</t>
    </r>
    <r>
      <rPr>
        <vertAlign val="subscript"/>
        <sz val="11"/>
        <color theme="1"/>
        <rFont val="Arial"/>
        <family val="2"/>
      </rPr>
      <t>3rd trimester</t>
    </r>
  </si>
  <si>
    <r>
      <t>ADL</t>
    </r>
    <r>
      <rPr>
        <vertAlign val="subscript"/>
        <sz val="11"/>
        <color theme="1"/>
        <rFont val="Arial"/>
        <family val="2"/>
      </rPr>
      <t>0 &lt; 2 years</t>
    </r>
  </si>
  <si>
    <r>
      <t>ADL</t>
    </r>
    <r>
      <rPr>
        <vertAlign val="subscript"/>
        <sz val="11"/>
        <color theme="1"/>
        <rFont val="Arial"/>
        <family val="2"/>
      </rPr>
      <t>2 &lt; 16 years</t>
    </r>
  </si>
  <si>
    <r>
      <t>ADL</t>
    </r>
    <r>
      <rPr>
        <vertAlign val="subscript"/>
        <sz val="11"/>
        <color theme="1"/>
        <rFont val="Arial"/>
        <family val="2"/>
      </rPr>
      <t>16 – 70 years</t>
    </r>
  </si>
  <si>
    <r>
      <t>ADL</t>
    </r>
    <r>
      <rPr>
        <vertAlign val="subscript"/>
        <sz val="11"/>
        <color theme="1"/>
        <rFont val="Arial"/>
        <family val="2"/>
      </rPr>
      <t>nursing mother</t>
    </r>
  </si>
  <si>
    <r>
      <t>OEHHA (2015) Equation 5.4.2.1:
DOSE</t>
    </r>
    <r>
      <rPr>
        <b/>
        <vertAlign val="subscript"/>
        <sz val="11"/>
        <color theme="1"/>
        <rFont val="Arial"/>
        <family val="2"/>
      </rPr>
      <t>dermal</t>
    </r>
    <r>
      <rPr>
        <b/>
        <sz val="11"/>
        <color theme="1"/>
        <rFont val="Arial"/>
        <family val="2"/>
      </rPr>
      <t xml:space="preserve"> = ADL × C</t>
    </r>
    <r>
      <rPr>
        <b/>
        <vertAlign val="subscript"/>
        <sz val="11"/>
        <color theme="1"/>
        <rFont val="Arial"/>
        <family val="2"/>
      </rPr>
      <t>soil (playground)</t>
    </r>
    <r>
      <rPr>
        <b/>
        <sz val="11"/>
        <color theme="1"/>
        <rFont val="Arial"/>
        <family val="2"/>
      </rPr>
      <t xml:space="preserve"> × ABS × [10</t>
    </r>
    <r>
      <rPr>
        <b/>
        <vertAlign val="superscript"/>
        <sz val="11"/>
        <color theme="1"/>
        <rFont val="Arial"/>
        <family val="2"/>
      </rPr>
      <t>-9</t>
    </r>
    <r>
      <rPr>
        <b/>
        <sz val="11"/>
        <color theme="1"/>
        <rFont val="Arial"/>
        <family val="2"/>
      </rPr>
      <t xml:space="preserve"> kg/µg] / [365 d/yr]</t>
    </r>
  </si>
  <si>
    <r>
      <t>DOSE</t>
    </r>
    <r>
      <rPr>
        <b/>
        <vertAlign val="subscript"/>
        <sz val="11"/>
        <color theme="1"/>
        <rFont val="Arial"/>
        <family val="2"/>
      </rPr>
      <t>dermal (3rd trimester)</t>
    </r>
  </si>
  <si>
    <r>
      <t>DOSE</t>
    </r>
    <r>
      <rPr>
        <b/>
        <vertAlign val="subscript"/>
        <sz val="11"/>
        <color theme="1"/>
        <rFont val="Arial"/>
        <family val="2"/>
      </rPr>
      <t>dermal (0 &lt; 2 years)</t>
    </r>
  </si>
  <si>
    <r>
      <t>DOSE</t>
    </r>
    <r>
      <rPr>
        <b/>
        <vertAlign val="subscript"/>
        <sz val="11"/>
        <color theme="1"/>
        <rFont val="Arial"/>
        <family val="2"/>
      </rPr>
      <t>dermal (2 &lt; 16 years)</t>
    </r>
  </si>
  <si>
    <r>
      <t>DOSE</t>
    </r>
    <r>
      <rPr>
        <b/>
        <vertAlign val="subscript"/>
        <sz val="11"/>
        <color theme="1"/>
        <rFont val="Arial"/>
        <family val="2"/>
      </rPr>
      <t>dermal (16 – 70 years)</t>
    </r>
  </si>
  <si>
    <r>
      <t>DOSE</t>
    </r>
    <r>
      <rPr>
        <b/>
        <vertAlign val="subscript"/>
        <sz val="11"/>
        <color theme="1"/>
        <rFont val="Arial"/>
        <family val="2"/>
      </rPr>
      <t>dermal (nursing mother)</t>
    </r>
  </si>
  <si>
    <r>
      <t>C</t>
    </r>
    <r>
      <rPr>
        <b/>
        <vertAlign val="subscript"/>
        <sz val="11"/>
        <rFont val="Arial"/>
        <family val="2"/>
      </rPr>
      <t>v</t>
    </r>
  </si>
  <si>
    <r>
      <t>kg/m</t>
    </r>
    <r>
      <rPr>
        <vertAlign val="superscript"/>
        <sz val="11"/>
        <color theme="1"/>
        <rFont val="Arial"/>
        <family val="2"/>
      </rPr>
      <t>2</t>
    </r>
  </si>
  <si>
    <r>
      <t>IF</t>
    </r>
    <r>
      <rPr>
        <vertAlign val="subscript"/>
        <sz val="11"/>
        <color theme="1"/>
        <rFont val="Arial"/>
        <family val="2"/>
      </rPr>
      <t>root</t>
    </r>
  </si>
  <si>
    <r>
      <t>IF</t>
    </r>
    <r>
      <rPr>
        <vertAlign val="subscript"/>
        <sz val="11"/>
        <color theme="1"/>
        <rFont val="Arial"/>
        <family val="2"/>
      </rPr>
      <t>leafy</t>
    </r>
  </si>
  <si>
    <r>
      <t>IF</t>
    </r>
    <r>
      <rPr>
        <vertAlign val="subscript"/>
        <sz val="11"/>
        <color theme="1"/>
        <rFont val="Arial"/>
        <family val="2"/>
      </rPr>
      <t>protected</t>
    </r>
  </si>
  <si>
    <r>
      <t>IF</t>
    </r>
    <r>
      <rPr>
        <vertAlign val="subscript"/>
        <sz val="11"/>
        <color theme="1"/>
        <rFont val="Arial"/>
        <family val="2"/>
      </rPr>
      <t>exposed</t>
    </r>
  </si>
  <si>
    <r>
      <t>T</t>
    </r>
    <r>
      <rPr>
        <vertAlign val="subscript"/>
        <sz val="11"/>
        <color theme="1"/>
        <rFont val="Arial"/>
        <family val="2"/>
      </rPr>
      <t>root</t>
    </r>
  </si>
  <si>
    <r>
      <t>T</t>
    </r>
    <r>
      <rPr>
        <vertAlign val="subscript"/>
        <sz val="11"/>
        <color theme="1"/>
        <rFont val="Arial"/>
        <family val="2"/>
      </rPr>
      <t>leafy</t>
    </r>
  </si>
  <si>
    <r>
      <t>T</t>
    </r>
    <r>
      <rPr>
        <vertAlign val="subscript"/>
        <sz val="11"/>
        <color theme="1"/>
        <rFont val="Arial"/>
        <family val="2"/>
      </rPr>
      <t>protected</t>
    </r>
  </si>
  <si>
    <r>
      <t>T</t>
    </r>
    <r>
      <rPr>
        <vertAlign val="subscript"/>
        <sz val="11"/>
        <color theme="1"/>
        <rFont val="Arial"/>
        <family val="2"/>
      </rPr>
      <t>exposed</t>
    </r>
  </si>
  <si>
    <r>
      <t>OEHHA (2015) Equation 5.3.4.1 B:
C</t>
    </r>
    <r>
      <rPr>
        <vertAlign val="subscript"/>
        <sz val="11"/>
        <color theme="1"/>
        <rFont val="Arial"/>
        <family val="2"/>
      </rPr>
      <t>depv</t>
    </r>
    <r>
      <rPr>
        <sz val="11"/>
        <color theme="1"/>
        <rFont val="Arial"/>
        <family val="2"/>
      </rPr>
      <t xml:space="preserve"> = [Dep × IF / (k × Y)] × (1-e</t>
    </r>
    <r>
      <rPr>
        <vertAlign val="superscript"/>
        <sz val="11"/>
        <color theme="1"/>
        <rFont val="Arial"/>
        <family val="2"/>
      </rPr>
      <t>-kT</t>
    </r>
    <r>
      <rPr>
        <sz val="11"/>
        <color theme="1"/>
        <rFont val="Arial"/>
        <family val="2"/>
      </rPr>
      <t>)</t>
    </r>
  </si>
  <si>
    <r>
      <t>C</t>
    </r>
    <r>
      <rPr>
        <vertAlign val="subscript"/>
        <sz val="11"/>
        <color theme="1"/>
        <rFont val="Arial"/>
        <family val="2"/>
      </rPr>
      <t>depv (root)</t>
    </r>
  </si>
  <si>
    <r>
      <t>C</t>
    </r>
    <r>
      <rPr>
        <vertAlign val="subscript"/>
        <sz val="11"/>
        <color theme="1"/>
        <rFont val="Arial"/>
        <family val="2"/>
      </rPr>
      <t>depv (leafy)</t>
    </r>
  </si>
  <si>
    <r>
      <t>C</t>
    </r>
    <r>
      <rPr>
        <vertAlign val="subscript"/>
        <sz val="11"/>
        <color theme="1"/>
        <rFont val="Arial"/>
        <family val="2"/>
      </rPr>
      <t>depv (protected)</t>
    </r>
  </si>
  <si>
    <r>
      <t>C</t>
    </r>
    <r>
      <rPr>
        <vertAlign val="subscript"/>
        <sz val="11"/>
        <color theme="1"/>
        <rFont val="Arial"/>
        <family val="2"/>
      </rPr>
      <t>depv (exposed)</t>
    </r>
  </si>
  <si>
    <r>
      <t>UF</t>
    </r>
    <r>
      <rPr>
        <vertAlign val="subscript"/>
        <sz val="11"/>
        <color theme="1"/>
        <rFont val="Arial"/>
        <family val="2"/>
      </rPr>
      <t>root</t>
    </r>
  </si>
  <si>
    <r>
      <t>UF</t>
    </r>
    <r>
      <rPr>
        <vertAlign val="subscript"/>
        <sz val="11"/>
        <color theme="1"/>
        <rFont val="Arial"/>
        <family val="2"/>
      </rPr>
      <t>leafy</t>
    </r>
  </si>
  <si>
    <r>
      <t>UF</t>
    </r>
    <r>
      <rPr>
        <vertAlign val="subscript"/>
        <sz val="11"/>
        <color theme="1"/>
        <rFont val="Arial"/>
        <family val="2"/>
      </rPr>
      <t>protected</t>
    </r>
  </si>
  <si>
    <r>
      <t>UF</t>
    </r>
    <r>
      <rPr>
        <vertAlign val="subscript"/>
        <sz val="11"/>
        <color theme="1"/>
        <rFont val="Arial"/>
        <family val="2"/>
      </rPr>
      <t>exposed</t>
    </r>
  </si>
  <si>
    <r>
      <t>OEHHA (2015) Equation 5.3.4.1 C:
C</t>
    </r>
    <r>
      <rPr>
        <vertAlign val="subscript"/>
        <sz val="11"/>
        <color theme="1"/>
        <rFont val="Arial"/>
        <family val="2"/>
      </rPr>
      <t>trans</t>
    </r>
    <r>
      <rPr>
        <sz val="11"/>
        <color theme="1"/>
        <rFont val="Arial"/>
        <family val="2"/>
      </rPr>
      <t xml:space="preserve"> = C</t>
    </r>
    <r>
      <rPr>
        <vertAlign val="subscript"/>
        <sz val="11"/>
        <color theme="1"/>
        <rFont val="Arial"/>
        <family val="2"/>
      </rPr>
      <t>soil (agricultural)</t>
    </r>
    <r>
      <rPr>
        <sz val="11"/>
        <color theme="1"/>
        <rFont val="Arial"/>
        <family val="2"/>
      </rPr>
      <t xml:space="preserve"> × UF</t>
    </r>
  </si>
  <si>
    <r>
      <t>C</t>
    </r>
    <r>
      <rPr>
        <vertAlign val="subscript"/>
        <sz val="11"/>
        <color theme="1"/>
        <rFont val="Arial"/>
        <family val="2"/>
      </rPr>
      <t>trans (root)</t>
    </r>
  </si>
  <si>
    <r>
      <t>C</t>
    </r>
    <r>
      <rPr>
        <vertAlign val="subscript"/>
        <sz val="11"/>
        <color theme="1"/>
        <rFont val="Arial"/>
        <family val="2"/>
      </rPr>
      <t>trans (leafy)</t>
    </r>
  </si>
  <si>
    <r>
      <t>C</t>
    </r>
    <r>
      <rPr>
        <vertAlign val="subscript"/>
        <sz val="11"/>
        <color theme="1"/>
        <rFont val="Arial"/>
        <family val="2"/>
      </rPr>
      <t>trans (protected)</t>
    </r>
  </si>
  <si>
    <r>
      <t>C</t>
    </r>
    <r>
      <rPr>
        <vertAlign val="subscript"/>
        <sz val="11"/>
        <color theme="1"/>
        <rFont val="Arial"/>
        <family val="2"/>
      </rPr>
      <t>trans (exposed)</t>
    </r>
  </si>
  <si>
    <r>
      <t>OEHHA (2015) Equation 5.3.4.1.A:
C</t>
    </r>
    <r>
      <rPr>
        <b/>
        <vertAlign val="subscript"/>
        <sz val="11"/>
        <color theme="1"/>
        <rFont val="Arial"/>
        <family val="2"/>
      </rPr>
      <t>v</t>
    </r>
    <r>
      <rPr>
        <b/>
        <sz val="11"/>
        <color theme="1"/>
        <rFont val="Arial"/>
        <family val="2"/>
      </rPr>
      <t xml:space="preserve"> = C</t>
    </r>
    <r>
      <rPr>
        <b/>
        <vertAlign val="subscript"/>
        <sz val="11"/>
        <color theme="1"/>
        <rFont val="Arial"/>
        <family val="2"/>
      </rPr>
      <t>depv</t>
    </r>
    <r>
      <rPr>
        <b/>
        <sz val="11"/>
        <color theme="1"/>
        <rFont val="Arial"/>
        <family val="2"/>
      </rPr>
      <t xml:space="preserve"> + C</t>
    </r>
    <r>
      <rPr>
        <b/>
        <vertAlign val="subscript"/>
        <sz val="11"/>
        <color theme="1"/>
        <rFont val="Arial"/>
        <family val="2"/>
      </rPr>
      <t>trans</t>
    </r>
  </si>
  <si>
    <r>
      <t>C</t>
    </r>
    <r>
      <rPr>
        <b/>
        <vertAlign val="subscript"/>
        <sz val="11"/>
        <color theme="1"/>
        <rFont val="Arial"/>
        <family val="2"/>
      </rPr>
      <t>v (root)</t>
    </r>
  </si>
  <si>
    <r>
      <t>C</t>
    </r>
    <r>
      <rPr>
        <b/>
        <vertAlign val="subscript"/>
        <sz val="11"/>
        <color theme="1"/>
        <rFont val="Arial"/>
        <family val="2"/>
      </rPr>
      <t>v (leafy)</t>
    </r>
  </si>
  <si>
    <r>
      <t>C</t>
    </r>
    <r>
      <rPr>
        <b/>
        <vertAlign val="subscript"/>
        <sz val="11"/>
        <color theme="1"/>
        <rFont val="Arial"/>
        <family val="2"/>
      </rPr>
      <t>v (protected)</t>
    </r>
  </si>
  <si>
    <r>
      <t>C</t>
    </r>
    <r>
      <rPr>
        <b/>
        <vertAlign val="subscript"/>
        <sz val="11"/>
        <color theme="1"/>
        <rFont val="Arial"/>
        <family val="2"/>
      </rPr>
      <t>v (exposed)</t>
    </r>
  </si>
  <si>
    <r>
      <t>DOSE</t>
    </r>
    <r>
      <rPr>
        <b/>
        <vertAlign val="subscript"/>
        <sz val="11"/>
        <rFont val="Arial"/>
        <family val="2"/>
      </rPr>
      <t>prod</t>
    </r>
  </si>
  <si>
    <r>
      <t>IP</t>
    </r>
    <r>
      <rPr>
        <vertAlign val="subscript"/>
        <sz val="11"/>
        <color theme="1"/>
        <rFont val="Arial"/>
        <family val="2"/>
      </rPr>
      <t>root (3rd trimester)</t>
    </r>
  </si>
  <si>
    <r>
      <t>IP</t>
    </r>
    <r>
      <rPr>
        <vertAlign val="subscript"/>
        <sz val="11"/>
        <color theme="1"/>
        <rFont val="Arial"/>
        <family val="2"/>
      </rPr>
      <t>root (0 &lt; 2 years)</t>
    </r>
  </si>
  <si>
    <r>
      <t>IP</t>
    </r>
    <r>
      <rPr>
        <vertAlign val="subscript"/>
        <sz val="11"/>
        <color theme="1"/>
        <rFont val="Arial"/>
        <family val="2"/>
      </rPr>
      <t>root (2 &lt; 16 years)</t>
    </r>
  </si>
  <si>
    <r>
      <t>IP</t>
    </r>
    <r>
      <rPr>
        <vertAlign val="subscript"/>
        <sz val="11"/>
        <color theme="1"/>
        <rFont val="Arial"/>
        <family val="2"/>
      </rPr>
      <t>root (16 – 70 years)</t>
    </r>
  </si>
  <si>
    <r>
      <t>IP</t>
    </r>
    <r>
      <rPr>
        <vertAlign val="subscript"/>
        <sz val="11"/>
        <color theme="1"/>
        <rFont val="Arial"/>
        <family val="2"/>
      </rPr>
      <t>root (nursing mother)</t>
    </r>
  </si>
  <si>
    <r>
      <t>IP</t>
    </r>
    <r>
      <rPr>
        <vertAlign val="subscript"/>
        <sz val="11"/>
        <color theme="1"/>
        <rFont val="Arial"/>
        <family val="2"/>
      </rPr>
      <t>leafy (3rd trimester)</t>
    </r>
  </si>
  <si>
    <r>
      <t>IP</t>
    </r>
    <r>
      <rPr>
        <vertAlign val="subscript"/>
        <sz val="11"/>
        <color theme="1"/>
        <rFont val="Arial"/>
        <family val="2"/>
      </rPr>
      <t>leafy (0 &lt; 2 years)</t>
    </r>
  </si>
  <si>
    <r>
      <t>IP</t>
    </r>
    <r>
      <rPr>
        <vertAlign val="subscript"/>
        <sz val="11"/>
        <color theme="1"/>
        <rFont val="Arial"/>
        <family val="2"/>
      </rPr>
      <t>leafy (2 &lt; 16 years)</t>
    </r>
  </si>
  <si>
    <r>
      <t>IP</t>
    </r>
    <r>
      <rPr>
        <vertAlign val="subscript"/>
        <sz val="11"/>
        <color theme="1"/>
        <rFont val="Arial"/>
        <family val="2"/>
      </rPr>
      <t>leafy (16 – 70 years)</t>
    </r>
  </si>
  <si>
    <r>
      <t>IP</t>
    </r>
    <r>
      <rPr>
        <vertAlign val="subscript"/>
        <sz val="11"/>
        <color theme="1"/>
        <rFont val="Arial"/>
        <family val="2"/>
      </rPr>
      <t>leafy (nursing mother)</t>
    </r>
  </si>
  <si>
    <r>
      <t>IP</t>
    </r>
    <r>
      <rPr>
        <vertAlign val="subscript"/>
        <sz val="11"/>
        <color theme="1"/>
        <rFont val="Arial"/>
        <family val="2"/>
      </rPr>
      <t>protected (3rd trimester)</t>
    </r>
  </si>
  <si>
    <r>
      <t>IP</t>
    </r>
    <r>
      <rPr>
        <vertAlign val="subscript"/>
        <sz val="11"/>
        <color theme="1"/>
        <rFont val="Arial"/>
        <family val="2"/>
      </rPr>
      <t>protected (0 &lt; 2 years)</t>
    </r>
  </si>
  <si>
    <r>
      <t>IP</t>
    </r>
    <r>
      <rPr>
        <vertAlign val="subscript"/>
        <sz val="11"/>
        <color theme="1"/>
        <rFont val="Arial"/>
        <family val="2"/>
      </rPr>
      <t>protected (2 &lt; 16 years)</t>
    </r>
  </si>
  <si>
    <r>
      <t>IP</t>
    </r>
    <r>
      <rPr>
        <vertAlign val="subscript"/>
        <sz val="11"/>
        <color theme="1"/>
        <rFont val="Arial"/>
        <family val="2"/>
      </rPr>
      <t>protected (16 – 70 years)</t>
    </r>
  </si>
  <si>
    <r>
      <t>IP</t>
    </r>
    <r>
      <rPr>
        <vertAlign val="subscript"/>
        <sz val="11"/>
        <color theme="1"/>
        <rFont val="Arial"/>
        <family val="2"/>
      </rPr>
      <t>protected (nursing mother)</t>
    </r>
  </si>
  <si>
    <r>
      <t>IP</t>
    </r>
    <r>
      <rPr>
        <vertAlign val="subscript"/>
        <sz val="11"/>
        <color theme="1"/>
        <rFont val="Arial"/>
        <family val="2"/>
      </rPr>
      <t>exposed (3rd trimester)</t>
    </r>
  </si>
  <si>
    <r>
      <t>IP</t>
    </r>
    <r>
      <rPr>
        <vertAlign val="subscript"/>
        <sz val="11"/>
        <color theme="1"/>
        <rFont val="Arial"/>
        <family val="2"/>
      </rPr>
      <t>exposed (0 &lt; 2 years)</t>
    </r>
  </si>
  <si>
    <r>
      <t>IP</t>
    </r>
    <r>
      <rPr>
        <vertAlign val="subscript"/>
        <sz val="11"/>
        <color theme="1"/>
        <rFont val="Arial"/>
        <family val="2"/>
      </rPr>
      <t>exposed (2 &lt; 16 years)</t>
    </r>
  </si>
  <si>
    <r>
      <t>IP</t>
    </r>
    <r>
      <rPr>
        <vertAlign val="subscript"/>
        <sz val="11"/>
        <color theme="1"/>
        <rFont val="Arial"/>
        <family val="2"/>
      </rPr>
      <t>exposed (16 – 70 years)</t>
    </r>
  </si>
  <si>
    <r>
      <t>IP</t>
    </r>
    <r>
      <rPr>
        <vertAlign val="subscript"/>
        <sz val="11"/>
        <color theme="1"/>
        <rFont val="Arial"/>
        <family val="2"/>
      </rPr>
      <t>exposed (nursing mother)</t>
    </r>
  </si>
  <si>
    <r>
      <t>OEHHA (2015) Equation 5.4.3.2.1:
DOSE</t>
    </r>
    <r>
      <rPr>
        <vertAlign val="subscript"/>
        <sz val="11"/>
        <color theme="1"/>
        <rFont val="Arial"/>
        <family val="2"/>
      </rPr>
      <t>root</t>
    </r>
    <r>
      <rPr>
        <sz val="11"/>
        <color theme="1"/>
        <rFont val="Arial"/>
        <family val="2"/>
      </rPr>
      <t xml:space="preserve"> = C</t>
    </r>
    <r>
      <rPr>
        <vertAlign val="subscript"/>
        <sz val="11"/>
        <color theme="1"/>
        <rFont val="Arial"/>
        <family val="2"/>
      </rPr>
      <t>v (root)</t>
    </r>
    <r>
      <rPr>
        <sz val="11"/>
        <color theme="1"/>
        <rFont val="Arial"/>
        <family val="2"/>
      </rPr>
      <t xml:space="preserve"> × IP</t>
    </r>
    <r>
      <rPr>
        <vertAlign val="subscript"/>
        <sz val="11"/>
        <color theme="1"/>
        <rFont val="Arial"/>
        <family val="2"/>
      </rPr>
      <t>root</t>
    </r>
    <r>
      <rPr>
        <sz val="11"/>
        <color theme="1"/>
        <rFont val="Arial"/>
        <family val="2"/>
      </rPr>
      <t xml:space="preserve"> × GRAF × L × EF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</si>
  <si>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DOSE</t>
    </r>
    <r>
      <rPr>
        <vertAlign val="subscript"/>
        <sz val="11"/>
        <color theme="1"/>
        <rFont val="Arial"/>
        <family val="2"/>
      </rPr>
      <t>root (3rd trimester)</t>
    </r>
  </si>
  <si>
    <r>
      <t>DOSE</t>
    </r>
    <r>
      <rPr>
        <vertAlign val="subscript"/>
        <sz val="11"/>
        <color theme="1"/>
        <rFont val="Arial"/>
        <family val="2"/>
      </rPr>
      <t>root (0 &lt; 2 years)</t>
    </r>
  </si>
  <si>
    <r>
      <t>DOSE</t>
    </r>
    <r>
      <rPr>
        <vertAlign val="subscript"/>
        <sz val="11"/>
        <color theme="1"/>
        <rFont val="Arial"/>
        <family val="2"/>
      </rPr>
      <t>root (2 &lt; 16 years)</t>
    </r>
  </si>
  <si>
    <r>
      <t>DOSE</t>
    </r>
    <r>
      <rPr>
        <vertAlign val="subscript"/>
        <sz val="11"/>
        <color theme="1"/>
        <rFont val="Arial"/>
        <family val="2"/>
      </rPr>
      <t>root (16 – 70 years)</t>
    </r>
  </si>
  <si>
    <r>
      <t>DOSE</t>
    </r>
    <r>
      <rPr>
        <vertAlign val="subscript"/>
        <sz val="11"/>
        <color theme="1"/>
        <rFont val="Arial"/>
        <family val="2"/>
      </rPr>
      <t>root (nursing mother)</t>
    </r>
  </si>
  <si>
    <r>
      <t>OEHHA (2015) Equation 5.4.3.2.1:
DOSE</t>
    </r>
    <r>
      <rPr>
        <vertAlign val="subscript"/>
        <sz val="11"/>
        <color theme="1"/>
        <rFont val="Arial"/>
        <family val="2"/>
      </rPr>
      <t>leafy</t>
    </r>
    <r>
      <rPr>
        <sz val="11"/>
        <color theme="1"/>
        <rFont val="Arial"/>
        <family val="2"/>
      </rPr>
      <t xml:space="preserve"> = C</t>
    </r>
    <r>
      <rPr>
        <vertAlign val="subscript"/>
        <sz val="11"/>
        <color theme="1"/>
        <rFont val="Arial"/>
        <family val="2"/>
      </rPr>
      <t>v (leafy)</t>
    </r>
    <r>
      <rPr>
        <sz val="11"/>
        <color theme="1"/>
        <rFont val="Arial"/>
        <family val="2"/>
      </rPr>
      <t xml:space="preserve"> × IP</t>
    </r>
    <r>
      <rPr>
        <vertAlign val="subscript"/>
        <sz val="11"/>
        <color theme="1"/>
        <rFont val="Arial"/>
        <family val="2"/>
      </rPr>
      <t>leafy</t>
    </r>
    <r>
      <rPr>
        <sz val="11"/>
        <color theme="1"/>
        <rFont val="Arial"/>
        <family val="2"/>
      </rPr>
      <t xml:space="preserve"> × GRAF × L × EF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</si>
  <si>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DOSE</t>
    </r>
    <r>
      <rPr>
        <vertAlign val="subscript"/>
        <sz val="11"/>
        <color theme="1"/>
        <rFont val="Arial"/>
        <family val="2"/>
      </rPr>
      <t>leafy (3rd trimester)</t>
    </r>
  </si>
  <si>
    <r>
      <t>DOSE</t>
    </r>
    <r>
      <rPr>
        <vertAlign val="subscript"/>
        <sz val="11"/>
        <color theme="1"/>
        <rFont val="Arial"/>
        <family val="2"/>
      </rPr>
      <t>leafy (0 &lt; 2 years)</t>
    </r>
  </si>
  <si>
    <r>
      <t>DOSE</t>
    </r>
    <r>
      <rPr>
        <vertAlign val="subscript"/>
        <sz val="11"/>
        <color theme="1"/>
        <rFont val="Arial"/>
        <family val="2"/>
      </rPr>
      <t>leafy (2 &lt; 16 years)</t>
    </r>
  </si>
  <si>
    <r>
      <t>DOSE</t>
    </r>
    <r>
      <rPr>
        <vertAlign val="subscript"/>
        <sz val="11"/>
        <color theme="1"/>
        <rFont val="Arial"/>
        <family val="2"/>
      </rPr>
      <t>leafy (16 – 70 years)</t>
    </r>
  </si>
  <si>
    <r>
      <t>DOSE</t>
    </r>
    <r>
      <rPr>
        <vertAlign val="subscript"/>
        <sz val="11"/>
        <color theme="1"/>
        <rFont val="Arial"/>
        <family val="2"/>
      </rPr>
      <t>leafy (nursing mother)</t>
    </r>
  </si>
  <si>
    <r>
      <t>OEHHA (2015) Equation 5.4.3.2.1:
DOSE</t>
    </r>
    <r>
      <rPr>
        <vertAlign val="subscript"/>
        <sz val="11"/>
        <color theme="1"/>
        <rFont val="Arial"/>
        <family val="2"/>
      </rPr>
      <t>protected</t>
    </r>
    <r>
      <rPr>
        <sz val="11"/>
        <color theme="1"/>
        <rFont val="Arial"/>
        <family val="2"/>
      </rPr>
      <t xml:space="preserve"> = C</t>
    </r>
    <r>
      <rPr>
        <vertAlign val="subscript"/>
        <sz val="11"/>
        <color theme="1"/>
        <rFont val="Arial"/>
        <family val="2"/>
      </rPr>
      <t>v (protected)</t>
    </r>
    <r>
      <rPr>
        <sz val="11"/>
        <color theme="1"/>
        <rFont val="Arial"/>
        <family val="2"/>
      </rPr>
      <t xml:space="preserve"> × IP</t>
    </r>
    <r>
      <rPr>
        <vertAlign val="subscript"/>
        <sz val="11"/>
        <color theme="1"/>
        <rFont val="Arial"/>
        <family val="2"/>
      </rPr>
      <t>protected</t>
    </r>
    <r>
      <rPr>
        <sz val="11"/>
        <color theme="1"/>
        <rFont val="Arial"/>
        <family val="2"/>
      </rPr>
      <t xml:space="preserve"> × GRAF × L × EF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</si>
  <si>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DOSE</t>
    </r>
    <r>
      <rPr>
        <vertAlign val="subscript"/>
        <sz val="11"/>
        <color theme="1"/>
        <rFont val="Arial"/>
        <family val="2"/>
      </rPr>
      <t>protected (3rd trimester)</t>
    </r>
  </si>
  <si>
    <r>
      <t>DOSE</t>
    </r>
    <r>
      <rPr>
        <vertAlign val="subscript"/>
        <sz val="11"/>
        <color theme="1"/>
        <rFont val="Arial"/>
        <family val="2"/>
      </rPr>
      <t>protected (0 &lt; 2 years)</t>
    </r>
  </si>
  <si>
    <r>
      <t>DOSE</t>
    </r>
    <r>
      <rPr>
        <vertAlign val="subscript"/>
        <sz val="11"/>
        <color theme="1"/>
        <rFont val="Arial"/>
        <family val="2"/>
      </rPr>
      <t>protected (2 &lt; 16 years)</t>
    </r>
  </si>
  <si>
    <r>
      <t>DOSE</t>
    </r>
    <r>
      <rPr>
        <vertAlign val="subscript"/>
        <sz val="11"/>
        <color theme="1"/>
        <rFont val="Arial"/>
        <family val="2"/>
      </rPr>
      <t>protected (16 – 70 years)</t>
    </r>
  </si>
  <si>
    <r>
      <t>DOSE</t>
    </r>
    <r>
      <rPr>
        <vertAlign val="subscript"/>
        <sz val="11"/>
        <color theme="1"/>
        <rFont val="Arial"/>
        <family val="2"/>
      </rPr>
      <t>protected (nursing mother)</t>
    </r>
  </si>
  <si>
    <r>
      <t>OEHHA (2015) Equation 5.4.3.2.1:
DOSE</t>
    </r>
    <r>
      <rPr>
        <vertAlign val="subscript"/>
        <sz val="11"/>
        <color theme="1"/>
        <rFont val="Arial"/>
        <family val="2"/>
      </rPr>
      <t>exposed</t>
    </r>
    <r>
      <rPr>
        <sz val="11"/>
        <color theme="1"/>
        <rFont val="Arial"/>
        <family val="2"/>
      </rPr>
      <t xml:space="preserve"> = C</t>
    </r>
    <r>
      <rPr>
        <vertAlign val="subscript"/>
        <sz val="11"/>
        <color theme="1"/>
        <rFont val="Arial"/>
        <family val="2"/>
      </rPr>
      <t>v (exposed)</t>
    </r>
    <r>
      <rPr>
        <sz val="11"/>
        <color theme="1"/>
        <rFont val="Arial"/>
        <family val="2"/>
      </rPr>
      <t xml:space="preserve"> × IP</t>
    </r>
    <r>
      <rPr>
        <vertAlign val="subscript"/>
        <sz val="11"/>
        <color theme="1"/>
        <rFont val="Arial"/>
        <family val="2"/>
      </rPr>
      <t>exposed</t>
    </r>
    <r>
      <rPr>
        <sz val="11"/>
        <color theme="1"/>
        <rFont val="Arial"/>
        <family val="2"/>
      </rPr>
      <t xml:space="preserve"> × GRAF × L × EF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</si>
  <si>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DOSE</t>
    </r>
    <r>
      <rPr>
        <vertAlign val="subscript"/>
        <sz val="11"/>
        <color theme="1"/>
        <rFont val="Arial"/>
        <family val="2"/>
      </rPr>
      <t>exposed (3rd trimester)</t>
    </r>
  </si>
  <si>
    <r>
      <t>DOSE</t>
    </r>
    <r>
      <rPr>
        <vertAlign val="subscript"/>
        <sz val="11"/>
        <color theme="1"/>
        <rFont val="Arial"/>
        <family val="2"/>
      </rPr>
      <t>exposed (0 &lt; 2 years)</t>
    </r>
  </si>
  <si>
    <r>
      <t>DOSE</t>
    </r>
    <r>
      <rPr>
        <vertAlign val="subscript"/>
        <sz val="11"/>
        <color theme="1"/>
        <rFont val="Arial"/>
        <family val="2"/>
      </rPr>
      <t>exposed (2 &lt; 16 years)</t>
    </r>
  </si>
  <si>
    <r>
      <t>DOSE</t>
    </r>
    <r>
      <rPr>
        <vertAlign val="subscript"/>
        <sz val="11"/>
        <color theme="1"/>
        <rFont val="Arial"/>
        <family val="2"/>
      </rPr>
      <t>exposed (16 – 70 years)</t>
    </r>
  </si>
  <si>
    <r>
      <t>DOSE</t>
    </r>
    <r>
      <rPr>
        <vertAlign val="subscript"/>
        <sz val="11"/>
        <color theme="1"/>
        <rFont val="Arial"/>
        <family val="2"/>
      </rPr>
      <t>exposed (nursing mother)</t>
    </r>
  </si>
  <si>
    <r>
      <t>DOSE</t>
    </r>
    <r>
      <rPr>
        <b/>
        <vertAlign val="subscript"/>
        <sz val="11"/>
        <color theme="1"/>
        <rFont val="Arial"/>
        <family val="2"/>
      </rPr>
      <t>prod (exposure group)</t>
    </r>
    <r>
      <rPr>
        <b/>
        <sz val="11"/>
        <color theme="1"/>
        <rFont val="Arial"/>
        <family val="2"/>
      </rPr>
      <t xml:space="preserve"> = DOSE</t>
    </r>
    <r>
      <rPr>
        <b/>
        <vertAlign val="subscript"/>
        <sz val="11"/>
        <color theme="1"/>
        <rFont val="Arial"/>
        <family val="2"/>
      </rPr>
      <t>root</t>
    </r>
    <r>
      <rPr>
        <b/>
        <sz val="11"/>
        <color theme="1"/>
        <rFont val="Arial"/>
        <family val="2"/>
      </rPr>
      <t xml:space="preserve"> + DOSE</t>
    </r>
    <r>
      <rPr>
        <b/>
        <vertAlign val="subscript"/>
        <sz val="11"/>
        <color theme="1"/>
        <rFont val="Arial"/>
        <family val="2"/>
      </rPr>
      <t xml:space="preserve">leafy </t>
    </r>
    <r>
      <rPr>
        <b/>
        <sz val="11"/>
        <color theme="1"/>
        <rFont val="Arial"/>
        <family val="2"/>
      </rPr>
      <t>+ DOSE</t>
    </r>
    <r>
      <rPr>
        <b/>
        <vertAlign val="subscript"/>
        <sz val="11"/>
        <color theme="1"/>
        <rFont val="Arial"/>
        <family val="2"/>
      </rPr>
      <t xml:space="preserve">protected </t>
    </r>
    <r>
      <rPr>
        <b/>
        <sz val="11"/>
        <color theme="1"/>
        <rFont val="Arial"/>
        <family val="2"/>
      </rPr>
      <t>+ DOSE</t>
    </r>
    <r>
      <rPr>
        <b/>
        <vertAlign val="subscript"/>
        <sz val="11"/>
        <color theme="1"/>
        <rFont val="Arial"/>
        <family val="2"/>
      </rPr>
      <t>exposed</t>
    </r>
  </si>
  <si>
    <r>
      <t>DOSE</t>
    </r>
    <r>
      <rPr>
        <b/>
        <vertAlign val="subscript"/>
        <sz val="11"/>
        <color theme="1"/>
        <rFont val="Arial"/>
        <family val="2"/>
      </rPr>
      <t>prod (3rd trimester)</t>
    </r>
  </si>
  <si>
    <r>
      <t>DOSE</t>
    </r>
    <r>
      <rPr>
        <b/>
        <vertAlign val="subscript"/>
        <sz val="11"/>
        <color theme="1"/>
        <rFont val="Arial"/>
        <family val="2"/>
      </rPr>
      <t>prod (0 &lt; 2 years)</t>
    </r>
  </si>
  <si>
    <r>
      <t>DOSE</t>
    </r>
    <r>
      <rPr>
        <b/>
        <vertAlign val="subscript"/>
        <sz val="11"/>
        <color theme="1"/>
        <rFont val="Arial"/>
        <family val="2"/>
      </rPr>
      <t>prod (2 &lt; 16 years)</t>
    </r>
  </si>
  <si>
    <r>
      <t>DOSE</t>
    </r>
    <r>
      <rPr>
        <b/>
        <vertAlign val="subscript"/>
        <sz val="11"/>
        <color theme="1"/>
        <rFont val="Arial"/>
        <family val="2"/>
      </rPr>
      <t>prod (16 – 70 years)</t>
    </r>
  </si>
  <si>
    <r>
      <t>DOSE</t>
    </r>
    <r>
      <rPr>
        <b/>
        <vertAlign val="subscript"/>
        <sz val="11"/>
        <color theme="1"/>
        <rFont val="Arial"/>
        <family val="2"/>
      </rPr>
      <t>prod (nursing mother)</t>
    </r>
  </si>
  <si>
    <r>
      <t>C</t>
    </r>
    <r>
      <rPr>
        <b/>
        <vertAlign val="subscript"/>
        <sz val="11"/>
        <rFont val="Arial"/>
        <family val="2"/>
      </rPr>
      <t>m</t>
    </r>
  </si>
  <si>
    <r>
      <t>DOSE</t>
    </r>
    <r>
      <rPr>
        <vertAlign val="subscript"/>
        <sz val="11"/>
        <color theme="1"/>
        <rFont val="Arial"/>
        <family val="2"/>
      </rPr>
      <t>inhalation</t>
    </r>
  </si>
  <si>
    <r>
      <t>OEHHA (2015) Equation 5.4.1.1:
DOSE</t>
    </r>
    <r>
      <rPr>
        <vertAlign val="subscript"/>
        <sz val="11"/>
        <color theme="1"/>
        <rFont val="Arial"/>
        <family val="2"/>
      </rPr>
      <t>air</t>
    </r>
    <r>
      <rPr>
        <sz val="11"/>
        <color theme="1"/>
        <rFont val="Arial"/>
        <family val="2"/>
      </rPr>
      <t xml:space="preserve"> = C</t>
    </r>
    <r>
      <rPr>
        <vertAlign val="subscript"/>
        <sz val="11"/>
        <color theme="1"/>
        <rFont val="Arial"/>
        <family val="2"/>
      </rPr>
      <t>air</t>
    </r>
    <r>
      <rPr>
        <sz val="11"/>
        <color theme="1"/>
        <rFont val="Arial"/>
        <family val="2"/>
      </rPr>
      <t xml:space="preserve"> × BR/BW × A × [10</t>
    </r>
    <r>
      <rPr>
        <vertAlign val="superscript"/>
        <sz val="11"/>
        <color theme="1"/>
        <rFont val="Arial"/>
        <family val="2"/>
      </rPr>
      <t>-6</t>
    </r>
    <r>
      <rPr>
        <sz val="11"/>
        <color theme="1"/>
        <rFont val="Arial"/>
        <family val="2"/>
      </rPr>
      <t xml:space="preserve"> µg/mg × L/m</t>
    </r>
    <r>
      <rPr>
        <vertAlign val="superscript"/>
        <sz val="11"/>
        <color theme="1"/>
        <rFont val="Arial"/>
        <family val="2"/>
      </rPr>
      <t>3</t>
    </r>
    <r>
      <rPr>
        <sz val="11"/>
        <color theme="1"/>
        <rFont val="Arial"/>
        <family val="2"/>
      </rPr>
      <t>]
EF dropped from equation per recommendation in Equation 5.3.4.4 notes</t>
    </r>
  </si>
  <si>
    <r>
      <t>Tco</t>
    </r>
    <r>
      <rPr>
        <vertAlign val="subscript"/>
        <sz val="11"/>
        <color theme="1"/>
        <rFont val="Arial"/>
        <family val="2"/>
      </rPr>
      <t>m (inhalation+dermal)</t>
    </r>
  </si>
  <si>
    <r>
      <t>Tco</t>
    </r>
    <r>
      <rPr>
        <vertAlign val="subscript"/>
        <sz val="11"/>
        <color theme="1"/>
        <rFont val="Arial"/>
        <family val="2"/>
      </rPr>
      <t>m (oral)</t>
    </r>
  </si>
  <si>
    <r>
      <t>DOSE</t>
    </r>
    <r>
      <rPr>
        <vertAlign val="subscript"/>
        <sz val="11"/>
        <color theme="1"/>
        <rFont val="Arial"/>
        <family val="2"/>
      </rPr>
      <t>inhalation+dermal</t>
    </r>
  </si>
  <si>
    <r>
      <t>DOSE</t>
    </r>
    <r>
      <rPr>
        <vertAlign val="subscript"/>
        <sz val="11"/>
        <color theme="1"/>
        <rFont val="Arial"/>
        <family val="2"/>
      </rPr>
      <t>inhalation+dermal</t>
    </r>
    <r>
      <rPr>
        <sz val="11"/>
        <color theme="1"/>
        <rFont val="Arial"/>
        <family val="2"/>
      </rPr>
      <t xml:space="preserve"> = DOSE</t>
    </r>
    <r>
      <rPr>
        <vertAlign val="subscript"/>
        <sz val="11"/>
        <color theme="1"/>
        <rFont val="Arial"/>
        <family val="2"/>
      </rPr>
      <t>inhalation</t>
    </r>
    <r>
      <rPr>
        <sz val="11"/>
        <color theme="1"/>
        <rFont val="Arial"/>
        <family val="2"/>
      </rPr>
      <t xml:space="preserve"> + DOSE</t>
    </r>
    <r>
      <rPr>
        <vertAlign val="subscript"/>
        <sz val="11"/>
        <color theme="1"/>
        <rFont val="Arial"/>
        <family val="2"/>
      </rPr>
      <t>dermal</t>
    </r>
  </si>
  <si>
    <r>
      <t>DOSE</t>
    </r>
    <r>
      <rPr>
        <vertAlign val="subscript"/>
        <sz val="11"/>
        <color theme="1"/>
        <rFont val="Arial"/>
        <family val="2"/>
      </rPr>
      <t>oral</t>
    </r>
  </si>
  <si>
    <r>
      <t>DOSE</t>
    </r>
    <r>
      <rPr>
        <vertAlign val="subscript"/>
        <sz val="11"/>
        <color theme="1"/>
        <rFont val="Arial"/>
        <family val="2"/>
      </rPr>
      <t>oral</t>
    </r>
    <r>
      <rPr>
        <sz val="11"/>
        <color theme="1"/>
        <rFont val="Arial"/>
        <family val="2"/>
      </rPr>
      <t xml:space="preserve"> = DOSE</t>
    </r>
    <r>
      <rPr>
        <vertAlign val="subscript"/>
        <sz val="11"/>
        <color theme="1"/>
        <rFont val="Arial"/>
        <family val="2"/>
      </rPr>
      <t xml:space="preserve">soil </t>
    </r>
    <r>
      <rPr>
        <sz val="11"/>
        <color theme="1"/>
        <rFont val="Arial"/>
        <family val="2"/>
      </rPr>
      <t>+ DOSE</t>
    </r>
    <r>
      <rPr>
        <vertAlign val="subscript"/>
        <sz val="11"/>
        <color theme="1"/>
        <rFont val="Arial"/>
        <family val="2"/>
      </rPr>
      <t>prod</t>
    </r>
  </si>
  <si>
    <r>
      <t>C</t>
    </r>
    <r>
      <rPr>
        <b/>
        <vertAlign val="subscript"/>
        <sz val="11"/>
        <color theme="1"/>
        <rFont val="Arial"/>
        <family val="2"/>
      </rPr>
      <t>m</t>
    </r>
  </si>
  <si>
    <r>
      <t>OEHHA (2015) Equation 5.3.4.4:
C</t>
    </r>
    <r>
      <rPr>
        <b/>
        <vertAlign val="subscript"/>
        <sz val="11"/>
        <color theme="1"/>
        <rFont val="Arial"/>
        <family val="2"/>
      </rPr>
      <t>m</t>
    </r>
    <r>
      <rPr>
        <b/>
        <sz val="11"/>
        <color theme="1"/>
        <rFont val="Arial"/>
        <family val="2"/>
      </rPr>
      <t xml:space="preserve"> = [(DOSE</t>
    </r>
    <r>
      <rPr>
        <b/>
        <vertAlign val="subscript"/>
        <sz val="11"/>
        <color theme="1"/>
        <rFont val="Arial"/>
        <family val="2"/>
      </rPr>
      <t>inhalation+dermal</t>
    </r>
    <r>
      <rPr>
        <b/>
        <sz val="11"/>
        <color theme="1"/>
        <rFont val="Arial"/>
        <family val="2"/>
      </rPr>
      <t xml:space="preserve"> × Tco</t>
    </r>
    <r>
      <rPr>
        <b/>
        <vertAlign val="subscript"/>
        <sz val="11"/>
        <color theme="1"/>
        <rFont val="Arial"/>
        <family val="2"/>
      </rPr>
      <t>m (inhalation+dermal)</t>
    </r>
    <r>
      <rPr>
        <b/>
        <sz val="11"/>
        <color theme="1"/>
        <rFont val="Arial"/>
        <family val="2"/>
      </rPr>
      <t>) + (DOSE</t>
    </r>
    <r>
      <rPr>
        <b/>
        <vertAlign val="subscript"/>
        <sz val="11"/>
        <color theme="1"/>
        <rFont val="Arial"/>
        <family val="2"/>
      </rPr>
      <t>oral</t>
    </r>
    <r>
      <rPr>
        <b/>
        <sz val="11"/>
        <color theme="1"/>
        <rFont val="Arial"/>
        <family val="2"/>
      </rPr>
      <t xml:space="preserve"> × Tco</t>
    </r>
    <r>
      <rPr>
        <b/>
        <vertAlign val="subscript"/>
        <sz val="11"/>
        <color theme="1"/>
        <rFont val="Arial"/>
        <family val="2"/>
      </rPr>
      <t>m (oral)</t>
    </r>
    <r>
      <rPr>
        <b/>
        <sz val="11"/>
        <color theme="1"/>
        <rFont val="Arial"/>
        <family val="2"/>
      </rPr>
      <t xml:space="preserve">)] </t>
    </r>
    <r>
      <rPr>
        <sz val="11"/>
        <color theme="1"/>
        <rFont val="Arial"/>
        <family val="2"/>
      </rPr>
      <t>×</t>
    </r>
    <r>
      <rPr>
        <b/>
        <sz val="11"/>
        <color theme="1"/>
        <rFont val="Arial"/>
        <family val="2"/>
      </rPr>
      <t xml:space="preserve"> BW</t>
    </r>
  </si>
  <si>
    <r>
      <t>DOSE</t>
    </r>
    <r>
      <rPr>
        <b/>
        <vertAlign val="subscript"/>
        <sz val="11"/>
        <rFont val="Arial"/>
        <family val="2"/>
      </rPr>
      <t>im</t>
    </r>
  </si>
  <si>
    <r>
      <t>BMI</t>
    </r>
    <r>
      <rPr>
        <vertAlign val="subscript"/>
        <sz val="11"/>
        <color theme="1"/>
        <rFont val="Arial"/>
        <family val="2"/>
      </rPr>
      <t>bw</t>
    </r>
  </si>
  <si>
    <r>
      <t>DOSE</t>
    </r>
    <r>
      <rPr>
        <b/>
        <vertAlign val="subscript"/>
        <sz val="11"/>
        <color theme="1"/>
        <rFont val="Arial"/>
        <family val="2"/>
      </rPr>
      <t>im</t>
    </r>
  </si>
  <si>
    <r>
      <t>OEHHA (2015) Equation 5.4.3.5.1:
DOSE</t>
    </r>
    <r>
      <rPr>
        <b/>
        <vertAlign val="subscript"/>
        <sz val="11"/>
        <color theme="1"/>
        <rFont val="Arial"/>
        <family val="2"/>
      </rPr>
      <t>im</t>
    </r>
    <r>
      <rPr>
        <b/>
        <sz val="11"/>
        <color theme="1"/>
        <rFont val="Arial"/>
        <family val="2"/>
      </rPr>
      <t xml:space="preserve"> = C</t>
    </r>
    <r>
      <rPr>
        <b/>
        <vertAlign val="subscript"/>
        <sz val="11"/>
        <color theme="1"/>
        <rFont val="Arial"/>
        <family val="2"/>
      </rPr>
      <t>m</t>
    </r>
    <r>
      <rPr>
        <b/>
        <sz val="11"/>
        <color theme="1"/>
        <rFont val="Arial"/>
        <family val="2"/>
      </rPr>
      <t xml:space="preserve"> × BMI</t>
    </r>
    <r>
      <rPr>
        <b/>
        <vertAlign val="subscript"/>
        <sz val="11"/>
        <color theme="1"/>
        <rFont val="Arial"/>
        <family val="2"/>
      </rPr>
      <t>bw</t>
    </r>
    <r>
      <rPr>
        <b/>
        <sz val="11"/>
        <color theme="1"/>
        <rFont val="Arial"/>
        <family val="2"/>
      </rPr>
      <t xml:space="preserve"> × EF × [10</t>
    </r>
    <r>
      <rPr>
        <b/>
        <vertAlign val="superscript"/>
        <sz val="11"/>
        <color theme="1"/>
        <rFont val="Arial"/>
        <family val="2"/>
      </rPr>
      <t>-3</t>
    </r>
    <r>
      <rPr>
        <b/>
        <sz val="11"/>
        <color theme="1"/>
        <rFont val="Arial"/>
        <family val="2"/>
      </rPr>
      <t xml:space="preserve"> kg/g]</t>
    </r>
  </si>
  <si>
    <r>
      <t>TRV</t>
    </r>
    <r>
      <rPr>
        <vertAlign val="subscript"/>
        <sz val="11"/>
        <color theme="1"/>
        <rFont val="Arial"/>
        <family val="2"/>
      </rPr>
      <t>cancer</t>
    </r>
  </si>
  <si>
    <r>
      <t>µg/m</t>
    </r>
    <r>
      <rPr>
        <vertAlign val="superscript"/>
        <sz val="11"/>
        <color theme="1"/>
        <rFont val="Arial"/>
        <family val="2"/>
      </rPr>
      <t>3</t>
    </r>
  </si>
  <si>
    <r>
      <t>RISK</t>
    </r>
    <r>
      <rPr>
        <vertAlign val="subscript"/>
        <sz val="11"/>
        <color theme="1"/>
        <rFont val="Arial"/>
        <family val="2"/>
      </rPr>
      <t>inhalation</t>
    </r>
  </si>
  <si>
    <r>
      <t>RISK</t>
    </r>
    <r>
      <rPr>
        <vertAlign val="subscript"/>
        <sz val="11"/>
        <rFont val="Arial"/>
        <family val="2"/>
      </rPr>
      <t>inhalation</t>
    </r>
    <r>
      <rPr>
        <sz val="11"/>
        <rFont val="Arial"/>
        <family val="2"/>
      </rPr>
      <t xml:space="preserve"> = C</t>
    </r>
    <r>
      <rPr>
        <vertAlign val="subscript"/>
        <sz val="11"/>
        <rFont val="Arial"/>
        <family val="2"/>
      </rPr>
      <t>air</t>
    </r>
    <r>
      <rPr>
        <sz val="11"/>
        <rFont val="Arial"/>
        <family val="2"/>
      </rPr>
      <t xml:space="preserve"> × ELAF / TRV</t>
    </r>
    <r>
      <rPr>
        <vertAlign val="subscript"/>
        <sz val="11"/>
        <rFont val="Arial"/>
        <family val="2"/>
      </rPr>
      <t>cancer</t>
    </r>
  </si>
  <si>
    <r>
      <t>CSF</t>
    </r>
    <r>
      <rPr>
        <vertAlign val="subscript"/>
        <sz val="11"/>
        <color theme="1"/>
        <rFont val="Arial"/>
        <family val="2"/>
      </rPr>
      <t>oral</t>
    </r>
  </si>
  <si>
    <r>
      <t>(mg/kg/d)</t>
    </r>
    <r>
      <rPr>
        <vertAlign val="superscript"/>
        <sz val="11"/>
        <color theme="1"/>
        <rFont val="Arial"/>
        <family val="2"/>
      </rPr>
      <t>-1</t>
    </r>
  </si>
  <si>
    <r>
      <t>DOSE</t>
    </r>
    <r>
      <rPr>
        <vertAlign val="subscript"/>
        <sz val="11"/>
        <color theme="1"/>
        <rFont val="Arial"/>
        <family val="2"/>
      </rPr>
      <t>oral+dermal</t>
    </r>
    <r>
      <rPr>
        <sz val="11"/>
        <color theme="1"/>
        <rFont val="Arial"/>
        <family val="2"/>
      </rPr>
      <t xml:space="preserve"> = DOSE</t>
    </r>
    <r>
      <rPr>
        <vertAlign val="subscript"/>
        <sz val="11"/>
        <color theme="1"/>
        <rFont val="Arial"/>
        <family val="2"/>
      </rPr>
      <t>soil</t>
    </r>
    <r>
      <rPr>
        <sz val="11"/>
        <color theme="1"/>
        <rFont val="Arial"/>
        <family val="2"/>
      </rPr>
      <t xml:space="preserve">  + DOSE</t>
    </r>
    <r>
      <rPr>
        <vertAlign val="subscript"/>
        <sz val="11"/>
        <color theme="1"/>
        <rFont val="Arial"/>
        <family val="2"/>
      </rPr>
      <t>dermal</t>
    </r>
    <r>
      <rPr>
        <sz val="11"/>
        <color theme="1"/>
        <rFont val="Arial"/>
        <family val="2"/>
      </rPr>
      <t xml:space="preserve"> + DOSE</t>
    </r>
    <r>
      <rPr>
        <vertAlign val="subscript"/>
        <sz val="11"/>
        <color theme="1"/>
        <rFont val="Arial"/>
        <family val="2"/>
      </rPr>
      <t>prod</t>
    </r>
  </si>
  <si>
    <r>
      <t>DOSE</t>
    </r>
    <r>
      <rPr>
        <vertAlign val="subscript"/>
        <sz val="11"/>
        <color theme="1"/>
        <rFont val="Arial"/>
        <family val="2"/>
      </rPr>
      <t>oral+dermal (3rd trimester)</t>
    </r>
  </si>
  <si>
    <r>
      <t>DOSE</t>
    </r>
    <r>
      <rPr>
        <vertAlign val="subscript"/>
        <sz val="11"/>
        <color theme="1"/>
        <rFont val="Arial"/>
        <family val="2"/>
      </rPr>
      <t>oral+dermal (0 &lt; 2 years)</t>
    </r>
  </si>
  <si>
    <r>
      <t>DOSE</t>
    </r>
    <r>
      <rPr>
        <vertAlign val="subscript"/>
        <sz val="11"/>
        <color theme="1"/>
        <rFont val="Arial"/>
        <family val="2"/>
      </rPr>
      <t>oral+dermal (2 &lt; 16 years)</t>
    </r>
  </si>
  <si>
    <r>
      <t>DOSE</t>
    </r>
    <r>
      <rPr>
        <vertAlign val="subscript"/>
        <sz val="11"/>
        <rFont val="Arial"/>
        <family val="2"/>
      </rPr>
      <t>oral+dermal (16 – 70 years)</t>
    </r>
  </si>
  <si>
    <r>
      <t>ASF</t>
    </r>
    <r>
      <rPr>
        <vertAlign val="subscript"/>
        <sz val="11"/>
        <color theme="1"/>
        <rFont val="Arial"/>
        <family val="2"/>
      </rPr>
      <t>3rd trimester</t>
    </r>
  </si>
  <si>
    <r>
      <t>ASF</t>
    </r>
    <r>
      <rPr>
        <vertAlign val="subscript"/>
        <sz val="11"/>
        <color theme="1"/>
        <rFont val="Arial"/>
        <family val="2"/>
      </rPr>
      <t>0 &lt; 2 years</t>
    </r>
  </si>
  <si>
    <r>
      <t>ASF</t>
    </r>
    <r>
      <rPr>
        <vertAlign val="subscript"/>
        <sz val="11"/>
        <color theme="1"/>
        <rFont val="Arial"/>
        <family val="2"/>
      </rPr>
      <t>2 &lt; 16 years</t>
    </r>
  </si>
  <si>
    <r>
      <t>ASF</t>
    </r>
    <r>
      <rPr>
        <vertAlign val="subscript"/>
        <sz val="11"/>
        <rFont val="Arial"/>
        <family val="2"/>
      </rPr>
      <t>16 – 70 years</t>
    </r>
  </si>
  <si>
    <r>
      <t>ED</t>
    </r>
    <r>
      <rPr>
        <vertAlign val="subscript"/>
        <sz val="11"/>
        <color theme="1"/>
        <rFont val="Arial"/>
        <family val="2"/>
      </rPr>
      <t>3rd trimester</t>
    </r>
  </si>
  <si>
    <r>
      <t>ED</t>
    </r>
    <r>
      <rPr>
        <vertAlign val="subscript"/>
        <sz val="11"/>
        <color theme="1"/>
        <rFont val="Arial"/>
        <family val="2"/>
      </rPr>
      <t>0 &lt; 2 years</t>
    </r>
  </si>
  <si>
    <r>
      <t>ED</t>
    </r>
    <r>
      <rPr>
        <vertAlign val="subscript"/>
        <sz val="11"/>
        <color theme="1"/>
        <rFont val="Arial"/>
        <family val="2"/>
      </rPr>
      <t>2 &lt; 16 years</t>
    </r>
  </si>
  <si>
    <r>
      <t>ED</t>
    </r>
    <r>
      <rPr>
        <vertAlign val="subscript"/>
        <sz val="11"/>
        <rFont val="Arial"/>
        <family val="2"/>
      </rPr>
      <t>16 – 70 years</t>
    </r>
  </si>
  <si>
    <r>
      <t>RISK</t>
    </r>
    <r>
      <rPr>
        <vertAlign val="subscript"/>
        <sz val="11"/>
        <rFont val="Arial"/>
        <family val="2"/>
      </rPr>
      <t>oral+dermal</t>
    </r>
    <r>
      <rPr>
        <sz val="11"/>
        <rFont val="Arial"/>
        <family val="2"/>
      </rPr>
      <t xml:space="preserve"> = DOSE</t>
    </r>
    <r>
      <rPr>
        <vertAlign val="subscript"/>
        <sz val="11"/>
        <rFont val="Arial"/>
        <family val="2"/>
      </rPr>
      <t>oral+dermal</t>
    </r>
    <r>
      <rPr>
        <sz val="11"/>
        <rFont val="Arial"/>
        <family val="2"/>
      </rPr>
      <t xml:space="preserve"> × CSF</t>
    </r>
    <r>
      <rPr>
        <vertAlign val="subscript"/>
        <sz val="11"/>
        <rFont val="Arial"/>
        <family val="2"/>
      </rPr>
      <t>oral</t>
    </r>
    <r>
      <rPr>
        <sz val="11"/>
        <rFont val="Arial"/>
        <family val="2"/>
      </rPr>
      <t xml:space="preserve"> × ASF × ED/AT × [10</t>
    </r>
    <r>
      <rPr>
        <vertAlign val="superscript"/>
        <sz val="11"/>
        <rFont val="Arial"/>
        <family val="2"/>
      </rPr>
      <t>6</t>
    </r>
    <r>
      <rPr>
        <sz val="11"/>
        <rFont val="Arial"/>
        <family val="2"/>
      </rPr>
      <t>]</t>
    </r>
  </si>
  <si>
    <r>
      <t>RISK</t>
    </r>
    <r>
      <rPr>
        <vertAlign val="subscript"/>
        <sz val="11"/>
        <rFont val="Arial"/>
        <family val="2"/>
      </rPr>
      <t>oral+dermal (3rd trimester)</t>
    </r>
  </si>
  <si>
    <r>
      <t>RISK</t>
    </r>
    <r>
      <rPr>
        <vertAlign val="subscript"/>
        <sz val="11"/>
        <rFont val="Arial"/>
        <family val="2"/>
      </rPr>
      <t>oral+dermal (0 &lt; 2 years)</t>
    </r>
  </si>
  <si>
    <r>
      <t>RISK</t>
    </r>
    <r>
      <rPr>
        <vertAlign val="subscript"/>
        <sz val="11"/>
        <rFont val="Arial"/>
        <family val="2"/>
      </rPr>
      <t>oral+dermal (2 &lt; 16 years)</t>
    </r>
  </si>
  <si>
    <r>
      <t>RISK</t>
    </r>
    <r>
      <rPr>
        <vertAlign val="subscript"/>
        <sz val="11"/>
        <rFont val="Arial"/>
        <family val="2"/>
      </rPr>
      <t>oral+dermal (16 – 70 years)</t>
    </r>
  </si>
  <si>
    <r>
      <t>ED</t>
    </r>
    <r>
      <rPr>
        <vertAlign val="subscript"/>
        <sz val="11"/>
        <rFont val="Arial"/>
        <family val="2"/>
      </rPr>
      <t>im</t>
    </r>
  </si>
  <si>
    <r>
      <t>ASF</t>
    </r>
    <r>
      <rPr>
        <vertAlign val="subscript"/>
        <sz val="11"/>
        <rFont val="Arial"/>
        <family val="2"/>
      </rPr>
      <t>im</t>
    </r>
  </si>
  <si>
    <r>
      <t>RISK</t>
    </r>
    <r>
      <rPr>
        <vertAlign val="subscript"/>
        <sz val="11"/>
        <color theme="1"/>
        <rFont val="Arial"/>
        <family val="2"/>
      </rPr>
      <t>im</t>
    </r>
  </si>
  <si>
    <r>
      <t>OEHHA (2015) Equation 8.2.7:
RISK</t>
    </r>
    <r>
      <rPr>
        <vertAlign val="subscript"/>
        <sz val="11"/>
        <color theme="1"/>
        <rFont val="Arial"/>
        <family val="2"/>
      </rPr>
      <t xml:space="preserve">im </t>
    </r>
    <r>
      <rPr>
        <sz val="11"/>
        <color theme="1"/>
        <rFont val="Arial"/>
        <family val="2"/>
      </rPr>
      <t>= DOSE</t>
    </r>
    <r>
      <rPr>
        <vertAlign val="subscript"/>
        <sz val="11"/>
        <color theme="1"/>
        <rFont val="Arial"/>
        <family val="2"/>
      </rPr>
      <t>im</t>
    </r>
    <r>
      <rPr>
        <sz val="11"/>
        <color theme="1"/>
        <rFont val="Arial"/>
        <family val="2"/>
      </rPr>
      <t xml:space="preserve"> × CSF</t>
    </r>
    <r>
      <rPr>
        <vertAlign val="subscript"/>
        <sz val="11"/>
        <color theme="1"/>
        <rFont val="Arial"/>
        <family val="2"/>
      </rPr>
      <t>oral</t>
    </r>
    <r>
      <rPr>
        <sz val="11"/>
        <color theme="1"/>
        <rFont val="Arial"/>
        <family val="2"/>
      </rPr>
      <t xml:space="preserve"> × ASF × ED/AT × [10</t>
    </r>
    <r>
      <rPr>
        <vertAlign val="superscript"/>
        <sz val="11"/>
        <color theme="1"/>
        <rFont val="Arial"/>
        <family val="2"/>
      </rPr>
      <t>6</t>
    </r>
    <r>
      <rPr>
        <sz val="11"/>
        <color theme="1"/>
        <rFont val="Arial"/>
        <family val="2"/>
      </rPr>
      <t>]</t>
    </r>
  </si>
  <si>
    <r>
      <t>RISK</t>
    </r>
    <r>
      <rPr>
        <vertAlign val="subscript"/>
        <sz val="11"/>
        <color theme="1"/>
        <rFont val="Arial"/>
        <family val="2"/>
      </rPr>
      <t>oral+dermal</t>
    </r>
  </si>
  <si>
    <r>
      <t>RISK</t>
    </r>
    <r>
      <rPr>
        <vertAlign val="subscript"/>
        <sz val="11"/>
        <color theme="1"/>
        <rFont val="Arial"/>
        <family val="2"/>
      </rPr>
      <t>oral+dermal</t>
    </r>
    <r>
      <rPr>
        <sz val="11"/>
        <color theme="1"/>
        <rFont val="Arial"/>
        <family val="2"/>
      </rPr>
      <t xml:space="preserve"> = RISK</t>
    </r>
    <r>
      <rPr>
        <vertAlign val="subscript"/>
        <sz val="11"/>
        <color theme="1"/>
        <rFont val="Arial"/>
        <family val="2"/>
      </rPr>
      <t>im</t>
    </r>
    <r>
      <rPr>
        <sz val="11"/>
        <color theme="1"/>
        <rFont val="Arial"/>
        <family val="2"/>
      </rPr>
      <t xml:space="preserve"> + RISK</t>
    </r>
    <r>
      <rPr>
        <vertAlign val="subscript"/>
        <sz val="11"/>
        <color theme="1"/>
        <rFont val="Arial"/>
        <family val="2"/>
      </rPr>
      <t>oral+dermal (3rd trimester)</t>
    </r>
    <r>
      <rPr>
        <sz val="11"/>
        <color theme="1"/>
        <rFont val="Arial"/>
        <family val="2"/>
      </rPr>
      <t xml:space="preserve"> + RISK</t>
    </r>
    <r>
      <rPr>
        <vertAlign val="subscript"/>
        <sz val="11"/>
        <color theme="1"/>
        <rFont val="Arial"/>
        <family val="2"/>
      </rPr>
      <t>oral+dermal (0 &lt; 2 years)</t>
    </r>
    <r>
      <rPr>
        <sz val="11"/>
        <color theme="1"/>
        <rFont val="Arial"/>
        <family val="2"/>
      </rPr>
      <t xml:space="preserve"> + RISK</t>
    </r>
    <r>
      <rPr>
        <vertAlign val="subscript"/>
        <sz val="11"/>
        <color theme="1"/>
        <rFont val="Arial"/>
        <family val="2"/>
      </rPr>
      <t>oral+dermal (2 &lt; 16 years)</t>
    </r>
    <r>
      <rPr>
        <sz val="11"/>
        <color theme="1"/>
        <rFont val="Arial"/>
        <family val="2"/>
      </rPr>
      <t xml:space="preserve"> + RISK</t>
    </r>
    <r>
      <rPr>
        <vertAlign val="subscript"/>
        <sz val="11"/>
        <color theme="1"/>
        <rFont val="Arial"/>
        <family val="2"/>
      </rPr>
      <t>oral+dermal (16 – 70 years)</t>
    </r>
  </si>
  <si>
    <r>
      <t>MPAF = (RISK</t>
    </r>
    <r>
      <rPr>
        <b/>
        <vertAlign val="subscript"/>
        <sz val="11"/>
        <color theme="1"/>
        <rFont val="Arial"/>
        <family val="2"/>
      </rPr>
      <t>inhalation</t>
    </r>
    <r>
      <rPr>
        <b/>
        <sz val="11"/>
        <color theme="1"/>
        <rFont val="Arial"/>
        <family val="2"/>
      </rPr>
      <t xml:space="preserve"> + RISK</t>
    </r>
    <r>
      <rPr>
        <b/>
        <vertAlign val="subscript"/>
        <sz val="11"/>
        <color theme="1"/>
        <rFont val="Arial"/>
        <family val="2"/>
      </rPr>
      <t>oral+dermal</t>
    </r>
    <r>
      <rPr>
        <b/>
        <sz val="11"/>
        <color theme="1"/>
        <rFont val="Arial"/>
        <family val="2"/>
      </rPr>
      <t>) / RISK</t>
    </r>
    <r>
      <rPr>
        <b/>
        <vertAlign val="subscript"/>
        <sz val="11"/>
        <color theme="1"/>
        <rFont val="Arial"/>
        <family val="2"/>
      </rPr>
      <t>inhalation</t>
    </r>
  </si>
  <si>
    <r>
      <t>OEHHA (2015) Equation 5.3.2.D:
K</t>
    </r>
    <r>
      <rPr>
        <vertAlign val="subscript"/>
        <sz val="11"/>
        <rFont val="Arial"/>
        <family val="2"/>
      </rPr>
      <t>s</t>
    </r>
    <r>
      <rPr>
        <sz val="11"/>
        <rFont val="Arial"/>
        <family val="2"/>
      </rPr>
      <t xml:space="preserve"> = ln(2) / t</t>
    </r>
    <r>
      <rPr>
        <vertAlign val="subscript"/>
        <sz val="11"/>
        <rFont val="Arial"/>
        <family val="2"/>
      </rPr>
      <t>1/2</t>
    </r>
  </si>
  <si>
    <r>
      <t>T</t>
    </r>
    <r>
      <rPr>
        <vertAlign val="subscript"/>
        <sz val="11"/>
        <rFont val="Arial"/>
        <family val="2"/>
      </rPr>
      <t>t</t>
    </r>
    <r>
      <rPr>
        <sz val="11"/>
        <rFont val="Arial"/>
        <family val="2"/>
      </rPr>
      <t xml:space="preserve"> = T</t>
    </r>
    <r>
      <rPr>
        <vertAlign val="subscript"/>
        <sz val="11"/>
        <rFont val="Arial"/>
        <family val="2"/>
      </rPr>
      <t>f</t>
    </r>
    <r>
      <rPr>
        <sz val="11"/>
        <rFont val="Arial"/>
        <family val="2"/>
      </rPr>
      <t xml:space="preserve"> - T</t>
    </r>
    <r>
      <rPr>
        <vertAlign val="subscript"/>
        <sz val="11"/>
        <rFont val="Arial"/>
        <family val="2"/>
      </rPr>
      <t>o</t>
    </r>
  </si>
  <si>
    <r>
      <t>OEHHA (2015) Equation 5.3.2.C:
X = [{e</t>
    </r>
    <r>
      <rPr>
        <vertAlign val="superscript"/>
        <sz val="11"/>
        <rFont val="Arial"/>
        <family val="2"/>
      </rPr>
      <t>-Ks × Tf</t>
    </r>
    <r>
      <rPr>
        <sz val="11"/>
        <rFont val="Arial"/>
        <family val="2"/>
      </rPr>
      <t xml:space="preserve"> - e </t>
    </r>
    <r>
      <rPr>
        <vertAlign val="superscript"/>
        <sz val="11"/>
        <rFont val="Arial"/>
        <family val="2"/>
      </rPr>
      <t>-Ks × To</t>
    </r>
    <r>
      <rPr>
        <sz val="11"/>
        <rFont val="Arial"/>
        <family val="2"/>
      </rPr>
      <t>} / Ks] + Tt</t>
    </r>
  </si>
  <si>
    <r>
      <t>SIR</t>
    </r>
    <r>
      <rPr>
        <vertAlign val="subscript"/>
        <sz val="11"/>
        <rFont val="Arial"/>
        <family val="2"/>
      </rPr>
      <t>0 &lt; 2 years</t>
    </r>
  </si>
  <si>
    <r>
      <t>SIR</t>
    </r>
    <r>
      <rPr>
        <vertAlign val="subscript"/>
        <sz val="11"/>
        <rFont val="Arial"/>
        <family val="2"/>
      </rPr>
      <t>2 &lt; 16 years</t>
    </r>
  </si>
  <si>
    <r>
      <t>SIR</t>
    </r>
    <r>
      <rPr>
        <vertAlign val="subscript"/>
        <sz val="11"/>
        <rFont val="Arial"/>
        <family val="2"/>
      </rPr>
      <t>16 – 70 years</t>
    </r>
  </si>
  <si>
    <r>
      <t>SIR</t>
    </r>
    <r>
      <rPr>
        <vertAlign val="subscript"/>
        <sz val="11"/>
        <rFont val="Arial"/>
        <family val="2"/>
      </rPr>
      <t>nursing mother</t>
    </r>
  </si>
  <si>
    <r>
      <t>ED</t>
    </r>
    <r>
      <rPr>
        <vertAlign val="subscript"/>
        <sz val="11"/>
        <rFont val="Arial"/>
        <family val="2"/>
      </rPr>
      <t>0 &lt; 2 years</t>
    </r>
  </si>
  <si>
    <r>
      <t>ED</t>
    </r>
    <r>
      <rPr>
        <vertAlign val="subscript"/>
        <sz val="11"/>
        <rFont val="Arial"/>
        <family val="2"/>
      </rPr>
      <t>2 &lt; 16 years</t>
    </r>
  </si>
  <si>
    <r>
      <t>ED</t>
    </r>
    <r>
      <rPr>
        <vertAlign val="subscript"/>
        <sz val="11"/>
        <rFont val="Arial"/>
        <family val="2"/>
      </rPr>
      <t>nursing mother</t>
    </r>
  </si>
  <si>
    <r>
      <t>OEHHA (2015) Equation 5.4.3.1.2:
DOSE</t>
    </r>
    <r>
      <rPr>
        <vertAlign val="subscript"/>
        <sz val="11"/>
        <rFont val="Arial"/>
        <family val="2"/>
      </rPr>
      <t>soil (exposure group)</t>
    </r>
    <r>
      <rPr>
        <sz val="11"/>
        <rFont val="Arial"/>
        <family val="2"/>
      </rPr>
      <t xml:space="preserve"> = C</t>
    </r>
    <r>
      <rPr>
        <vertAlign val="subscript"/>
        <sz val="11"/>
        <rFont val="Arial"/>
        <family val="2"/>
      </rPr>
      <t>soil (playground)</t>
    </r>
    <r>
      <rPr>
        <sz val="11"/>
        <rFont val="Arial"/>
        <family val="2"/>
      </rPr>
      <t xml:space="preserve"> × GRAF × SIR × ED/AT × [10</t>
    </r>
    <r>
      <rPr>
        <vertAlign val="superscript"/>
        <sz val="11"/>
        <rFont val="Arial"/>
        <family val="2"/>
      </rPr>
      <t>-9</t>
    </r>
    <r>
      <rPr>
        <sz val="11"/>
        <rFont val="Arial"/>
        <family val="2"/>
      </rPr>
      <t xml:space="preserve"> kg/µg]</t>
    </r>
  </si>
  <si>
    <r>
      <t>DOSE</t>
    </r>
    <r>
      <rPr>
        <vertAlign val="subscript"/>
        <sz val="11"/>
        <rFont val="Arial"/>
        <family val="2"/>
      </rPr>
      <t>soil (0 &lt; 2 years)</t>
    </r>
  </si>
  <si>
    <r>
      <t>DOSE</t>
    </r>
    <r>
      <rPr>
        <vertAlign val="subscript"/>
        <sz val="11"/>
        <color theme="1"/>
        <rFont val="Arial"/>
        <family val="2"/>
      </rPr>
      <t>soil (2 &lt; 16 years)</t>
    </r>
  </si>
  <si>
    <r>
      <t>DOSE</t>
    </r>
    <r>
      <rPr>
        <vertAlign val="subscript"/>
        <sz val="11"/>
        <color theme="1"/>
        <rFont val="Arial"/>
        <family val="2"/>
      </rPr>
      <t>soil (16 – 70 years)</t>
    </r>
  </si>
  <si>
    <r>
      <t>DOSE</t>
    </r>
    <r>
      <rPr>
        <vertAlign val="subscript"/>
        <sz val="11"/>
        <color theme="1"/>
        <rFont val="Arial"/>
        <family val="2"/>
      </rPr>
      <t>soil (nursing mother)</t>
    </r>
  </si>
  <si>
    <r>
      <t>DOSE</t>
    </r>
    <r>
      <rPr>
        <b/>
        <vertAlign val="subscript"/>
        <sz val="11"/>
        <color theme="1"/>
        <rFont val="Arial"/>
        <family val="2"/>
      </rPr>
      <t>soil</t>
    </r>
  </si>
  <si>
    <r>
      <t>DOSE</t>
    </r>
    <r>
      <rPr>
        <b/>
        <vertAlign val="subscript"/>
        <sz val="11"/>
        <rFont val="Arial"/>
        <family val="2"/>
      </rPr>
      <t>soil</t>
    </r>
    <r>
      <rPr>
        <b/>
        <sz val="11"/>
        <rFont val="Arial"/>
        <family val="2"/>
      </rPr>
      <t xml:space="preserve"> = DOSE</t>
    </r>
    <r>
      <rPr>
        <b/>
        <vertAlign val="subscript"/>
        <sz val="11"/>
        <rFont val="Arial"/>
        <family val="2"/>
      </rPr>
      <t>soil (0 &lt; 2 years)</t>
    </r>
  </si>
  <si>
    <r>
      <t>OEHHA (2015) Equation 5.4.2.2:
DOSE</t>
    </r>
    <r>
      <rPr>
        <vertAlign val="subscript"/>
        <sz val="11"/>
        <rFont val="Arial"/>
        <family val="2"/>
      </rPr>
      <t>dermal</t>
    </r>
    <r>
      <rPr>
        <sz val="11"/>
        <rFont val="Arial"/>
        <family val="2"/>
      </rPr>
      <t xml:space="preserve"> = ADL × C</t>
    </r>
    <r>
      <rPr>
        <vertAlign val="subscript"/>
        <sz val="11"/>
        <rFont val="Arial"/>
        <family val="2"/>
      </rPr>
      <t>soil (playground)</t>
    </r>
    <r>
      <rPr>
        <sz val="11"/>
        <rFont val="Arial"/>
        <family val="2"/>
      </rPr>
      <t xml:space="preserve"> × ABS × ED/AT × [1 yr/350 d] × [10</t>
    </r>
    <r>
      <rPr>
        <vertAlign val="superscript"/>
        <sz val="11"/>
        <rFont val="Arial"/>
        <family val="2"/>
      </rPr>
      <t>-9</t>
    </r>
    <r>
      <rPr>
        <sz val="11"/>
        <rFont val="Arial"/>
        <family val="2"/>
      </rPr>
      <t xml:space="preserve"> kg/µg]</t>
    </r>
  </si>
  <si>
    <r>
      <t>DOSE</t>
    </r>
    <r>
      <rPr>
        <vertAlign val="subscript"/>
        <sz val="11"/>
        <color theme="1"/>
        <rFont val="Arial"/>
        <family val="2"/>
      </rPr>
      <t>dermal (0 &lt; 2 years)</t>
    </r>
  </si>
  <si>
    <r>
      <t>DOSE</t>
    </r>
    <r>
      <rPr>
        <vertAlign val="subscript"/>
        <sz val="11"/>
        <color theme="1"/>
        <rFont val="Arial"/>
        <family val="2"/>
      </rPr>
      <t>dermal (2 &lt; 16 years)</t>
    </r>
  </si>
  <si>
    <r>
      <t>DOSE</t>
    </r>
    <r>
      <rPr>
        <vertAlign val="subscript"/>
        <sz val="11"/>
        <color theme="1"/>
        <rFont val="Arial"/>
        <family val="2"/>
      </rPr>
      <t>dermal (16 – 70 years)</t>
    </r>
  </si>
  <si>
    <r>
      <t>DOSE</t>
    </r>
    <r>
      <rPr>
        <vertAlign val="subscript"/>
        <sz val="11"/>
        <color theme="1"/>
        <rFont val="Arial"/>
        <family val="2"/>
      </rPr>
      <t>dermal (nursing mother)</t>
    </r>
  </si>
  <si>
    <r>
      <t>DOSE</t>
    </r>
    <r>
      <rPr>
        <b/>
        <vertAlign val="subscript"/>
        <sz val="11"/>
        <color theme="1"/>
        <rFont val="Arial"/>
        <family val="2"/>
      </rPr>
      <t>dermal</t>
    </r>
  </si>
  <si>
    <r>
      <t>DOSE</t>
    </r>
    <r>
      <rPr>
        <b/>
        <vertAlign val="subscript"/>
        <sz val="11"/>
        <rFont val="Arial"/>
        <family val="2"/>
      </rPr>
      <t>dermal</t>
    </r>
    <r>
      <rPr>
        <b/>
        <sz val="11"/>
        <rFont val="Arial"/>
        <family val="2"/>
      </rPr>
      <t xml:space="preserve"> = DOSE</t>
    </r>
    <r>
      <rPr>
        <b/>
        <vertAlign val="subscript"/>
        <sz val="11"/>
        <rFont val="Arial"/>
        <family val="2"/>
      </rPr>
      <t>dermal (0 &lt; 2 years)</t>
    </r>
  </si>
  <si>
    <r>
      <t>OEHHA (2015) Equation 5.4.3.2.1:
DOSE</t>
    </r>
    <r>
      <rPr>
        <vertAlign val="subscript"/>
        <sz val="11"/>
        <color theme="1"/>
        <rFont val="Arial"/>
        <family val="2"/>
      </rPr>
      <t>root</t>
    </r>
    <r>
      <rPr>
        <sz val="11"/>
        <color theme="1"/>
        <rFont val="Arial"/>
        <family val="2"/>
      </rPr>
      <t xml:space="preserve"> = C</t>
    </r>
    <r>
      <rPr>
        <vertAlign val="subscript"/>
        <sz val="11"/>
        <color theme="1"/>
        <rFont val="Arial"/>
        <family val="2"/>
      </rPr>
      <t>v (root)</t>
    </r>
    <r>
      <rPr>
        <sz val="11"/>
        <color theme="1"/>
        <rFont val="Arial"/>
        <family val="2"/>
      </rPr>
      <t xml:space="preserve"> × IP</t>
    </r>
    <r>
      <rPr>
        <vertAlign val="subscript"/>
        <sz val="11"/>
        <color theme="1"/>
        <rFont val="Arial"/>
        <family val="2"/>
      </rPr>
      <t>root</t>
    </r>
    <r>
      <rPr>
        <sz val="11"/>
        <color theme="1"/>
        <rFont val="Arial"/>
        <family val="2"/>
      </rPr>
      <t xml:space="preserve"> × GRAF × L × ED/AT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</si>
  <si>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OEHHA (2015) Equation 5.4.3.2.1:
DOSE</t>
    </r>
    <r>
      <rPr>
        <vertAlign val="subscript"/>
        <sz val="11"/>
        <color theme="1"/>
        <rFont val="Arial"/>
        <family val="2"/>
      </rPr>
      <t>leafy</t>
    </r>
    <r>
      <rPr>
        <sz val="11"/>
        <color theme="1"/>
        <rFont val="Arial"/>
        <family val="2"/>
      </rPr>
      <t xml:space="preserve"> = C</t>
    </r>
    <r>
      <rPr>
        <vertAlign val="subscript"/>
        <sz val="11"/>
        <color theme="1"/>
        <rFont val="Arial"/>
        <family val="2"/>
      </rPr>
      <t>v (leafy)</t>
    </r>
    <r>
      <rPr>
        <sz val="11"/>
        <color theme="1"/>
        <rFont val="Arial"/>
        <family val="2"/>
      </rPr>
      <t xml:space="preserve"> × IP</t>
    </r>
    <r>
      <rPr>
        <vertAlign val="subscript"/>
        <sz val="11"/>
        <color theme="1"/>
        <rFont val="Arial"/>
        <family val="2"/>
      </rPr>
      <t>leafy</t>
    </r>
    <r>
      <rPr>
        <sz val="11"/>
        <color theme="1"/>
        <rFont val="Arial"/>
        <family val="2"/>
      </rPr>
      <t xml:space="preserve"> × GRAF × L × ED/AT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</si>
  <si>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OEHHA (2015) Equation 5.4.3.2.1:
DOSE</t>
    </r>
    <r>
      <rPr>
        <vertAlign val="subscript"/>
        <sz val="11"/>
        <color theme="1"/>
        <rFont val="Arial"/>
        <family val="2"/>
      </rPr>
      <t>protected</t>
    </r>
    <r>
      <rPr>
        <sz val="11"/>
        <color theme="1"/>
        <rFont val="Arial"/>
        <family val="2"/>
      </rPr>
      <t xml:space="preserve"> = C</t>
    </r>
    <r>
      <rPr>
        <vertAlign val="subscript"/>
        <sz val="11"/>
        <color theme="1"/>
        <rFont val="Arial"/>
        <family val="2"/>
      </rPr>
      <t>v (protected)</t>
    </r>
    <r>
      <rPr>
        <sz val="11"/>
        <color theme="1"/>
        <rFont val="Arial"/>
        <family val="2"/>
      </rPr>
      <t xml:space="preserve"> × IP</t>
    </r>
    <r>
      <rPr>
        <vertAlign val="subscript"/>
        <sz val="11"/>
        <color theme="1"/>
        <rFont val="Arial"/>
        <family val="2"/>
      </rPr>
      <t>protected</t>
    </r>
    <r>
      <rPr>
        <sz val="11"/>
        <color theme="1"/>
        <rFont val="Arial"/>
        <family val="2"/>
      </rPr>
      <t xml:space="preserve"> × GRAF × L × ED/AT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</si>
  <si>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OEHHA (2015) Equation 5.4.3.2.1:
DOSE</t>
    </r>
    <r>
      <rPr>
        <vertAlign val="subscript"/>
        <sz val="11"/>
        <color theme="1"/>
        <rFont val="Arial"/>
        <family val="2"/>
      </rPr>
      <t>exposed</t>
    </r>
    <r>
      <rPr>
        <sz val="11"/>
        <color theme="1"/>
        <rFont val="Arial"/>
        <family val="2"/>
      </rPr>
      <t xml:space="preserve"> = C</t>
    </r>
    <r>
      <rPr>
        <vertAlign val="subscript"/>
        <sz val="11"/>
        <color theme="1"/>
        <rFont val="Arial"/>
        <family val="2"/>
      </rPr>
      <t>v (exposed)</t>
    </r>
    <r>
      <rPr>
        <sz val="11"/>
        <color theme="1"/>
        <rFont val="Arial"/>
        <family val="2"/>
      </rPr>
      <t xml:space="preserve"> × IP</t>
    </r>
    <r>
      <rPr>
        <vertAlign val="subscript"/>
        <sz val="11"/>
        <color theme="1"/>
        <rFont val="Arial"/>
        <family val="2"/>
      </rPr>
      <t>exposed</t>
    </r>
    <r>
      <rPr>
        <sz val="11"/>
        <color theme="1"/>
        <rFont val="Arial"/>
        <family val="2"/>
      </rPr>
      <t xml:space="preserve"> × GRAF × L × ED/AT × [10</t>
    </r>
    <r>
      <rPr>
        <vertAlign val="superscript"/>
        <sz val="11"/>
        <color theme="1"/>
        <rFont val="Arial"/>
        <family val="2"/>
      </rPr>
      <t>-9</t>
    </r>
    <r>
      <rPr>
        <sz val="11"/>
        <color theme="1"/>
        <rFont val="Arial"/>
        <family val="2"/>
      </rPr>
      <t xml:space="preserve"> kg/µg] × [10</t>
    </r>
    <r>
      <rPr>
        <vertAlign val="superscript"/>
        <sz val="11"/>
        <color theme="1"/>
        <rFont val="Arial"/>
        <family val="2"/>
      </rPr>
      <t>3</t>
    </r>
    <r>
      <rPr>
        <sz val="11"/>
        <color theme="1"/>
        <rFont val="Arial"/>
        <family val="2"/>
      </rPr>
      <t xml:space="preserve"> mg/g]</t>
    </r>
  </si>
  <si>
    <r>
      <t>DOSE</t>
    </r>
    <r>
      <rPr>
        <vertAlign val="subscript"/>
        <sz val="11"/>
        <color theme="1"/>
        <rFont val="Arial"/>
        <family val="2"/>
      </rPr>
      <t>prod (exposure group)</t>
    </r>
    <r>
      <rPr>
        <sz val="11"/>
        <color theme="1"/>
        <rFont val="Arial"/>
        <family val="2"/>
      </rPr>
      <t xml:space="preserve"> = DOSE</t>
    </r>
    <r>
      <rPr>
        <vertAlign val="subscript"/>
        <sz val="11"/>
        <color theme="1"/>
        <rFont val="Arial"/>
        <family val="2"/>
      </rPr>
      <t>root</t>
    </r>
    <r>
      <rPr>
        <sz val="11"/>
        <color theme="1"/>
        <rFont val="Arial"/>
        <family val="2"/>
      </rPr>
      <t xml:space="preserve"> + DOSE</t>
    </r>
    <r>
      <rPr>
        <vertAlign val="subscript"/>
        <sz val="11"/>
        <color theme="1"/>
        <rFont val="Arial"/>
        <family val="2"/>
      </rPr>
      <t xml:space="preserve">leafy </t>
    </r>
    <r>
      <rPr>
        <sz val="11"/>
        <color theme="1"/>
        <rFont val="Arial"/>
        <family val="2"/>
      </rPr>
      <t>+ DOSE</t>
    </r>
    <r>
      <rPr>
        <vertAlign val="subscript"/>
        <sz val="11"/>
        <color theme="1"/>
        <rFont val="Arial"/>
        <family val="2"/>
      </rPr>
      <t xml:space="preserve">protected </t>
    </r>
    <r>
      <rPr>
        <sz val="11"/>
        <color theme="1"/>
        <rFont val="Arial"/>
        <family val="2"/>
      </rPr>
      <t>+ DOSE</t>
    </r>
    <r>
      <rPr>
        <vertAlign val="subscript"/>
        <sz val="11"/>
        <color theme="1"/>
        <rFont val="Arial"/>
        <family val="2"/>
      </rPr>
      <t>exposed</t>
    </r>
  </si>
  <si>
    <r>
      <t>DOSE</t>
    </r>
    <r>
      <rPr>
        <vertAlign val="subscript"/>
        <sz val="11"/>
        <color theme="1"/>
        <rFont val="Arial"/>
        <family val="2"/>
      </rPr>
      <t>prod (0 &lt; 2 years)</t>
    </r>
  </si>
  <si>
    <r>
      <t>DOSE</t>
    </r>
    <r>
      <rPr>
        <vertAlign val="subscript"/>
        <sz val="11"/>
        <color theme="1"/>
        <rFont val="Arial"/>
        <family val="2"/>
      </rPr>
      <t>prod (2 &lt; 16 years)</t>
    </r>
  </si>
  <si>
    <r>
      <t>DOSE</t>
    </r>
    <r>
      <rPr>
        <vertAlign val="subscript"/>
        <sz val="11"/>
        <color theme="1"/>
        <rFont val="Arial"/>
        <family val="2"/>
      </rPr>
      <t>prod (16 – 70 years)</t>
    </r>
  </si>
  <si>
    <r>
      <t>DOSE</t>
    </r>
    <r>
      <rPr>
        <vertAlign val="subscript"/>
        <sz val="11"/>
        <color theme="1"/>
        <rFont val="Arial"/>
        <family val="2"/>
      </rPr>
      <t>prod (nursing mother)</t>
    </r>
  </si>
  <si>
    <r>
      <t>DOSE</t>
    </r>
    <r>
      <rPr>
        <b/>
        <vertAlign val="subscript"/>
        <sz val="11"/>
        <color theme="1"/>
        <rFont val="Arial"/>
        <family val="2"/>
      </rPr>
      <t>prod</t>
    </r>
  </si>
  <si>
    <r>
      <t>DOSE</t>
    </r>
    <r>
      <rPr>
        <b/>
        <vertAlign val="subscript"/>
        <sz val="11"/>
        <color theme="1"/>
        <rFont val="Arial"/>
        <family val="2"/>
      </rPr>
      <t>prod</t>
    </r>
    <r>
      <rPr>
        <b/>
        <sz val="11"/>
        <color theme="1"/>
        <rFont val="Arial"/>
        <family val="2"/>
      </rPr>
      <t xml:space="preserve"> = DOSE</t>
    </r>
    <r>
      <rPr>
        <b/>
        <vertAlign val="subscript"/>
        <sz val="11"/>
        <color theme="1"/>
        <rFont val="Arial"/>
        <family val="2"/>
      </rPr>
      <t>prod (0 &lt; 2 years)</t>
    </r>
  </si>
  <si>
    <r>
      <t>DOSE</t>
    </r>
    <r>
      <rPr>
        <vertAlign val="subscript"/>
        <sz val="11"/>
        <color theme="1"/>
        <rFont val="Arial"/>
        <family val="2"/>
      </rPr>
      <t>oral</t>
    </r>
    <r>
      <rPr>
        <sz val="11"/>
        <color theme="1"/>
        <rFont val="Arial"/>
        <family val="2"/>
      </rPr>
      <t xml:space="preserve"> = DOSE</t>
    </r>
    <r>
      <rPr>
        <vertAlign val="subscript"/>
        <sz val="11"/>
        <color theme="1"/>
        <rFont val="Arial"/>
        <family val="2"/>
      </rPr>
      <t>soil</t>
    </r>
    <r>
      <rPr>
        <sz val="11"/>
        <color theme="1"/>
        <rFont val="Arial"/>
        <family val="2"/>
      </rPr>
      <t xml:space="preserve"> + DOSE</t>
    </r>
    <r>
      <rPr>
        <vertAlign val="subscript"/>
        <sz val="11"/>
        <color theme="1"/>
        <rFont val="Arial"/>
        <family val="2"/>
      </rPr>
      <t>prod</t>
    </r>
  </si>
  <si>
    <r>
      <t>OEHHA (2015) Equation 5.3.4.4:
C</t>
    </r>
    <r>
      <rPr>
        <b/>
        <vertAlign val="subscript"/>
        <sz val="11"/>
        <color theme="1"/>
        <rFont val="Arial"/>
        <family val="2"/>
      </rPr>
      <t>m</t>
    </r>
    <r>
      <rPr>
        <b/>
        <sz val="11"/>
        <color theme="1"/>
        <rFont val="Arial"/>
        <family val="2"/>
      </rPr>
      <t xml:space="preserve"> = [(DOSE</t>
    </r>
    <r>
      <rPr>
        <b/>
        <vertAlign val="subscript"/>
        <sz val="11"/>
        <color theme="1"/>
        <rFont val="Arial"/>
        <family val="2"/>
      </rPr>
      <t>inhalation+dermal</t>
    </r>
    <r>
      <rPr>
        <b/>
        <sz val="11"/>
        <color theme="1"/>
        <rFont val="Arial"/>
        <family val="2"/>
      </rPr>
      <t xml:space="preserve"> × Tco</t>
    </r>
    <r>
      <rPr>
        <b/>
        <vertAlign val="subscript"/>
        <sz val="11"/>
        <color theme="1"/>
        <rFont val="Arial"/>
        <family val="2"/>
      </rPr>
      <t>m (inhalation+dermal)</t>
    </r>
    <r>
      <rPr>
        <b/>
        <sz val="11"/>
        <color theme="1"/>
        <rFont val="Arial"/>
        <family val="2"/>
      </rPr>
      <t>) + (DOSE</t>
    </r>
    <r>
      <rPr>
        <b/>
        <vertAlign val="subscript"/>
        <sz val="11"/>
        <color theme="1"/>
        <rFont val="Arial"/>
        <family val="2"/>
      </rPr>
      <t>oral</t>
    </r>
    <r>
      <rPr>
        <b/>
        <sz val="11"/>
        <color theme="1"/>
        <rFont val="Arial"/>
        <family val="2"/>
      </rPr>
      <t xml:space="preserve"> × Tco</t>
    </r>
    <r>
      <rPr>
        <b/>
        <vertAlign val="subscript"/>
        <sz val="11"/>
        <color theme="1"/>
        <rFont val="Arial"/>
        <family val="2"/>
      </rPr>
      <t>m (oral)</t>
    </r>
    <r>
      <rPr>
        <b/>
        <sz val="11"/>
        <color theme="1"/>
        <rFont val="Arial"/>
        <family val="2"/>
      </rPr>
      <t>)] × BW</t>
    </r>
  </si>
  <si>
    <r>
      <t>OEHHA (2015) Equation 5.4.3.5.2:
DOSE</t>
    </r>
    <r>
      <rPr>
        <b/>
        <vertAlign val="subscript"/>
        <sz val="11"/>
        <color theme="1"/>
        <rFont val="Arial"/>
        <family val="2"/>
      </rPr>
      <t>im</t>
    </r>
    <r>
      <rPr>
        <b/>
        <sz val="11"/>
        <color theme="1"/>
        <rFont val="Arial"/>
        <family val="2"/>
      </rPr>
      <t xml:space="preserve"> = C</t>
    </r>
    <r>
      <rPr>
        <b/>
        <vertAlign val="subscript"/>
        <sz val="11"/>
        <color theme="1"/>
        <rFont val="Arial"/>
        <family val="2"/>
      </rPr>
      <t>m</t>
    </r>
    <r>
      <rPr>
        <b/>
        <sz val="11"/>
        <color theme="1"/>
        <rFont val="Arial"/>
        <family val="2"/>
      </rPr>
      <t xml:space="preserve"> × BMI</t>
    </r>
    <r>
      <rPr>
        <b/>
        <vertAlign val="subscript"/>
        <sz val="11"/>
        <color theme="1"/>
        <rFont val="Arial"/>
        <family val="2"/>
      </rPr>
      <t>bw</t>
    </r>
    <r>
      <rPr>
        <b/>
        <sz val="11"/>
        <color theme="1"/>
        <rFont val="Arial"/>
        <family val="2"/>
      </rPr>
      <t xml:space="preserve"> × [10</t>
    </r>
    <r>
      <rPr>
        <b/>
        <vertAlign val="superscript"/>
        <sz val="11"/>
        <color theme="1"/>
        <rFont val="Arial"/>
        <family val="2"/>
      </rPr>
      <t>-3</t>
    </r>
    <r>
      <rPr>
        <b/>
        <sz val="11"/>
        <color theme="1"/>
        <rFont val="Arial"/>
        <family val="2"/>
      </rPr>
      <t xml:space="preserve"> kg/g]</t>
    </r>
  </si>
  <si>
    <r>
      <t>TRV</t>
    </r>
    <r>
      <rPr>
        <vertAlign val="subscript"/>
        <sz val="11"/>
        <rFont val="Arial"/>
        <family val="2"/>
      </rPr>
      <t>noncancer</t>
    </r>
  </si>
  <si>
    <r>
      <t>HQ</t>
    </r>
    <r>
      <rPr>
        <vertAlign val="subscript"/>
        <sz val="11"/>
        <rFont val="Arial"/>
        <family val="2"/>
      </rPr>
      <t>inhalation</t>
    </r>
  </si>
  <si>
    <r>
      <t>HQ</t>
    </r>
    <r>
      <rPr>
        <vertAlign val="subscript"/>
        <sz val="11"/>
        <rFont val="Arial"/>
        <family val="2"/>
      </rPr>
      <t>inhalation</t>
    </r>
    <r>
      <rPr>
        <sz val="11"/>
        <rFont val="Arial"/>
        <family val="2"/>
      </rPr>
      <t xml:space="preserve"> = C</t>
    </r>
    <r>
      <rPr>
        <vertAlign val="subscript"/>
        <sz val="11"/>
        <rFont val="Arial"/>
        <family val="2"/>
      </rPr>
      <t>air</t>
    </r>
    <r>
      <rPr>
        <sz val="11"/>
        <rFont val="Arial"/>
        <family val="2"/>
      </rPr>
      <t>/TRV</t>
    </r>
    <r>
      <rPr>
        <vertAlign val="subscript"/>
        <sz val="11"/>
        <rFont val="Arial"/>
        <family val="2"/>
      </rPr>
      <t>noncancer</t>
    </r>
  </si>
  <si>
    <r>
      <t>RfD</t>
    </r>
    <r>
      <rPr>
        <vertAlign val="subscript"/>
        <sz val="11"/>
        <color theme="1"/>
        <rFont val="Arial"/>
        <family val="2"/>
      </rPr>
      <t>oral</t>
    </r>
  </si>
  <si>
    <r>
      <t>DOSE</t>
    </r>
    <r>
      <rPr>
        <vertAlign val="subscript"/>
        <sz val="11"/>
        <color theme="1"/>
        <rFont val="Arial"/>
        <family val="2"/>
      </rPr>
      <t>oral+dermal</t>
    </r>
  </si>
  <si>
    <r>
      <t>DOSE</t>
    </r>
    <r>
      <rPr>
        <vertAlign val="subscript"/>
        <sz val="11"/>
        <color theme="1"/>
        <rFont val="Arial"/>
        <family val="2"/>
      </rPr>
      <t>total</t>
    </r>
    <r>
      <rPr>
        <sz val="11"/>
        <color theme="1"/>
        <rFont val="Arial"/>
        <family val="2"/>
      </rPr>
      <t xml:space="preserve"> = DOSE</t>
    </r>
    <r>
      <rPr>
        <vertAlign val="subscript"/>
        <sz val="11"/>
        <color theme="1"/>
        <rFont val="Arial"/>
        <family val="2"/>
      </rPr>
      <t>soil</t>
    </r>
    <r>
      <rPr>
        <sz val="11"/>
        <color theme="1"/>
        <rFont val="Arial"/>
        <family val="2"/>
      </rPr>
      <t xml:space="preserve"> + DOSE</t>
    </r>
    <r>
      <rPr>
        <vertAlign val="subscript"/>
        <sz val="11"/>
        <color theme="1"/>
        <rFont val="Arial"/>
        <family val="2"/>
      </rPr>
      <t>prod</t>
    </r>
    <r>
      <rPr>
        <sz val="11"/>
        <color theme="1"/>
        <rFont val="Arial"/>
        <family val="2"/>
      </rPr>
      <t xml:space="preserve"> + DOSE</t>
    </r>
    <r>
      <rPr>
        <vertAlign val="subscript"/>
        <sz val="11"/>
        <color theme="1"/>
        <rFont val="Arial"/>
        <family val="2"/>
      </rPr>
      <t>im</t>
    </r>
    <r>
      <rPr>
        <sz val="11"/>
        <color theme="1"/>
        <rFont val="Arial"/>
        <family val="2"/>
      </rPr>
      <t xml:space="preserve"> + DOSE</t>
    </r>
    <r>
      <rPr>
        <vertAlign val="subscript"/>
        <sz val="11"/>
        <color theme="1"/>
        <rFont val="Arial"/>
        <family val="2"/>
      </rPr>
      <t>dermal</t>
    </r>
  </si>
  <si>
    <r>
      <t>HQ</t>
    </r>
    <r>
      <rPr>
        <vertAlign val="subscript"/>
        <sz val="11"/>
        <color theme="1"/>
        <rFont val="Arial"/>
        <family val="2"/>
      </rPr>
      <t>oral+dermal</t>
    </r>
  </si>
  <si>
    <r>
      <t>HQ</t>
    </r>
    <r>
      <rPr>
        <vertAlign val="subscript"/>
        <sz val="11"/>
        <color theme="1"/>
        <rFont val="Arial"/>
        <family val="2"/>
      </rPr>
      <t>oral+dermal</t>
    </r>
    <r>
      <rPr>
        <sz val="11"/>
        <color theme="1"/>
        <rFont val="Arial"/>
        <family val="2"/>
      </rPr>
      <t xml:space="preserve"> = DOSE</t>
    </r>
    <r>
      <rPr>
        <vertAlign val="subscript"/>
        <sz val="11"/>
        <color theme="1"/>
        <rFont val="Arial"/>
        <family val="2"/>
      </rPr>
      <t>oral+dermal</t>
    </r>
    <r>
      <rPr>
        <sz val="11"/>
        <color theme="1"/>
        <rFont val="Arial"/>
        <family val="2"/>
      </rPr>
      <t xml:space="preserve"> / RfD</t>
    </r>
    <r>
      <rPr>
        <vertAlign val="subscript"/>
        <sz val="11"/>
        <color theme="1"/>
        <rFont val="Arial"/>
        <family val="2"/>
      </rPr>
      <t>oral</t>
    </r>
  </si>
  <si>
    <r>
      <t>MPAF = (HQ</t>
    </r>
    <r>
      <rPr>
        <b/>
        <vertAlign val="subscript"/>
        <sz val="11"/>
        <color theme="1"/>
        <rFont val="Arial"/>
        <family val="2"/>
      </rPr>
      <t>inhalation</t>
    </r>
    <r>
      <rPr>
        <b/>
        <sz val="11"/>
        <color theme="1"/>
        <rFont val="Arial"/>
        <family val="2"/>
      </rPr>
      <t xml:space="preserve"> + HQ</t>
    </r>
    <r>
      <rPr>
        <b/>
        <vertAlign val="subscript"/>
        <sz val="11"/>
        <color theme="1"/>
        <rFont val="Arial"/>
        <family val="2"/>
      </rPr>
      <t>oral+dermal</t>
    </r>
    <r>
      <rPr>
        <b/>
        <sz val="11"/>
        <color theme="1"/>
        <rFont val="Arial"/>
        <family val="2"/>
      </rPr>
      <t>) / HQ</t>
    </r>
    <r>
      <rPr>
        <b/>
        <vertAlign val="subscript"/>
        <sz val="11"/>
        <color theme="1"/>
        <rFont val="Arial"/>
        <family val="2"/>
      </rPr>
      <t>inhalation</t>
    </r>
  </si>
  <si>
    <r>
      <t>C</t>
    </r>
    <r>
      <rPr>
        <b/>
        <vertAlign val="subscript"/>
        <sz val="11"/>
        <color theme="1"/>
        <rFont val="Arial"/>
        <family val="2"/>
      </rPr>
      <t>soil</t>
    </r>
  </si>
  <si>
    <r>
      <t>SIR</t>
    </r>
    <r>
      <rPr>
        <vertAlign val="subscript"/>
        <sz val="11"/>
        <color theme="1"/>
        <rFont val="Arial"/>
        <family val="2"/>
      </rPr>
      <t>2 &lt; 12 years</t>
    </r>
  </si>
  <si>
    <r>
      <t>OEHHA (2015) Equation 5.4.3.1.1:
DOSE</t>
    </r>
    <r>
      <rPr>
        <b/>
        <vertAlign val="subscript"/>
        <sz val="11"/>
        <color theme="1"/>
        <rFont val="Arial"/>
        <family val="2"/>
      </rPr>
      <t>soil</t>
    </r>
    <r>
      <rPr>
        <b/>
        <sz val="11"/>
        <color theme="1"/>
        <rFont val="Arial"/>
        <family val="2"/>
      </rPr>
      <t xml:space="preserve"> = C</t>
    </r>
    <r>
      <rPr>
        <b/>
        <vertAlign val="subscript"/>
        <sz val="11"/>
        <color theme="1"/>
        <rFont val="Arial"/>
        <family val="2"/>
      </rPr>
      <t>soil</t>
    </r>
    <r>
      <rPr>
        <b/>
        <sz val="11"/>
        <color theme="1"/>
        <rFont val="Arial"/>
        <family val="2"/>
      </rPr>
      <t xml:space="preserve"> × GRAF × SIR × [10</t>
    </r>
    <r>
      <rPr>
        <b/>
        <vertAlign val="superscript"/>
        <sz val="11"/>
        <color theme="1"/>
        <rFont val="Arial"/>
        <family val="2"/>
      </rPr>
      <t>-9</t>
    </r>
    <r>
      <rPr>
        <b/>
        <sz val="11"/>
        <color theme="1"/>
        <rFont val="Arial"/>
        <family val="2"/>
      </rPr>
      <t xml:space="preserve"> kg/µg] × EF</t>
    </r>
  </si>
  <si>
    <r>
      <t>DOSE</t>
    </r>
    <r>
      <rPr>
        <b/>
        <vertAlign val="subscript"/>
        <sz val="11"/>
        <color theme="1"/>
        <rFont val="Arial"/>
        <family val="2"/>
      </rPr>
      <t>soil (2 &lt; 12 years)</t>
    </r>
  </si>
  <si>
    <r>
      <t>ADL</t>
    </r>
    <r>
      <rPr>
        <vertAlign val="subscript"/>
        <sz val="11"/>
        <color theme="1"/>
        <rFont val="Arial"/>
        <family val="2"/>
      </rPr>
      <t>2 &lt; 12 years</t>
    </r>
  </si>
  <si>
    <r>
      <t>OEHHA (2015) Equation 5.4.2.1:
DOSE</t>
    </r>
    <r>
      <rPr>
        <b/>
        <vertAlign val="subscript"/>
        <sz val="11"/>
        <color theme="1"/>
        <rFont val="Arial"/>
        <family val="2"/>
      </rPr>
      <t>dermal</t>
    </r>
    <r>
      <rPr>
        <b/>
        <sz val="11"/>
        <color theme="1"/>
        <rFont val="Arial"/>
        <family val="2"/>
      </rPr>
      <t xml:space="preserve"> = ADL × C</t>
    </r>
    <r>
      <rPr>
        <b/>
        <vertAlign val="subscript"/>
        <sz val="11"/>
        <color theme="1"/>
        <rFont val="Arial"/>
        <family val="2"/>
      </rPr>
      <t>soil</t>
    </r>
    <r>
      <rPr>
        <b/>
        <sz val="11"/>
        <color theme="1"/>
        <rFont val="Arial"/>
        <family val="2"/>
      </rPr>
      <t xml:space="preserve"> × ABS × [10</t>
    </r>
    <r>
      <rPr>
        <b/>
        <vertAlign val="superscript"/>
        <sz val="11"/>
        <color theme="1"/>
        <rFont val="Arial"/>
        <family val="2"/>
      </rPr>
      <t>-9</t>
    </r>
    <r>
      <rPr>
        <b/>
        <sz val="11"/>
        <color theme="1"/>
        <rFont val="Arial"/>
        <family val="2"/>
      </rPr>
      <t xml:space="preserve"> kg/µg] / 365</t>
    </r>
  </si>
  <si>
    <r>
      <t>DOSE</t>
    </r>
    <r>
      <rPr>
        <b/>
        <vertAlign val="subscript"/>
        <sz val="11"/>
        <color theme="1"/>
        <rFont val="Arial"/>
        <family val="2"/>
      </rPr>
      <t>dermal (2 &lt; 12 years)</t>
    </r>
  </si>
  <si>
    <r>
      <t>RISK</t>
    </r>
    <r>
      <rPr>
        <vertAlign val="subscript"/>
        <sz val="11"/>
        <rFont val="Arial"/>
        <family val="2"/>
      </rPr>
      <t>inhalation</t>
    </r>
    <r>
      <rPr>
        <sz val="11"/>
        <rFont val="Arial"/>
        <family val="2"/>
      </rPr>
      <t xml:space="preserve"> = C</t>
    </r>
    <r>
      <rPr>
        <vertAlign val="subscript"/>
        <sz val="11"/>
        <rFont val="Arial"/>
        <family val="2"/>
      </rPr>
      <t xml:space="preserve">air </t>
    </r>
    <r>
      <rPr>
        <sz val="11"/>
        <rFont val="Arial"/>
        <family val="2"/>
      </rPr>
      <t>× ELAF / (TRV</t>
    </r>
    <r>
      <rPr>
        <vertAlign val="subscript"/>
        <sz val="11"/>
        <rFont val="Arial"/>
        <family val="2"/>
      </rPr>
      <t xml:space="preserve">cancer </t>
    </r>
    <r>
      <rPr>
        <sz val="11"/>
        <rFont val="Arial"/>
        <family val="2"/>
      </rPr>
      <t>× childNRAFc)</t>
    </r>
  </si>
  <si>
    <r>
      <t>DOSE</t>
    </r>
    <r>
      <rPr>
        <vertAlign val="subscript"/>
        <sz val="11"/>
        <rFont val="Arial"/>
        <family val="2"/>
      </rPr>
      <t>oral+dermal</t>
    </r>
    <r>
      <rPr>
        <sz val="11"/>
        <rFont val="Arial"/>
        <family val="2"/>
      </rPr>
      <t xml:space="preserve"> = DOSE</t>
    </r>
    <r>
      <rPr>
        <vertAlign val="subscript"/>
        <sz val="11"/>
        <rFont val="Arial"/>
        <family val="2"/>
      </rPr>
      <t>soil</t>
    </r>
    <r>
      <rPr>
        <sz val="11"/>
        <rFont val="Arial"/>
        <family val="2"/>
      </rPr>
      <t xml:space="preserve">  + DOSE</t>
    </r>
    <r>
      <rPr>
        <vertAlign val="subscript"/>
        <sz val="11"/>
        <rFont val="Arial"/>
        <family val="2"/>
      </rPr>
      <t>dermal</t>
    </r>
  </si>
  <si>
    <r>
      <t>DOSE</t>
    </r>
    <r>
      <rPr>
        <vertAlign val="subscript"/>
        <sz val="11"/>
        <color theme="1"/>
        <rFont val="Arial"/>
        <family val="2"/>
      </rPr>
      <t>oral+dermal (2 &lt; 12 years)</t>
    </r>
  </si>
  <si>
    <r>
      <t>ASF</t>
    </r>
    <r>
      <rPr>
        <vertAlign val="subscript"/>
        <sz val="11"/>
        <color theme="1"/>
        <rFont val="Arial"/>
        <family val="2"/>
      </rPr>
      <t>2 &lt; 12 years</t>
    </r>
  </si>
  <si>
    <r>
      <t>ED</t>
    </r>
    <r>
      <rPr>
        <vertAlign val="subscript"/>
        <sz val="11"/>
        <color theme="1"/>
        <rFont val="Arial"/>
        <family val="2"/>
      </rPr>
      <t>2 &lt; 12 years</t>
    </r>
  </si>
  <si>
    <r>
      <t>RISK</t>
    </r>
    <r>
      <rPr>
        <vertAlign val="subscript"/>
        <sz val="11"/>
        <color theme="1"/>
        <rFont val="Arial"/>
        <family val="2"/>
      </rPr>
      <t>oral+dermal</t>
    </r>
    <r>
      <rPr>
        <sz val="11"/>
        <color theme="1"/>
        <rFont val="Arial"/>
        <family val="2"/>
      </rPr>
      <t xml:space="preserve"> = DOSE</t>
    </r>
    <r>
      <rPr>
        <vertAlign val="subscript"/>
        <sz val="11"/>
        <color theme="1"/>
        <rFont val="Arial"/>
        <family val="2"/>
      </rPr>
      <t>oral+dermal</t>
    </r>
    <r>
      <rPr>
        <sz val="11"/>
        <color theme="1"/>
        <rFont val="Arial"/>
        <family val="2"/>
      </rPr>
      <t xml:space="preserve"> × CSF</t>
    </r>
    <r>
      <rPr>
        <vertAlign val="subscript"/>
        <sz val="11"/>
        <color theme="1"/>
        <rFont val="Arial"/>
        <family val="2"/>
      </rPr>
      <t>oral</t>
    </r>
    <r>
      <rPr>
        <sz val="11"/>
        <color theme="1"/>
        <rFont val="Arial"/>
        <family val="2"/>
      </rPr>
      <t xml:space="preserve"> × ASF × ED/AT  × [10</t>
    </r>
    <r>
      <rPr>
        <vertAlign val="superscript"/>
        <sz val="11"/>
        <color theme="1"/>
        <rFont val="Arial"/>
        <family val="2"/>
      </rPr>
      <t>6</t>
    </r>
    <r>
      <rPr>
        <sz val="11"/>
        <color theme="1"/>
        <rFont val="Arial"/>
        <family val="2"/>
      </rPr>
      <t>]</t>
    </r>
  </si>
  <si>
    <r>
      <t>RISK</t>
    </r>
    <r>
      <rPr>
        <vertAlign val="subscript"/>
        <sz val="11"/>
        <color theme="1"/>
        <rFont val="Arial"/>
        <family val="2"/>
      </rPr>
      <t>oral+dermal (0 &lt; 2 years)</t>
    </r>
  </si>
  <si>
    <r>
      <t>RISK</t>
    </r>
    <r>
      <rPr>
        <vertAlign val="subscript"/>
        <sz val="11"/>
        <color theme="1"/>
        <rFont val="Arial"/>
        <family val="2"/>
      </rPr>
      <t>oral+dermal (2 &lt; 12 years)</t>
    </r>
  </si>
  <si>
    <r>
      <t>RISK</t>
    </r>
    <r>
      <rPr>
        <vertAlign val="subscript"/>
        <sz val="11"/>
        <color theme="1"/>
        <rFont val="Arial"/>
        <family val="2"/>
      </rPr>
      <t>oral+dermal</t>
    </r>
    <r>
      <rPr>
        <sz val="11"/>
        <color theme="1"/>
        <rFont val="Arial"/>
        <family val="2"/>
      </rPr>
      <t xml:space="preserve"> = RISK</t>
    </r>
    <r>
      <rPr>
        <vertAlign val="subscript"/>
        <sz val="11"/>
        <color theme="1"/>
        <rFont val="Arial"/>
        <family val="2"/>
      </rPr>
      <t>oral+dermal (0 &lt; 2 years)</t>
    </r>
    <r>
      <rPr>
        <sz val="11"/>
        <color theme="1"/>
        <rFont val="Arial"/>
        <family val="2"/>
      </rPr>
      <t xml:space="preserve"> + RISK</t>
    </r>
    <r>
      <rPr>
        <vertAlign val="subscript"/>
        <sz val="11"/>
        <color theme="1"/>
        <rFont val="Arial"/>
        <family val="2"/>
      </rPr>
      <t>oral+dermal (2 &lt; 12 years)</t>
    </r>
  </si>
  <si>
    <r>
      <t>SIR</t>
    </r>
    <r>
      <rPr>
        <vertAlign val="subscript"/>
        <sz val="11"/>
        <rFont val="Arial"/>
        <family val="2"/>
      </rPr>
      <t>2 &lt; 12 years</t>
    </r>
  </si>
  <si>
    <r>
      <t>ED</t>
    </r>
    <r>
      <rPr>
        <vertAlign val="subscript"/>
        <sz val="11"/>
        <rFont val="Arial"/>
        <family val="2"/>
      </rPr>
      <t>2 &lt; 12 years</t>
    </r>
  </si>
  <si>
    <r>
      <t>OEHHA (2015) Equation 5.4.3.1.2:
DOSE</t>
    </r>
    <r>
      <rPr>
        <vertAlign val="subscript"/>
        <sz val="11"/>
        <rFont val="Arial"/>
        <family val="2"/>
      </rPr>
      <t>soil (exposure group)</t>
    </r>
    <r>
      <rPr>
        <sz val="11"/>
        <rFont val="Arial"/>
        <family val="2"/>
      </rPr>
      <t xml:space="preserve"> = C</t>
    </r>
    <r>
      <rPr>
        <vertAlign val="subscript"/>
        <sz val="11"/>
        <rFont val="Arial"/>
        <family val="2"/>
      </rPr>
      <t>soil</t>
    </r>
    <r>
      <rPr>
        <sz val="11"/>
        <rFont val="Arial"/>
        <family val="2"/>
      </rPr>
      <t xml:space="preserve"> × GRAF × SIR × ED/AT × [10</t>
    </r>
    <r>
      <rPr>
        <vertAlign val="superscript"/>
        <sz val="11"/>
        <rFont val="Arial"/>
        <family val="2"/>
      </rPr>
      <t>-9</t>
    </r>
    <r>
      <rPr>
        <sz val="11"/>
        <rFont val="Arial"/>
        <family val="2"/>
      </rPr>
      <t xml:space="preserve"> kg/µg]</t>
    </r>
  </si>
  <si>
    <r>
      <t>DOSE</t>
    </r>
    <r>
      <rPr>
        <vertAlign val="subscript"/>
        <sz val="11"/>
        <rFont val="Arial"/>
        <family val="2"/>
      </rPr>
      <t>soil (2 &lt; 12 years)</t>
    </r>
  </si>
  <si>
    <r>
      <t>ADL</t>
    </r>
    <r>
      <rPr>
        <vertAlign val="subscript"/>
        <sz val="11"/>
        <rFont val="Arial"/>
        <family val="2"/>
      </rPr>
      <t>0 &lt; 2 years</t>
    </r>
  </si>
  <si>
    <r>
      <t>ADL</t>
    </r>
    <r>
      <rPr>
        <vertAlign val="subscript"/>
        <sz val="11"/>
        <rFont val="Arial"/>
        <family val="2"/>
      </rPr>
      <t>2 &lt; 12 years</t>
    </r>
  </si>
  <si>
    <r>
      <t>OEHHA (2015) Equation 5.4.2.2:
DOSE</t>
    </r>
    <r>
      <rPr>
        <vertAlign val="subscript"/>
        <sz val="11"/>
        <color theme="1"/>
        <rFont val="Arial"/>
        <family val="2"/>
      </rPr>
      <t>dermal</t>
    </r>
    <r>
      <rPr>
        <sz val="11"/>
        <color theme="1"/>
        <rFont val="Arial"/>
        <family val="2"/>
      </rPr>
      <t xml:space="preserve"> = ADL × C</t>
    </r>
    <r>
      <rPr>
        <vertAlign val="subscript"/>
        <sz val="11"/>
        <color theme="1"/>
        <rFont val="Arial"/>
        <family val="2"/>
      </rPr>
      <t>soil</t>
    </r>
    <r>
      <rPr>
        <sz val="11"/>
        <color theme="1"/>
        <rFont val="Arial"/>
        <family val="2"/>
      </rPr>
      <t xml:space="preserve"> × ABS × ED/AT × [1 yr/350 d] × [10</t>
    </r>
    <r>
      <rPr>
        <vertAlign val="superscript"/>
        <sz val="11"/>
        <color theme="1"/>
        <rFont val="Arial"/>
        <family val="2"/>
      </rPr>
      <t>-9</t>
    </r>
    <r>
      <rPr>
        <sz val="11"/>
        <color theme="1"/>
        <rFont val="Arial"/>
        <family val="2"/>
      </rPr>
      <t xml:space="preserve"> kg/µg]</t>
    </r>
  </si>
  <si>
    <r>
      <t>DOSE</t>
    </r>
    <r>
      <rPr>
        <vertAlign val="subscript"/>
        <sz val="11"/>
        <color theme="1"/>
        <rFont val="Arial"/>
        <family val="2"/>
      </rPr>
      <t>dermal (2 &lt; 12 years)</t>
    </r>
  </si>
  <si>
    <r>
      <t>HQ</t>
    </r>
    <r>
      <rPr>
        <vertAlign val="subscript"/>
        <sz val="11"/>
        <rFont val="Arial"/>
        <family val="2"/>
      </rPr>
      <t>inhalation</t>
    </r>
    <r>
      <rPr>
        <sz val="11"/>
        <rFont val="Arial"/>
        <family val="2"/>
      </rPr>
      <t xml:space="preserve"> = C</t>
    </r>
    <r>
      <rPr>
        <vertAlign val="subscript"/>
        <sz val="11"/>
        <rFont val="Arial"/>
        <family val="2"/>
      </rPr>
      <t xml:space="preserve">air (adjusted) </t>
    </r>
    <r>
      <rPr>
        <sz val="11"/>
        <rFont val="Arial"/>
        <family val="2"/>
      </rPr>
      <t>/ (TRV</t>
    </r>
    <r>
      <rPr>
        <vertAlign val="subscript"/>
        <sz val="11"/>
        <rFont val="Arial"/>
        <family val="2"/>
      </rPr>
      <t>noncancer</t>
    </r>
    <r>
      <rPr>
        <sz val="11"/>
        <rFont val="Arial"/>
        <family val="2"/>
      </rPr>
      <t xml:space="preserve"> × childNRAFnc)</t>
    </r>
  </si>
  <si>
    <r>
      <t>DOSE</t>
    </r>
    <r>
      <rPr>
        <vertAlign val="subscript"/>
        <sz val="11"/>
        <color theme="1"/>
        <rFont val="Arial"/>
        <family val="2"/>
      </rPr>
      <t>oral+dermal</t>
    </r>
    <r>
      <rPr>
        <sz val="11"/>
        <color theme="1"/>
        <rFont val="Arial"/>
        <family val="2"/>
      </rPr>
      <t xml:space="preserve"> = DOSE</t>
    </r>
    <r>
      <rPr>
        <vertAlign val="subscript"/>
        <sz val="11"/>
        <color theme="1"/>
        <rFont val="Arial"/>
        <family val="2"/>
      </rPr>
      <t>soil</t>
    </r>
    <r>
      <rPr>
        <sz val="11"/>
        <color theme="1"/>
        <rFont val="Arial"/>
        <family val="2"/>
      </rPr>
      <t xml:space="preserve"> + DOSE</t>
    </r>
    <r>
      <rPr>
        <vertAlign val="subscript"/>
        <sz val="11"/>
        <color theme="1"/>
        <rFont val="Arial"/>
        <family val="2"/>
      </rPr>
      <t>dermal</t>
    </r>
  </si>
  <si>
    <r>
      <t>C</t>
    </r>
    <r>
      <rPr>
        <vertAlign val="subscript"/>
        <sz val="11"/>
        <rFont val="Arial"/>
        <family val="2"/>
      </rPr>
      <t>air (adjusted)</t>
    </r>
  </si>
  <si>
    <r>
      <t>OEHHA (2015) Equation 5.4.1.4.A:
C</t>
    </r>
    <r>
      <rPr>
        <vertAlign val="subscript"/>
        <sz val="11"/>
        <color theme="1"/>
        <rFont val="Arial"/>
        <family val="2"/>
      </rPr>
      <t>air (adjusted)</t>
    </r>
    <r>
      <rPr>
        <sz val="11"/>
        <color theme="1"/>
        <rFont val="Arial"/>
        <family val="2"/>
      </rPr>
      <t xml:space="preserve"> = C</t>
    </r>
    <r>
      <rPr>
        <vertAlign val="subscript"/>
        <sz val="11"/>
        <color theme="1"/>
        <rFont val="Arial"/>
        <family val="2"/>
      </rPr>
      <t>air</t>
    </r>
    <r>
      <rPr>
        <sz val="11"/>
        <color theme="1"/>
        <rFont val="Arial"/>
        <family val="2"/>
      </rPr>
      <t xml:space="preserve"> × WAF</t>
    </r>
  </si>
  <si>
    <r>
      <t>RISK</t>
    </r>
    <r>
      <rPr>
        <vertAlign val="subscript"/>
        <sz val="11"/>
        <rFont val="Arial"/>
        <family val="2"/>
      </rPr>
      <t>inhalation</t>
    </r>
    <r>
      <rPr>
        <sz val="11"/>
        <rFont val="Arial"/>
        <family val="2"/>
      </rPr>
      <t xml:space="preserve"> = C</t>
    </r>
    <r>
      <rPr>
        <vertAlign val="subscript"/>
        <sz val="11"/>
        <rFont val="Arial"/>
        <family val="2"/>
      </rPr>
      <t>air (adjusted)</t>
    </r>
    <r>
      <rPr>
        <sz val="11"/>
        <rFont val="Arial"/>
        <family val="2"/>
      </rPr>
      <t xml:space="preserve"> / (TRV</t>
    </r>
    <r>
      <rPr>
        <vertAlign val="subscript"/>
        <sz val="11"/>
        <rFont val="Arial"/>
        <family val="2"/>
      </rPr>
      <t xml:space="preserve">cancer </t>
    </r>
    <r>
      <rPr>
        <sz val="11"/>
        <rFont val="Arial"/>
        <family val="2"/>
      </rPr>
      <t>× workerNRAFc)</t>
    </r>
  </si>
  <si>
    <r>
      <t>Equation 8.2.5:
RISK</t>
    </r>
    <r>
      <rPr>
        <vertAlign val="subscript"/>
        <sz val="11"/>
        <color theme="1"/>
        <rFont val="Arial"/>
        <family val="2"/>
      </rPr>
      <t>oral+dermal</t>
    </r>
    <r>
      <rPr>
        <sz val="11"/>
        <color theme="1"/>
        <rFont val="Arial"/>
        <family val="2"/>
      </rPr>
      <t xml:space="preserve"> = DOSE</t>
    </r>
    <r>
      <rPr>
        <vertAlign val="subscript"/>
        <sz val="11"/>
        <color theme="1"/>
        <rFont val="Arial"/>
        <family val="2"/>
      </rPr>
      <t>oral+dermal</t>
    </r>
    <r>
      <rPr>
        <sz val="11"/>
        <color theme="1"/>
        <rFont val="Arial"/>
        <family val="2"/>
      </rPr>
      <t xml:space="preserve"> × CSF</t>
    </r>
    <r>
      <rPr>
        <vertAlign val="subscript"/>
        <sz val="11"/>
        <color theme="1"/>
        <rFont val="Arial"/>
        <family val="2"/>
      </rPr>
      <t>oral</t>
    </r>
    <r>
      <rPr>
        <sz val="11"/>
        <color theme="1"/>
        <rFont val="Arial"/>
        <family val="2"/>
      </rPr>
      <t xml:space="preserve"> × ASF × ED/AT × [10</t>
    </r>
    <r>
      <rPr>
        <vertAlign val="superscript"/>
        <sz val="11"/>
        <color theme="1"/>
        <rFont val="Arial"/>
        <family val="2"/>
      </rPr>
      <t>6</t>
    </r>
    <r>
      <rPr>
        <sz val="11"/>
        <color theme="1"/>
        <rFont val="Arial"/>
        <family val="2"/>
      </rPr>
      <t>]</t>
    </r>
  </si>
  <si>
    <r>
      <t>OEHHA (2015) Equation 5.4.3.1.2:
DOSE</t>
    </r>
    <r>
      <rPr>
        <b/>
        <vertAlign val="subscript"/>
        <sz val="11"/>
        <color theme="1"/>
        <rFont val="Arial"/>
        <family val="2"/>
      </rPr>
      <t>soil</t>
    </r>
    <r>
      <rPr>
        <b/>
        <sz val="11"/>
        <color theme="1"/>
        <rFont val="Arial"/>
        <family val="2"/>
      </rPr>
      <t xml:space="preserve"> = C</t>
    </r>
    <r>
      <rPr>
        <b/>
        <vertAlign val="subscript"/>
        <sz val="11"/>
        <color theme="1"/>
        <rFont val="Arial"/>
        <family val="2"/>
      </rPr>
      <t>soil</t>
    </r>
    <r>
      <rPr>
        <b/>
        <sz val="11"/>
        <color theme="1"/>
        <rFont val="Arial"/>
        <family val="2"/>
      </rPr>
      <t xml:space="preserve"> × GRAF × SIR × ED/AT × [10</t>
    </r>
    <r>
      <rPr>
        <b/>
        <vertAlign val="superscript"/>
        <sz val="11"/>
        <color theme="1"/>
        <rFont val="Arial"/>
        <family val="2"/>
      </rPr>
      <t>-9</t>
    </r>
    <r>
      <rPr>
        <b/>
        <sz val="11"/>
        <color theme="1"/>
        <rFont val="Arial"/>
        <family val="2"/>
      </rPr>
      <t xml:space="preserve"> kg/µg]</t>
    </r>
  </si>
  <si>
    <r>
      <t>OEHHA (2015) Equation 5.4.2.2:
DOSE</t>
    </r>
    <r>
      <rPr>
        <b/>
        <vertAlign val="subscript"/>
        <sz val="11"/>
        <color theme="1"/>
        <rFont val="Arial"/>
        <family val="2"/>
      </rPr>
      <t>dermal</t>
    </r>
    <r>
      <rPr>
        <b/>
        <sz val="11"/>
        <color theme="1"/>
        <rFont val="Arial"/>
        <family val="2"/>
      </rPr>
      <t xml:space="preserve"> = ADL × C</t>
    </r>
    <r>
      <rPr>
        <b/>
        <vertAlign val="subscript"/>
        <sz val="11"/>
        <color theme="1"/>
        <rFont val="Arial"/>
        <family val="2"/>
      </rPr>
      <t>soil</t>
    </r>
    <r>
      <rPr>
        <b/>
        <sz val="11"/>
        <color theme="1"/>
        <rFont val="Arial"/>
        <family val="2"/>
      </rPr>
      <t xml:space="preserve"> × ABS × ED/AT × [1 yr/350 d] × [10</t>
    </r>
    <r>
      <rPr>
        <b/>
        <vertAlign val="superscript"/>
        <sz val="11"/>
        <color theme="1"/>
        <rFont val="Arial"/>
        <family val="2"/>
      </rPr>
      <t>-9</t>
    </r>
    <r>
      <rPr>
        <b/>
        <sz val="11"/>
        <color theme="1"/>
        <rFont val="Arial"/>
        <family val="2"/>
      </rPr>
      <t xml:space="preserve"> kg/µg]</t>
    </r>
  </si>
  <si>
    <r>
      <t>HQ</t>
    </r>
    <r>
      <rPr>
        <vertAlign val="subscript"/>
        <sz val="11"/>
        <rFont val="Arial"/>
        <family val="2"/>
      </rPr>
      <t>inhalation</t>
    </r>
    <r>
      <rPr>
        <sz val="11"/>
        <rFont val="Arial"/>
        <family val="2"/>
      </rPr>
      <t xml:space="preserve"> = C</t>
    </r>
    <r>
      <rPr>
        <vertAlign val="subscript"/>
        <sz val="11"/>
        <rFont val="Arial"/>
        <family val="2"/>
      </rPr>
      <t>air (adjusted)</t>
    </r>
    <r>
      <rPr>
        <sz val="11"/>
        <rFont val="Arial"/>
        <family val="2"/>
      </rPr>
      <t xml:space="preserve"> / (TRV</t>
    </r>
    <r>
      <rPr>
        <vertAlign val="subscript"/>
        <sz val="11"/>
        <rFont val="Arial"/>
        <family val="2"/>
      </rPr>
      <t>noncancer</t>
    </r>
    <r>
      <rPr>
        <sz val="11"/>
        <rFont val="Arial"/>
        <family val="2"/>
      </rPr>
      <t xml:space="preserve"> × workerNRAFnc)</t>
    </r>
  </si>
  <si>
    <r>
      <t>Cancer Inhalation TRV (µg/m</t>
    </r>
    <r>
      <rPr>
        <b/>
        <vertAlign val="superscript"/>
        <sz val="11"/>
        <rFont val="Arial"/>
        <family val="2"/>
      </rPr>
      <t>3</t>
    </r>
    <r>
      <rPr>
        <b/>
        <sz val="11"/>
        <rFont val="Arial"/>
        <family val="2"/>
      </rPr>
      <t>)</t>
    </r>
  </si>
  <si>
    <r>
      <t>Oral Cancer Slope Factor (mg/kg/d)</t>
    </r>
    <r>
      <rPr>
        <b/>
        <vertAlign val="superscript"/>
        <sz val="11"/>
        <rFont val="Arial"/>
        <family val="2"/>
      </rPr>
      <t>-1</t>
    </r>
  </si>
  <si>
    <r>
      <t>USEPA (2011) Table 8–29 50</t>
    </r>
    <r>
      <rPr>
        <vertAlign val="superscript"/>
        <sz val="11"/>
        <rFont val="Arial"/>
        <family val="2"/>
      </rPr>
      <t>th</t>
    </r>
    <r>
      <rPr>
        <sz val="11"/>
        <rFont val="Arial"/>
        <family val="2"/>
      </rPr>
      <t xml:space="preserve"> percentile weight for all trimesters</t>
    </r>
  </si>
  <si>
    <r>
      <t>OEHHA (2012)
Table 7.9–7.13
75</t>
    </r>
    <r>
      <rPr>
        <vertAlign val="superscript"/>
        <sz val="11"/>
        <color theme="1"/>
        <rFont val="Arial"/>
        <family val="2"/>
      </rPr>
      <t>th</t>
    </r>
    <r>
      <rPr>
        <sz val="11"/>
        <color theme="1"/>
        <rFont val="Arial"/>
        <family val="2"/>
      </rPr>
      <t xml:space="preserve"> percentile</t>
    </r>
  </si>
  <si>
    <t>16 – 70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</si>
</sst>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E+00"/>
    <numFmt numFmtId="166" formatCode="0.000"/>
    <numFmt numFmtId="167" formatCode="0.0000"/>
    <numFmt numFmtId="168" formatCode="_(* #,##0.000_);_(* \(#,##0.000\);_(* &quot;-&quot;??_);_(@_)"/>
  </numFmts>
  <fonts count="32" x14ac:knownFonts="1">
    <font>
      <sz val="11"/>
      <color theme="1"/>
      <name val="Calibri"/>
      <family val="2"/>
      <scheme val="minor"/>
    </font>
    <font>
      <sz val="11"/>
      <color theme="1"/>
      <name val="Calibri"/>
      <family val="2"/>
      <scheme val="minor"/>
    </font>
    <font>
      <sz val="11"/>
      <color rgb="FF002288"/>
      <name val="Helvetica"/>
    </font>
    <font>
      <u/>
      <sz val="11"/>
      <color theme="10"/>
      <name val="Calibri"/>
      <family val="2"/>
      <scheme val="minor"/>
    </font>
    <font>
      <b/>
      <sz val="20"/>
      <color theme="1"/>
      <name val="Arial"/>
      <family val="2"/>
    </font>
    <font>
      <sz val="20"/>
      <color theme="1"/>
      <name val="Arial"/>
      <family val="2"/>
    </font>
    <font>
      <sz val="11"/>
      <color theme="1"/>
      <name val="Arial"/>
      <family val="2"/>
    </font>
    <font>
      <b/>
      <sz val="11"/>
      <color theme="1"/>
      <name val="Arial"/>
      <family val="2"/>
    </font>
    <font>
      <b/>
      <sz val="11"/>
      <name val="Arial"/>
      <family val="2"/>
    </font>
    <font>
      <sz val="11"/>
      <name val="Arial"/>
      <family val="2"/>
    </font>
    <font>
      <sz val="11"/>
      <color rgb="FFFF0000"/>
      <name val="Arial"/>
      <family val="2"/>
    </font>
    <font>
      <i/>
      <sz val="11"/>
      <color theme="1"/>
      <name val="Arial"/>
      <family val="2"/>
    </font>
    <font>
      <b/>
      <sz val="16"/>
      <color theme="0"/>
      <name val="Arial"/>
      <family val="2"/>
    </font>
    <font>
      <sz val="11"/>
      <color theme="0"/>
      <name val="Arial"/>
      <family val="2"/>
    </font>
    <font>
      <b/>
      <sz val="11"/>
      <color theme="4"/>
      <name val="Arial"/>
      <family val="2"/>
    </font>
    <font>
      <b/>
      <sz val="16"/>
      <color rgb="FF0070C0"/>
      <name val="Arial"/>
      <family val="2"/>
    </font>
    <font>
      <b/>
      <vertAlign val="subscript"/>
      <sz val="11"/>
      <name val="Arial"/>
      <family val="2"/>
    </font>
    <font>
      <sz val="11"/>
      <color rgb="FF0070C0"/>
      <name val="Arial"/>
      <family val="2"/>
    </font>
    <font>
      <b/>
      <sz val="11"/>
      <color theme="5" tint="-0.249977111117893"/>
      <name val="Arial"/>
      <family val="2"/>
    </font>
    <font>
      <b/>
      <vertAlign val="subscript"/>
      <sz val="11"/>
      <color theme="1"/>
      <name val="Arial"/>
      <family val="2"/>
    </font>
    <font>
      <b/>
      <vertAlign val="superscript"/>
      <sz val="11"/>
      <color theme="1"/>
      <name val="Arial"/>
      <family val="2"/>
    </font>
    <font>
      <u/>
      <sz val="11"/>
      <name val="Arial"/>
      <family val="2"/>
    </font>
    <font>
      <vertAlign val="subscript"/>
      <sz val="11"/>
      <color theme="1"/>
      <name val="Arial"/>
      <family val="2"/>
    </font>
    <font>
      <vertAlign val="superscript"/>
      <sz val="11"/>
      <color theme="1"/>
      <name val="Arial"/>
      <family val="2"/>
    </font>
    <font>
      <sz val="11"/>
      <color theme="5" tint="-0.249977111117893"/>
      <name val="Arial"/>
      <family val="2"/>
    </font>
    <font>
      <b/>
      <vertAlign val="superscript"/>
      <sz val="11"/>
      <name val="Arial"/>
      <family val="2"/>
    </font>
    <font>
      <vertAlign val="subscript"/>
      <sz val="11"/>
      <name val="Arial"/>
      <family val="2"/>
    </font>
    <font>
      <vertAlign val="superscript"/>
      <sz val="11"/>
      <name val="Arial"/>
      <family val="2"/>
    </font>
    <font>
      <b/>
      <sz val="11"/>
      <color rgb="FF0070C0"/>
      <name val="Arial"/>
      <family val="2"/>
    </font>
    <font>
      <i/>
      <sz val="11"/>
      <name val="Arial"/>
      <family val="2"/>
    </font>
    <font>
      <b/>
      <sz val="11"/>
      <color rgb="FFFF0000"/>
      <name val="Arial"/>
      <family val="2"/>
    </font>
    <font>
      <u/>
      <sz val="11"/>
      <color theme="10"/>
      <name val="Arial"/>
      <family val="2"/>
    </font>
  </fonts>
  <fills count="17">
    <fill>
      <patternFill patternType="none"/>
    </fill>
    <fill>
      <patternFill patternType="gray125"/>
    </fill>
    <fill>
      <patternFill patternType="solid">
        <fgColor theme="2"/>
        <bgColor indexed="64"/>
      </patternFill>
    </fill>
    <fill>
      <patternFill patternType="solid">
        <fgColor rgb="FFFFF4D5"/>
        <bgColor indexed="64"/>
      </patternFill>
    </fill>
    <fill>
      <patternFill patternType="solid">
        <fgColor rgb="FFFFE9AB"/>
        <bgColor indexed="64"/>
      </patternFill>
    </fill>
    <fill>
      <patternFill patternType="solid">
        <fgColor theme="9" tint="0.59999389629810485"/>
        <bgColor indexed="64"/>
      </patternFill>
    </fill>
    <fill>
      <patternFill patternType="solid">
        <fgColor rgb="FFEAF4E4"/>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E3EFF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6" tint="-0.2499465926084170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theme="6" tint="-0.24994659260841701"/>
      </left>
      <right/>
      <top style="thin">
        <color theme="6" tint="-0.24994659260841701"/>
      </top>
      <bottom style="thin">
        <color theme="6" tint="0.39994506668294322"/>
      </bottom>
      <diagonal/>
    </border>
    <border>
      <left/>
      <right/>
      <top style="thin">
        <color theme="6" tint="-0.24994659260841701"/>
      </top>
      <bottom style="thin">
        <color theme="6" tint="0.39994506668294322"/>
      </bottom>
      <diagonal/>
    </border>
    <border>
      <left/>
      <right style="thin">
        <color theme="6" tint="-0.24994659260841701"/>
      </right>
      <top style="thin">
        <color theme="6" tint="-0.24994659260841701"/>
      </top>
      <bottom style="thin">
        <color theme="6" tint="0.39994506668294322"/>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theme="6" tint="0.39994506668294322"/>
      </bottom>
      <diagonal/>
    </border>
    <border>
      <left/>
      <right style="thin">
        <color auto="1"/>
      </right>
      <top style="thin">
        <color auto="1"/>
      </top>
      <bottom style="thin">
        <color theme="6" tint="0.39994506668294322"/>
      </bottom>
      <diagonal/>
    </border>
    <border>
      <left style="thin">
        <color auto="1"/>
      </left>
      <right/>
      <top style="thin">
        <color theme="6" tint="0.39994506668294322"/>
      </top>
      <bottom/>
      <diagonal/>
    </border>
    <border>
      <left/>
      <right style="thin">
        <color auto="1"/>
      </right>
      <top style="thin">
        <color theme="6" tint="0.39994506668294322"/>
      </top>
      <bottom/>
      <diagonal/>
    </border>
    <border>
      <left style="thin">
        <color auto="1"/>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auto="1"/>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theme="6" tint="-0.24994659260841701"/>
      </left>
      <right style="thin">
        <color theme="6" tint="0.59996337778862885"/>
      </right>
      <top style="thin">
        <color theme="6" tint="0.39994506668294322"/>
      </top>
      <bottom style="thin">
        <color theme="6" tint="-0.24994659260841701"/>
      </bottom>
      <diagonal/>
    </border>
    <border>
      <left style="thin">
        <color theme="6" tint="0.59996337778862885"/>
      </left>
      <right style="thin">
        <color theme="6" tint="0.59996337778862885"/>
      </right>
      <top style="thin">
        <color theme="6" tint="0.39994506668294322"/>
      </top>
      <bottom style="thin">
        <color theme="6" tint="-0.24994659260841701"/>
      </bottom>
      <diagonal/>
    </border>
    <border>
      <left style="thin">
        <color theme="6" tint="0.59996337778862885"/>
      </left>
      <right style="thin">
        <color theme="6" tint="-0.24994659260841701"/>
      </right>
      <top style="thin">
        <color theme="6" tint="0.39994506668294322"/>
      </top>
      <bottom style="thin">
        <color theme="6" tint="-0.24994659260841701"/>
      </bottom>
      <diagonal/>
    </border>
    <border>
      <left style="thin">
        <color theme="6" tint="-0.24994659260841701"/>
      </left>
      <right style="thin">
        <color theme="6" tint="0.59996337778862885"/>
      </right>
      <top style="thin">
        <color theme="6" tint="0.39994506668294322"/>
      </top>
      <bottom style="thin">
        <color theme="6" tint="0.59996337778862885"/>
      </bottom>
      <diagonal/>
    </border>
    <border>
      <left style="thin">
        <color theme="6" tint="0.59996337778862885"/>
      </left>
      <right style="thin">
        <color theme="6" tint="0.59996337778862885"/>
      </right>
      <top style="thin">
        <color theme="6" tint="0.39994506668294322"/>
      </top>
      <bottom style="thin">
        <color theme="6" tint="0.59996337778862885"/>
      </bottom>
      <diagonal/>
    </border>
    <border>
      <left style="thin">
        <color theme="6" tint="0.59996337778862885"/>
      </left>
      <right style="thin">
        <color theme="6" tint="-0.24994659260841701"/>
      </right>
      <top style="thin">
        <color theme="6" tint="0.39994506668294322"/>
      </top>
      <bottom style="thin">
        <color theme="6" tint="0.59996337778862885"/>
      </bottom>
      <diagonal/>
    </border>
    <border>
      <left style="thin">
        <color theme="6" tint="-0.24994659260841701"/>
      </left>
      <right style="thin">
        <color theme="6" tint="0.59996337778862885"/>
      </right>
      <top style="thin">
        <color theme="6" tint="0.59996337778862885"/>
      </top>
      <bottom style="thin">
        <color theme="6" tint="0.59996337778862885"/>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theme="6" tint="0.59996337778862885"/>
      </left>
      <right style="thin">
        <color theme="6" tint="-0.24994659260841701"/>
      </right>
      <top style="thin">
        <color theme="6" tint="0.59996337778862885"/>
      </top>
      <bottom style="thin">
        <color theme="6" tint="0.59996337778862885"/>
      </bottom>
      <diagonal/>
    </border>
    <border>
      <left style="thin">
        <color theme="6" tint="0.59996337778862885"/>
      </left>
      <right style="thin">
        <color theme="6" tint="0.59996337778862885"/>
      </right>
      <top style="thin">
        <color theme="6" tint="0.59996337778862885"/>
      </top>
      <bottom/>
      <diagonal/>
    </border>
    <border>
      <left style="thin">
        <color theme="6" tint="-0.24994659260841701"/>
      </left>
      <right style="thin">
        <color theme="6" tint="0.59996337778862885"/>
      </right>
      <top style="thin">
        <color theme="6" tint="0.39994506668294322"/>
      </top>
      <bottom/>
      <diagonal/>
    </border>
    <border>
      <left style="thin">
        <color theme="6" tint="0.59996337778862885"/>
      </left>
      <right style="thin">
        <color theme="6" tint="0.59996337778862885"/>
      </right>
      <top style="thin">
        <color theme="6" tint="0.39994506668294322"/>
      </top>
      <bottom/>
      <diagonal/>
    </border>
    <border>
      <left style="thin">
        <color theme="6" tint="0.59996337778862885"/>
      </left>
      <right style="thin">
        <color theme="6" tint="0.59996337778862885"/>
      </right>
      <top/>
      <bottom style="thin">
        <color theme="6" tint="0.59996337778862885"/>
      </bottom>
      <diagonal/>
    </border>
    <border>
      <left style="thin">
        <color theme="6" tint="-0.24994659260841701"/>
      </left>
      <right style="thin">
        <color theme="6" tint="0.59996337778862885"/>
      </right>
      <top/>
      <bottom style="thin">
        <color theme="6" tint="-0.24994659260841701"/>
      </bottom>
      <diagonal/>
    </border>
    <border>
      <left style="thin">
        <color theme="6" tint="0.59996337778862885"/>
      </left>
      <right style="thin">
        <color theme="6" tint="0.59996337778862885"/>
      </right>
      <top/>
      <bottom style="thin">
        <color theme="6" tint="-0.24994659260841701"/>
      </bottom>
      <diagonal/>
    </border>
    <border>
      <left style="thin">
        <color theme="6" tint="0.59996337778862885"/>
      </left>
      <right style="thin">
        <color theme="6" tint="-0.24994659260841701"/>
      </right>
      <top/>
      <bottom style="thin">
        <color theme="6" tint="-0.24994659260841701"/>
      </bottom>
      <diagonal/>
    </border>
    <border>
      <left style="thin">
        <color theme="6" tint="-0.24994659260841701"/>
      </left>
      <right style="thin">
        <color theme="6" tint="0.59996337778862885"/>
      </right>
      <top/>
      <bottom style="thin">
        <color theme="6" tint="0.39994506668294322"/>
      </bottom>
      <diagonal/>
    </border>
    <border>
      <left style="thin">
        <color theme="6" tint="0.59996337778862885"/>
      </left>
      <right style="thin">
        <color theme="6" tint="0.59996337778862885"/>
      </right>
      <top/>
      <bottom style="thin">
        <color theme="6" tint="0.39994506668294322"/>
      </bottom>
      <diagonal/>
    </border>
    <border>
      <left style="thin">
        <color theme="6" tint="0.59996337778862885"/>
      </left>
      <right style="thin">
        <color theme="6" tint="-0.24994659260841701"/>
      </right>
      <top style="thin">
        <color theme="6" tint="0.39994506668294322"/>
      </top>
      <bottom/>
      <diagonal/>
    </border>
    <border>
      <left style="thin">
        <color theme="6" tint="-0.24994659260841701"/>
      </left>
      <right style="thin">
        <color theme="6" tint="0.59996337778862885"/>
      </right>
      <top/>
      <bottom/>
      <diagonal/>
    </border>
    <border>
      <left style="thin">
        <color theme="6" tint="0.59996337778862885"/>
      </left>
      <right style="thin">
        <color theme="6" tint="0.59996337778862885"/>
      </right>
      <top/>
      <bottom/>
      <diagonal/>
    </border>
    <border>
      <left style="thin">
        <color theme="6" tint="0.59996337778862885"/>
      </left>
      <right style="thin">
        <color theme="6" tint="-0.24994659260841701"/>
      </right>
      <top/>
      <bottom/>
      <diagonal/>
    </border>
    <border>
      <left style="thin">
        <color theme="6" tint="-0.24994659260841701"/>
      </left>
      <right style="thin">
        <color theme="6" tint="0.59996337778862885"/>
      </right>
      <top style="thin">
        <color theme="6" tint="0.59996337778862885"/>
      </top>
      <bottom/>
      <diagonal/>
    </border>
    <border>
      <left style="thin">
        <color theme="6" tint="-0.24994659260841701"/>
      </left>
      <right style="thin">
        <color theme="6" tint="0.59996337778862885"/>
      </right>
      <top/>
      <bottom style="thin">
        <color theme="6" tint="0.59996337778862885"/>
      </bottom>
      <diagonal/>
    </border>
    <border>
      <left style="thin">
        <color theme="6" tint="0.59996337778862885"/>
      </left>
      <right style="thin">
        <color theme="6" tint="-0.24994659260841701"/>
      </right>
      <top/>
      <bottom style="thin">
        <color theme="6" tint="0.59996337778862885"/>
      </bottom>
      <diagonal/>
    </border>
    <border>
      <left style="thin">
        <color theme="6" tint="0.59996337778862885"/>
      </left>
      <right style="thin">
        <color theme="6" tint="-0.24994659260841701"/>
      </right>
      <top style="thin">
        <color theme="6" tint="0.59996337778862885"/>
      </top>
      <bottom/>
      <diagonal/>
    </border>
    <border>
      <left style="thin">
        <color theme="6" tint="-0.24994659260841701"/>
      </left>
      <right style="thin">
        <color theme="6" tint="0.59996337778862885"/>
      </right>
      <top style="thin">
        <color theme="6" tint="0.59996337778862885"/>
      </top>
      <bottom style="thin">
        <color theme="6" tint="-0.24994659260841701"/>
      </bottom>
      <diagonal/>
    </border>
    <border>
      <left style="thin">
        <color theme="6" tint="0.59996337778862885"/>
      </left>
      <right style="thin">
        <color theme="6" tint="0.59996337778862885"/>
      </right>
      <top style="thin">
        <color theme="6" tint="0.59996337778862885"/>
      </top>
      <bottom style="thin">
        <color theme="6" tint="-0.24994659260841701"/>
      </bottom>
      <diagonal/>
    </border>
    <border>
      <left style="thin">
        <color theme="6" tint="0.59996337778862885"/>
      </left>
      <right style="thin">
        <color theme="6" tint="-0.24994659260841701"/>
      </right>
      <top style="thin">
        <color theme="6" tint="0.59996337778862885"/>
      </top>
      <bottom style="thin">
        <color theme="6" tint="-0.24994659260841701"/>
      </bottom>
      <diagonal/>
    </border>
    <border>
      <left style="thin">
        <color theme="6" tint="-0.24994659260841701"/>
      </left>
      <right style="thin">
        <color auto="1"/>
      </right>
      <top/>
      <bottom/>
      <diagonal/>
    </border>
    <border>
      <left/>
      <right/>
      <top style="thin">
        <color theme="6" tint="-0.24994659260841701"/>
      </top>
      <bottom/>
      <diagonal/>
    </border>
    <border>
      <left/>
      <right/>
      <top style="thin">
        <color theme="6" tint="-0.24994659260841701"/>
      </top>
      <bottom style="thin">
        <color theme="6" tint="-0.24994659260841701"/>
      </bottom>
      <diagonal/>
    </border>
    <border>
      <left style="thin">
        <color theme="6" tint="0.59996337778862885"/>
      </left>
      <right style="thin">
        <color theme="6" tint="0.59996337778862885"/>
      </right>
      <top style="thin">
        <color theme="6" tint="-0.24994659260841701"/>
      </top>
      <bottom style="thin">
        <color theme="6" tint="0.59996337778862885"/>
      </bottom>
      <diagonal/>
    </border>
    <border>
      <left/>
      <right/>
      <top style="thin">
        <color theme="6" tint="-0.24994659260841701"/>
      </top>
      <bottom style="thin">
        <color indexed="64"/>
      </bottom>
      <diagonal/>
    </border>
    <border>
      <left style="thin">
        <color theme="6" tint="-0.24994659260841701"/>
      </left>
      <right style="thin">
        <color theme="6" tint="0.59996337778862885"/>
      </right>
      <top/>
      <bottom style="thin">
        <color indexed="64"/>
      </bottom>
      <diagonal/>
    </border>
    <border>
      <left style="thin">
        <color theme="6" tint="0.59996337778862885"/>
      </left>
      <right style="thin">
        <color theme="6" tint="0.59996337778862885"/>
      </right>
      <top/>
      <bottom style="thin">
        <color indexed="64"/>
      </bottom>
      <diagonal/>
    </border>
    <border>
      <left style="thin">
        <color theme="6" tint="0.59996337778862885"/>
      </left>
      <right style="thin">
        <color theme="6" tint="-0.24994659260841701"/>
      </right>
      <top/>
      <bottom style="thin">
        <color indexed="64"/>
      </bottom>
      <diagonal/>
    </border>
  </borders>
  <cellStyleXfs count="5">
    <xf numFmtId="0" fontId="0" fillId="0" borderId="0"/>
    <xf numFmtId="0" fontId="2" fillId="0" borderId="0"/>
    <xf numFmtId="0" fontId="1" fillId="9" borderId="0"/>
    <xf numFmtId="43" fontId="1" fillId="0" borderId="0" applyFont="0" applyFill="0" applyBorder="0" applyAlignment="0" applyProtection="0"/>
    <xf numFmtId="0" fontId="3" fillId="0" borderId="0" applyNumberFormat="0" applyFill="0" applyBorder="0" applyAlignment="0" applyProtection="0"/>
  </cellStyleXfs>
  <cellXfs count="483">
    <xf numFmtId="0" fontId="0" fillId="0" borderId="0" xfId="0"/>
    <xf numFmtId="0" fontId="4" fillId="9" borderId="0" xfId="0" applyFont="1" applyFill="1" applyAlignment="1">
      <alignment horizontal="left" vertical="top"/>
    </xf>
    <xf numFmtId="0" fontId="6" fillId="0" borderId="0" xfId="0" applyFont="1"/>
    <xf numFmtId="0" fontId="7" fillId="0" borderId="0" xfId="0" applyFont="1" applyFill="1"/>
    <xf numFmtId="0" fontId="6" fillId="9" borderId="0" xfId="0" applyFont="1" applyFill="1"/>
    <xf numFmtId="0" fontId="8" fillId="9" borderId="0" xfId="0" applyFont="1" applyFill="1" applyBorder="1"/>
    <xf numFmtId="0" fontId="6" fillId="0" borderId="0" xfId="0" applyFont="1" applyBorder="1" applyAlignment="1">
      <alignment wrapText="1"/>
    </xf>
    <xf numFmtId="0" fontId="6" fillId="0" borderId="0" xfId="0" applyFont="1" applyBorder="1"/>
    <xf numFmtId="0" fontId="8" fillId="11" borderId="0" xfId="0" applyFont="1" applyFill="1" applyBorder="1"/>
    <xf numFmtId="0" fontId="11" fillId="0" borderId="0" xfId="0" applyFont="1" applyBorder="1"/>
    <xf numFmtId="0" fontId="12" fillId="12" borderId="14" xfId="0" applyFont="1" applyFill="1" applyBorder="1" applyAlignment="1">
      <alignment horizontal="left"/>
    </xf>
    <xf numFmtId="0" fontId="13" fillId="12" borderId="3" xfId="0" applyFont="1" applyFill="1" applyBorder="1" applyAlignment="1">
      <alignment horizontal="center" vertical="center"/>
    </xf>
    <xf numFmtId="0" fontId="13" fillId="12" borderId="3" xfId="0" applyFont="1" applyFill="1" applyBorder="1"/>
    <xf numFmtId="0" fontId="13" fillId="12" borderId="15" xfId="0" applyFont="1" applyFill="1" applyBorder="1"/>
    <xf numFmtId="0" fontId="7" fillId="11" borderId="9" xfId="0" applyFont="1" applyFill="1" applyBorder="1"/>
    <xf numFmtId="0" fontId="14" fillId="11" borderId="0" xfId="0" applyFont="1" applyFill="1"/>
    <xf numFmtId="0" fontId="6" fillId="11" borderId="0" xfId="0" applyFont="1" applyFill="1"/>
    <xf numFmtId="0" fontId="6" fillId="11" borderId="10" xfId="0" applyFont="1" applyFill="1" applyBorder="1"/>
    <xf numFmtId="0" fontId="6" fillId="0" borderId="9" xfId="0" applyFont="1" applyBorder="1"/>
    <xf numFmtId="0" fontId="6" fillId="7" borderId="20" xfId="0" applyFont="1" applyFill="1" applyBorder="1" applyAlignment="1">
      <alignment horizontal="center"/>
    </xf>
    <xf numFmtId="0" fontId="6" fillId="7" borderId="21" xfId="0" applyFont="1" applyFill="1" applyBorder="1" applyAlignment="1">
      <alignment horizontal="center"/>
    </xf>
    <xf numFmtId="0" fontId="6" fillId="0" borderId="10" xfId="0" applyFont="1" applyBorder="1"/>
    <xf numFmtId="0" fontId="6" fillId="8" borderId="22" xfId="0" applyFont="1" applyFill="1" applyBorder="1" applyAlignment="1" applyProtection="1">
      <alignment horizontal="left"/>
      <protection locked="0"/>
    </xf>
    <xf numFmtId="0" fontId="6" fillId="8" borderId="23" xfId="0" applyFont="1" applyFill="1" applyBorder="1" applyAlignment="1" applyProtection="1">
      <alignment horizontal="left"/>
      <protection locked="0"/>
    </xf>
    <xf numFmtId="0" fontId="6" fillId="0" borderId="7" xfId="0" applyFont="1" applyBorder="1"/>
    <xf numFmtId="0" fontId="6" fillId="0" borderId="2" xfId="0" applyFont="1" applyBorder="1" applyAlignment="1">
      <alignment horizontal="center"/>
    </xf>
    <xf numFmtId="0" fontId="6" fillId="0" borderId="8" xfId="0" applyFont="1" applyBorder="1"/>
    <xf numFmtId="0" fontId="7" fillId="11" borderId="5" xfId="0" applyFont="1" applyFill="1" applyBorder="1"/>
    <xf numFmtId="0" fontId="7" fillId="11" borderId="1" xfId="0" applyFont="1" applyFill="1" applyBorder="1" applyAlignment="1">
      <alignment horizontal="center"/>
    </xf>
    <xf numFmtId="0" fontId="7" fillId="11" borderId="6" xfId="0" applyFont="1" applyFill="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8" borderId="18" xfId="0" applyFont="1" applyFill="1" applyBorder="1" applyAlignment="1">
      <alignment horizontal="left"/>
    </xf>
    <xf numFmtId="2" fontId="6" fillId="8" borderId="19" xfId="0" applyNumberFormat="1" applyFont="1" applyFill="1" applyBorder="1" applyAlignment="1">
      <alignment horizontal="left"/>
    </xf>
    <xf numFmtId="0" fontId="6" fillId="8" borderId="9" xfId="0" applyFont="1" applyFill="1" applyBorder="1" applyAlignment="1">
      <alignment horizontal="left"/>
    </xf>
    <xf numFmtId="2" fontId="6" fillId="8" borderId="10" xfId="0" applyNumberFormat="1" applyFont="1" applyFill="1" applyBorder="1" applyAlignment="1">
      <alignment horizontal="left"/>
    </xf>
    <xf numFmtId="2" fontId="6" fillId="8" borderId="10" xfId="0" applyNumberFormat="1" applyFont="1" applyFill="1" applyBorder="1" applyAlignment="1">
      <alignment horizontal="left" vertical="center"/>
    </xf>
    <xf numFmtId="0" fontId="6" fillId="8" borderId="7" xfId="0" applyFont="1" applyFill="1" applyBorder="1" applyAlignment="1">
      <alignment horizontal="left"/>
    </xf>
    <xf numFmtId="164" fontId="6" fillId="8" borderId="8" xfId="0" applyNumberFormat="1" applyFont="1" applyFill="1" applyBorder="1" applyAlignment="1">
      <alignment horizontal="left" vertical="center"/>
    </xf>
    <xf numFmtId="0" fontId="6" fillId="0" borderId="0" xfId="0" applyFont="1" applyAlignment="1">
      <alignment horizontal="center"/>
    </xf>
    <xf numFmtId="0" fontId="7" fillId="0" borderId="0" xfId="0" applyFont="1" applyAlignment="1">
      <alignment horizontal="center"/>
    </xf>
    <xf numFmtId="0" fontId="12" fillId="12" borderId="14" xfId="0" applyFont="1" applyFill="1" applyBorder="1"/>
    <xf numFmtId="0" fontId="12" fillId="12" borderId="3" xfId="0" applyFont="1" applyFill="1" applyBorder="1"/>
    <xf numFmtId="0" fontId="15" fillId="12" borderId="15" xfId="0" applyFont="1" applyFill="1" applyBorder="1"/>
    <xf numFmtId="0" fontId="8" fillId="11" borderId="5" xfId="0" applyFont="1" applyFill="1" applyBorder="1"/>
    <xf numFmtId="0" fontId="9" fillId="11" borderId="1" xfId="0" applyFont="1" applyFill="1" applyBorder="1"/>
    <xf numFmtId="0" fontId="17" fillId="11" borderId="6" xfId="0" applyFont="1" applyFill="1" applyBorder="1"/>
    <xf numFmtId="0" fontId="9" fillId="0" borderId="0" xfId="0" applyFont="1"/>
    <xf numFmtId="0" fontId="18" fillId="0" borderId="9" xfId="0" applyFont="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7" fillId="0" borderId="10" xfId="0" applyFont="1" applyBorder="1" applyAlignment="1">
      <alignment horizontal="center" vertical="center" wrapText="1"/>
    </xf>
    <xf numFmtId="0" fontId="6" fillId="0" borderId="0" xfId="0" applyFont="1" applyAlignment="1">
      <alignment horizontal="center" vertical="center" wrapText="1"/>
    </xf>
    <xf numFmtId="0" fontId="18" fillId="0" borderId="9" xfId="0" applyFont="1" applyBorder="1"/>
    <xf numFmtId="0" fontId="7" fillId="3" borderId="24" xfId="0" applyFont="1" applyFill="1" applyBorder="1" applyAlignment="1">
      <alignment vertical="center"/>
    </xf>
    <xf numFmtId="0" fontId="7" fillId="3" borderId="25" xfId="0" applyFont="1" applyFill="1" applyBorder="1" applyAlignment="1">
      <alignment vertical="center"/>
    </xf>
    <xf numFmtId="0" fontId="8" fillId="3" borderId="26" xfId="0" applyFont="1" applyFill="1" applyBorder="1" applyAlignment="1">
      <alignment vertical="center"/>
    </xf>
    <xf numFmtId="0" fontId="17" fillId="0" borderId="10" xfId="0" applyFont="1" applyBorder="1"/>
    <xf numFmtId="0" fontId="7" fillId="0" borderId="0" xfId="0" applyFont="1" applyAlignment="1">
      <alignment vertical="center"/>
    </xf>
    <xf numFmtId="0" fontId="21" fillId="11" borderId="1" xfId="0" applyFont="1" applyFill="1" applyBorder="1"/>
    <xf numFmtId="0" fontId="6" fillId="3" borderId="27" xfId="0" applyFont="1" applyFill="1" applyBorder="1" applyAlignment="1">
      <alignment horizontal="left" vertical="center"/>
    </xf>
    <xf numFmtId="0" fontId="6" fillId="3" borderId="28" xfId="0" applyFont="1" applyFill="1" applyBorder="1" applyAlignment="1">
      <alignment vertical="center"/>
    </xf>
    <xf numFmtId="0" fontId="6" fillId="3" borderId="29" xfId="0" applyFont="1" applyFill="1" applyBorder="1" applyAlignment="1">
      <alignment vertical="center"/>
    </xf>
    <xf numFmtId="0" fontId="6" fillId="3" borderId="30" xfId="0" applyFont="1" applyFill="1" applyBorder="1" applyAlignment="1">
      <alignment horizontal="left" vertical="center"/>
    </xf>
    <xf numFmtId="0" fontId="6" fillId="3" borderId="31" xfId="0" applyFont="1" applyFill="1" applyBorder="1" applyAlignment="1">
      <alignment vertical="center"/>
    </xf>
    <xf numFmtId="0" fontId="6" fillId="3" borderId="32" xfId="0" applyFont="1" applyFill="1" applyBorder="1" applyAlignment="1">
      <alignment vertical="center" wrapText="1"/>
    </xf>
    <xf numFmtId="0" fontId="6" fillId="3" borderId="32" xfId="0" applyFont="1" applyFill="1" applyBorder="1" applyAlignment="1">
      <alignmen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6" fillId="3" borderId="35" xfId="0" applyFont="1" applyFill="1" applyBorder="1" applyAlignment="1">
      <alignment vertical="center"/>
    </xf>
    <xf numFmtId="0" fontId="6" fillId="3" borderId="42" xfId="0" applyFont="1" applyFill="1" applyBorder="1" applyAlignment="1">
      <alignment horizontal="left" vertical="center"/>
    </xf>
    <xf numFmtId="0" fontId="6" fillId="3" borderId="43" xfId="0" quotePrefix="1" applyFont="1" applyFill="1" applyBorder="1" applyAlignment="1">
      <alignment horizontal="left" vertical="center"/>
    </xf>
    <xf numFmtId="0" fontId="6" fillId="3" borderId="44" xfId="0" applyFont="1" applyFill="1" applyBorder="1" applyAlignment="1">
      <alignment vertical="center"/>
    </xf>
    <xf numFmtId="0" fontId="6" fillId="3" borderId="45" xfId="0" applyFont="1" applyFill="1" applyBorder="1" applyAlignment="1">
      <alignment vertical="center"/>
    </xf>
    <xf numFmtId="0" fontId="6" fillId="3" borderId="40" xfId="0" quotePrefix="1" applyFont="1" applyFill="1" applyBorder="1" applyAlignment="1">
      <alignment horizontal="left" vertical="center" wrapText="1"/>
    </xf>
    <xf numFmtId="0" fontId="6" fillId="3" borderId="36" xfId="0" applyFont="1" applyFill="1" applyBorder="1" applyAlignment="1">
      <alignment vertical="center"/>
    </xf>
    <xf numFmtId="0" fontId="6" fillId="3" borderId="41" xfId="0" applyFont="1" applyFill="1" applyBorder="1" applyAlignment="1">
      <alignment vertical="center"/>
    </xf>
    <xf numFmtId="0" fontId="6" fillId="3" borderId="48" xfId="0" applyFont="1" applyFill="1" applyBorder="1" applyAlignment="1">
      <alignment vertical="center"/>
    </xf>
    <xf numFmtId="0" fontId="7" fillId="3" borderId="34" xfId="0" applyFont="1" applyFill="1" applyBorder="1" applyAlignment="1">
      <alignment horizontal="left" vertical="center"/>
    </xf>
    <xf numFmtId="0" fontId="7" fillId="3" borderId="35" xfId="0" applyFont="1" applyFill="1" applyBorder="1" applyAlignment="1">
      <alignment horizontal="left" vertical="center"/>
    </xf>
    <xf numFmtId="0" fontId="7" fillId="3" borderId="35" xfId="0" applyFont="1" applyFill="1" applyBorder="1" applyAlignment="1">
      <alignment vertical="center"/>
    </xf>
    <xf numFmtId="0" fontId="7" fillId="3" borderId="44" xfId="0" applyFont="1" applyFill="1" applyBorder="1" applyAlignment="1">
      <alignment vertical="center"/>
    </xf>
    <xf numFmtId="0" fontId="7" fillId="3" borderId="45" xfId="0" applyFont="1" applyFill="1" applyBorder="1" applyAlignment="1">
      <alignment vertical="center" wrapText="1"/>
    </xf>
    <xf numFmtId="0" fontId="7" fillId="3" borderId="43" xfId="0" quotePrefix="1" applyFont="1" applyFill="1" applyBorder="1" applyAlignment="1">
      <alignment horizontal="left" vertical="center"/>
    </xf>
    <xf numFmtId="0" fontId="7" fillId="3" borderId="44" xfId="0" applyFont="1" applyFill="1" applyBorder="1" applyAlignment="1">
      <alignment horizontal="left" vertical="center"/>
    </xf>
    <xf numFmtId="0" fontId="7" fillId="3" borderId="45" xfId="0" applyFont="1" applyFill="1" applyBorder="1" applyAlignment="1">
      <alignment vertical="center"/>
    </xf>
    <xf numFmtId="0" fontId="24" fillId="0" borderId="9" xfId="0" applyFont="1" applyBorder="1"/>
    <xf numFmtId="0" fontId="7" fillId="3" borderId="37" xfId="0" quotePrefix="1" applyFont="1" applyFill="1" applyBorder="1" applyAlignment="1">
      <alignment horizontal="left" vertical="center" wrapText="1"/>
    </xf>
    <xf numFmtId="0" fontId="7" fillId="3" borderId="38" xfId="0" applyFont="1" applyFill="1" applyBorder="1" applyAlignment="1">
      <alignment horizontal="left" vertical="center"/>
    </xf>
    <xf numFmtId="0" fontId="7" fillId="3" borderId="38" xfId="0" applyFont="1" applyFill="1" applyBorder="1" applyAlignment="1">
      <alignment vertical="center"/>
    </xf>
    <xf numFmtId="0" fontId="7" fillId="3" borderId="39" xfId="0" applyFont="1" applyFill="1" applyBorder="1" applyAlignment="1">
      <alignment vertical="center"/>
    </xf>
    <xf numFmtId="0" fontId="17" fillId="0" borderId="53" xfId="0" applyFont="1" applyBorder="1" applyAlignment="1">
      <alignment horizontal="center" vertical="center" wrapText="1"/>
    </xf>
    <xf numFmtId="0" fontId="6" fillId="3" borderId="27" xfId="0" applyFont="1" applyFill="1" applyBorder="1" applyAlignment="1">
      <alignment vertical="center"/>
    </xf>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17" fillId="0" borderId="53" xfId="0" applyFont="1" applyBorder="1"/>
    <xf numFmtId="0" fontId="6" fillId="3" borderId="46" xfId="0" applyFont="1" applyFill="1" applyBorder="1" applyAlignment="1">
      <alignment vertical="center"/>
    </xf>
    <xf numFmtId="0" fontId="6" fillId="3" borderId="33" xfId="0" applyFont="1" applyFill="1" applyBorder="1" applyAlignment="1">
      <alignment vertical="center"/>
    </xf>
    <xf numFmtId="0" fontId="6" fillId="3" borderId="33" xfId="0" applyFont="1" applyFill="1" applyBorder="1" applyAlignment="1">
      <alignment horizontal="left" vertical="center"/>
    </xf>
    <xf numFmtId="0" fontId="6" fillId="3" borderId="49" xfId="0" applyFont="1" applyFill="1" applyBorder="1" applyAlignment="1">
      <alignment vertical="center"/>
    </xf>
    <xf numFmtId="0" fontId="6" fillId="3" borderId="43" xfId="0" applyFont="1" applyFill="1" applyBorder="1" applyAlignment="1">
      <alignment vertical="center"/>
    </xf>
    <xf numFmtId="0" fontId="6" fillId="3" borderId="44" xfId="0" applyFont="1" applyFill="1" applyBorder="1" applyAlignment="1">
      <alignment horizontal="left" vertical="center"/>
    </xf>
    <xf numFmtId="0" fontId="6" fillId="3" borderId="43" xfId="0" quotePrefix="1" applyFont="1" applyFill="1" applyBorder="1" applyAlignment="1">
      <alignment vertical="center"/>
    </xf>
    <xf numFmtId="0" fontId="6" fillId="3" borderId="47" xfId="0" quotePrefix="1" applyFont="1" applyFill="1" applyBorder="1" applyAlignment="1">
      <alignment vertical="center"/>
    </xf>
    <xf numFmtId="0" fontId="6" fillId="3" borderId="36" xfId="0" applyFont="1" applyFill="1" applyBorder="1" applyAlignment="1">
      <alignment horizontal="left" vertical="center"/>
    </xf>
    <xf numFmtId="0" fontId="7" fillId="3" borderId="46" xfId="0" applyFont="1" applyFill="1" applyBorder="1" applyAlignment="1">
      <alignment vertical="center"/>
    </xf>
    <xf numFmtId="0" fontId="7" fillId="3" borderId="33" xfId="0" applyFont="1" applyFill="1" applyBorder="1" applyAlignment="1">
      <alignment vertical="center"/>
    </xf>
    <xf numFmtId="0" fontId="7" fillId="3" borderId="33" xfId="0" applyFont="1" applyFill="1" applyBorder="1" applyAlignment="1">
      <alignment horizontal="left" vertical="center"/>
    </xf>
    <xf numFmtId="0" fontId="8" fillId="3" borderId="49" xfId="0" applyFont="1" applyFill="1" applyBorder="1" applyAlignment="1">
      <alignment vertical="center" wrapText="1"/>
    </xf>
    <xf numFmtId="0" fontId="7" fillId="3" borderId="43" xfId="0" applyFont="1" applyFill="1" applyBorder="1" applyAlignment="1">
      <alignment vertical="center"/>
    </xf>
    <xf numFmtId="0" fontId="8" fillId="3" borderId="45" xfId="0" applyFont="1" applyFill="1" applyBorder="1" applyAlignment="1">
      <alignment vertical="center" wrapText="1"/>
    </xf>
    <xf numFmtId="0" fontId="7" fillId="3" borderId="43" xfId="0" quotePrefix="1" applyFont="1" applyFill="1" applyBorder="1" applyAlignment="1">
      <alignment vertical="center"/>
    </xf>
    <xf numFmtId="0" fontId="7" fillId="3" borderId="37" xfId="0" quotePrefix="1" applyFont="1" applyFill="1" applyBorder="1" applyAlignment="1">
      <alignment vertical="center"/>
    </xf>
    <xf numFmtId="0" fontId="6" fillId="0" borderId="57" xfId="0" applyFont="1" applyBorder="1"/>
    <xf numFmtId="0" fontId="6" fillId="3" borderId="27"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9" xfId="0" applyFont="1" applyFill="1" applyBorder="1" applyAlignment="1">
      <alignment vertical="center" wrapText="1"/>
    </xf>
    <xf numFmtId="0" fontId="9" fillId="4" borderId="13" xfId="0" applyFont="1" applyFill="1" applyBorder="1" applyAlignment="1">
      <alignment horizontal="center" vertical="center"/>
    </xf>
    <xf numFmtId="0" fontId="6" fillId="3" borderId="28" xfId="0" applyFont="1" applyFill="1" applyBorder="1" applyAlignment="1">
      <alignment horizontal="right" vertical="center"/>
    </xf>
    <xf numFmtId="0" fontId="6" fillId="3" borderId="31" xfId="0" applyFont="1" applyFill="1" applyBorder="1" applyAlignment="1">
      <alignment horizontal="left" vertical="center"/>
    </xf>
    <xf numFmtId="0" fontId="6" fillId="3" borderId="31" xfId="0" applyFont="1" applyFill="1" applyBorder="1" applyAlignment="1">
      <alignment horizontal="right" vertical="center"/>
    </xf>
    <xf numFmtId="0" fontId="6" fillId="3" borderId="32" xfId="0" applyFont="1" applyFill="1" applyBorder="1" applyAlignment="1">
      <alignment horizontal="left" vertical="center"/>
    </xf>
    <xf numFmtId="0" fontId="6" fillId="3" borderId="46" xfId="0" applyFont="1" applyFill="1" applyBorder="1"/>
    <xf numFmtId="0" fontId="6" fillId="3" borderId="33" xfId="0" applyFont="1" applyFill="1" applyBorder="1"/>
    <xf numFmtId="0" fontId="6" fillId="3" borderId="49" xfId="0" applyFont="1" applyFill="1" applyBorder="1"/>
    <xf numFmtId="0" fontId="6" fillId="3" borderId="43" xfId="0" applyFont="1" applyFill="1" applyBorder="1"/>
    <xf numFmtId="0" fontId="6" fillId="3" borderId="44" xfId="0" applyFont="1" applyFill="1" applyBorder="1"/>
    <xf numFmtId="0" fontId="6" fillId="3" borderId="45" xfId="0" applyFont="1" applyFill="1" applyBorder="1"/>
    <xf numFmtId="0" fontId="6" fillId="3" borderId="47" xfId="0" applyFont="1" applyFill="1" applyBorder="1"/>
    <xf numFmtId="0" fontId="6" fillId="3" borderId="36" xfId="0" applyFont="1" applyFill="1" applyBorder="1"/>
    <xf numFmtId="0" fontId="6" fillId="3" borderId="48" xfId="0" applyFont="1" applyFill="1" applyBorder="1"/>
    <xf numFmtId="0" fontId="6" fillId="3" borderId="49" xfId="0" applyFont="1" applyFill="1" applyBorder="1" applyAlignment="1">
      <alignment vertical="center" wrapText="1"/>
    </xf>
    <xf numFmtId="0" fontId="6" fillId="3" borderId="49" xfId="0" applyFont="1" applyFill="1" applyBorder="1" applyAlignment="1">
      <alignment wrapText="1"/>
    </xf>
    <xf numFmtId="0" fontId="7" fillId="3" borderId="43" xfId="0" applyFont="1" applyFill="1" applyBorder="1"/>
    <xf numFmtId="0" fontId="7" fillId="3" borderId="44" xfId="0" applyFont="1" applyFill="1" applyBorder="1"/>
    <xf numFmtId="0" fontId="7" fillId="3" borderId="45" xfId="0" applyFont="1" applyFill="1" applyBorder="1"/>
    <xf numFmtId="0" fontId="7" fillId="3" borderId="37" xfId="0" applyFont="1" applyFill="1" applyBorder="1"/>
    <xf numFmtId="0" fontId="7" fillId="3" borderId="38" xfId="0" applyFont="1" applyFill="1" applyBorder="1"/>
    <xf numFmtId="0" fontId="7" fillId="3" borderId="39" xfId="0" applyFont="1" applyFill="1" applyBorder="1"/>
    <xf numFmtId="0" fontId="18" fillId="0" borderId="7" xfId="0" applyFont="1" applyBorder="1"/>
    <xf numFmtId="0" fontId="6" fillId="0" borderId="2" xfId="0" applyFont="1" applyBorder="1"/>
    <xf numFmtId="0" fontId="6" fillId="0" borderId="9" xfId="0" applyFont="1" applyBorder="1" applyAlignment="1">
      <alignment vertical="center"/>
    </xf>
    <xf numFmtId="0" fontId="6" fillId="3" borderId="27" xfId="0" applyFont="1" applyFill="1" applyBorder="1" applyAlignment="1">
      <alignment vertical="center" wrapText="1"/>
    </xf>
    <xf numFmtId="0" fontId="17" fillId="0" borderId="10" xfId="0" applyFont="1" applyBorder="1" applyAlignment="1">
      <alignment vertical="center"/>
    </xf>
    <xf numFmtId="0" fontId="6" fillId="0" borderId="0" xfId="0" applyFont="1" applyAlignment="1">
      <alignment vertical="center"/>
    </xf>
    <xf numFmtId="0" fontId="6" fillId="3" borderId="33" xfId="0" applyFont="1" applyFill="1" applyBorder="1" applyAlignment="1">
      <alignment horizontal="left" vertical="center" wrapText="1"/>
    </xf>
    <xf numFmtId="0" fontId="6" fillId="3" borderId="33" xfId="0" applyFont="1" applyFill="1" applyBorder="1" applyAlignment="1">
      <alignment horizontal="right" vertical="center" wrapText="1"/>
    </xf>
    <xf numFmtId="0" fontId="6" fillId="3" borderId="49" xfId="0" applyFont="1" applyFill="1" applyBorder="1" applyAlignment="1">
      <alignment horizontal="left" vertical="center" wrapText="1"/>
    </xf>
    <xf numFmtId="0" fontId="6" fillId="3" borderId="44" xfId="0" applyFont="1" applyFill="1" applyBorder="1" applyAlignment="1">
      <alignment horizontal="right" vertical="center" wrapText="1"/>
    </xf>
    <xf numFmtId="0" fontId="6" fillId="3" borderId="44"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43" xfId="0" quotePrefix="1" applyFont="1" applyFill="1" applyBorder="1"/>
    <xf numFmtId="0" fontId="6" fillId="3" borderId="45" xfId="0" applyFont="1" applyFill="1" applyBorder="1" applyAlignment="1">
      <alignment horizontal="right" vertical="center" wrapText="1"/>
    </xf>
    <xf numFmtId="0" fontId="6" fillId="3" borderId="36" xfId="0" applyFont="1" applyFill="1" applyBorder="1" applyAlignment="1">
      <alignment horizontal="left" vertical="center" wrapText="1"/>
    </xf>
    <xf numFmtId="0" fontId="6" fillId="3" borderId="48" xfId="0" applyFont="1" applyFill="1" applyBorder="1" applyAlignment="1">
      <alignment horizontal="left" vertical="center" wrapText="1"/>
    </xf>
    <xf numFmtId="0" fontId="6" fillId="3" borderId="46" xfId="0" applyFont="1" applyFill="1" applyBorder="1" applyAlignment="1">
      <alignment horizontal="left" vertical="center"/>
    </xf>
    <xf numFmtId="0" fontId="6" fillId="3" borderId="36" xfId="0" applyFont="1" applyFill="1" applyBorder="1" applyAlignment="1">
      <alignment horizontal="right" vertical="center" wrapText="1"/>
    </xf>
    <xf numFmtId="0" fontId="7" fillId="3" borderId="33" xfId="0" applyFont="1" applyFill="1" applyBorder="1" applyAlignment="1">
      <alignment horizontal="left" vertical="center" wrapText="1"/>
    </xf>
    <xf numFmtId="0" fontId="7" fillId="3" borderId="33" xfId="0" applyFont="1" applyFill="1" applyBorder="1" applyAlignment="1">
      <alignment horizontal="right"/>
    </xf>
    <xf numFmtId="0" fontId="7" fillId="3" borderId="49" xfId="0" applyFont="1" applyFill="1" applyBorder="1" applyAlignment="1">
      <alignment horizontal="left" vertical="center" wrapText="1"/>
    </xf>
    <xf numFmtId="0" fontId="7" fillId="3" borderId="44" xfId="0" applyFont="1" applyFill="1" applyBorder="1" applyAlignment="1">
      <alignment horizontal="right"/>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3" xfId="0" quotePrefix="1" applyFont="1" applyFill="1" applyBorder="1"/>
    <xf numFmtId="0" fontId="7" fillId="3" borderId="58" xfId="0" quotePrefix="1" applyFont="1" applyFill="1" applyBorder="1" applyAlignment="1">
      <alignment vertical="center"/>
    </xf>
    <xf numFmtId="0" fontId="7" fillId="3" borderId="59" xfId="0" applyFont="1" applyFill="1" applyBorder="1"/>
    <xf numFmtId="0" fontId="7" fillId="3" borderId="59" xfId="0" applyFont="1" applyFill="1" applyBorder="1" applyAlignment="1">
      <alignment horizontal="right"/>
    </xf>
    <xf numFmtId="0" fontId="7" fillId="3" borderId="60"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xf numFmtId="0" fontId="9" fillId="3" borderId="28" xfId="0" applyFont="1" applyFill="1" applyBorder="1" applyAlignment="1">
      <alignment vertical="center"/>
    </xf>
    <xf numFmtId="0" fontId="9" fillId="3" borderId="31" xfId="0" applyFont="1" applyFill="1" applyBorder="1" applyAlignment="1">
      <alignment vertical="center"/>
    </xf>
    <xf numFmtId="0" fontId="9" fillId="3" borderId="33" xfId="0" applyFont="1" applyFill="1" applyBorder="1" applyAlignment="1">
      <alignment vertical="center"/>
    </xf>
    <xf numFmtId="0" fontId="7" fillId="3" borderId="50" xfId="0" applyFont="1" applyFill="1" applyBorder="1" applyAlignment="1">
      <alignment horizontal="left" vertical="center"/>
    </xf>
    <xf numFmtId="0" fontId="7" fillId="3" borderId="51" xfId="0" applyFont="1" applyFill="1" applyBorder="1" applyAlignment="1">
      <alignment vertical="center"/>
    </xf>
    <xf numFmtId="0" fontId="7" fillId="3" borderId="52" xfId="0" applyFont="1" applyFill="1" applyBorder="1" applyAlignment="1">
      <alignment vertical="center" wrapText="1"/>
    </xf>
    <xf numFmtId="0" fontId="6" fillId="3" borderId="30" xfId="0" applyFont="1" applyFill="1" applyBorder="1"/>
    <xf numFmtId="0" fontId="6" fillId="3" borderId="31" xfId="0" applyFont="1" applyFill="1" applyBorder="1"/>
    <xf numFmtId="0" fontId="6" fillId="3" borderId="28" xfId="0" applyFont="1" applyFill="1" applyBorder="1"/>
    <xf numFmtId="0" fontId="6" fillId="3" borderId="29" xfId="0" applyFont="1" applyFill="1" applyBorder="1"/>
    <xf numFmtId="0" fontId="9" fillId="3" borderId="30" xfId="0" applyFont="1" applyFill="1" applyBorder="1"/>
    <xf numFmtId="0" fontId="9" fillId="3" borderId="29" xfId="0" applyFont="1" applyFill="1" applyBorder="1"/>
    <xf numFmtId="0" fontId="6" fillId="3" borderId="30" xfId="0" applyFont="1" applyFill="1" applyBorder="1" applyAlignment="1">
      <alignment wrapText="1"/>
    </xf>
    <xf numFmtId="0" fontId="6" fillId="3" borderId="32" xfId="0" applyFont="1" applyFill="1" applyBorder="1"/>
    <xf numFmtId="0" fontId="9" fillId="3" borderId="44" xfId="0" applyFont="1" applyFill="1" applyBorder="1"/>
    <xf numFmtId="0" fontId="9" fillId="3" borderId="42" xfId="0" applyFont="1" applyFill="1" applyBorder="1"/>
    <xf numFmtId="0" fontId="6" fillId="3" borderId="47" xfId="0" quotePrefix="1" applyFont="1" applyFill="1" applyBorder="1"/>
    <xf numFmtId="0" fontId="9" fillId="3" borderId="36" xfId="0" applyFont="1" applyFill="1" applyBorder="1"/>
    <xf numFmtId="0" fontId="9" fillId="3" borderId="48" xfId="0" applyFont="1" applyFill="1" applyBorder="1"/>
    <xf numFmtId="0" fontId="9" fillId="3" borderId="31" xfId="0" applyFont="1" applyFill="1" applyBorder="1"/>
    <xf numFmtId="0" fontId="9" fillId="3" borderId="32" xfId="0" applyFont="1" applyFill="1" applyBorder="1"/>
    <xf numFmtId="0" fontId="9" fillId="3" borderId="33" xfId="0" applyFont="1" applyFill="1" applyBorder="1"/>
    <xf numFmtId="0" fontId="9" fillId="3" borderId="49" xfId="0" applyFont="1" applyFill="1" applyBorder="1"/>
    <xf numFmtId="0" fontId="9" fillId="3" borderId="45" xfId="0" applyFont="1" applyFill="1" applyBorder="1"/>
    <xf numFmtId="0" fontId="6" fillId="3" borderId="30" xfId="0" quotePrefix="1" applyFont="1" applyFill="1" applyBorder="1"/>
    <xf numFmtId="0" fontId="7" fillId="3" borderId="50" xfId="0" applyFont="1" applyFill="1" applyBorder="1"/>
    <xf numFmtId="0" fontId="7" fillId="3" borderId="51" xfId="0" applyFont="1" applyFill="1" applyBorder="1"/>
    <xf numFmtId="0" fontId="7" fillId="3" borderId="52" xfId="0" applyFont="1" applyFill="1" applyBorder="1"/>
    <xf numFmtId="0" fontId="17" fillId="0" borderId="8" xfId="0" applyFont="1" applyBorder="1"/>
    <xf numFmtId="0" fontId="17" fillId="0" borderId="0" xfId="0" applyFont="1"/>
    <xf numFmtId="0" fontId="8" fillId="0" borderId="0" xfId="0" applyFont="1" applyAlignment="1">
      <alignment vertical="center"/>
    </xf>
    <xf numFmtId="0" fontId="9" fillId="3" borderId="29" xfId="0" applyFont="1" applyFill="1" applyBorder="1" applyAlignment="1">
      <alignment vertical="center"/>
    </xf>
    <xf numFmtId="0" fontId="9" fillId="3" borderId="32" xfId="0" applyFont="1" applyFill="1" applyBorder="1" applyAlignment="1">
      <alignment vertical="center" wrapText="1"/>
    </xf>
    <xf numFmtId="0" fontId="9" fillId="3" borderId="32" xfId="0" applyFont="1" applyFill="1" applyBorder="1" applyAlignment="1">
      <alignment vertical="center"/>
    </xf>
    <xf numFmtId="0" fontId="9" fillId="3" borderId="43" xfId="0" quotePrefix="1" applyFont="1" applyFill="1" applyBorder="1" applyAlignment="1">
      <alignment vertical="center"/>
    </xf>
    <xf numFmtId="0" fontId="9" fillId="3" borderId="44" xfId="0" applyFont="1" applyFill="1" applyBorder="1" applyAlignment="1">
      <alignment vertical="center"/>
    </xf>
    <xf numFmtId="0" fontId="9" fillId="3" borderId="44" xfId="0" applyFont="1" applyFill="1" applyBorder="1" applyAlignment="1">
      <alignment horizontal="left" vertical="center"/>
    </xf>
    <xf numFmtId="0" fontId="9" fillId="3" borderId="45" xfId="0" applyFont="1" applyFill="1" applyBorder="1" applyAlignment="1">
      <alignment vertical="center"/>
    </xf>
    <xf numFmtId="0" fontId="9" fillId="3" borderId="47" xfId="0" quotePrefix="1" applyFont="1" applyFill="1" applyBorder="1" applyAlignment="1">
      <alignment vertical="center"/>
    </xf>
    <xf numFmtId="0" fontId="9" fillId="3" borderId="36" xfId="0" applyFont="1" applyFill="1" applyBorder="1" applyAlignment="1">
      <alignment horizontal="left" vertical="center"/>
    </xf>
    <xf numFmtId="0" fontId="9" fillId="3" borderId="48" xfId="0" applyFont="1" applyFill="1" applyBorder="1" applyAlignment="1">
      <alignment vertical="center"/>
    </xf>
    <xf numFmtId="0" fontId="9" fillId="3" borderId="46" xfId="0" applyFont="1" applyFill="1" applyBorder="1" applyAlignment="1">
      <alignment vertical="center"/>
    </xf>
    <xf numFmtId="0" fontId="9" fillId="3" borderId="33" xfId="0" applyFont="1" applyFill="1" applyBorder="1" applyAlignment="1">
      <alignment horizontal="left" vertical="center"/>
    </xf>
    <xf numFmtId="0" fontId="9" fillId="3" borderId="49" xfId="0" applyFont="1" applyFill="1" applyBorder="1" applyAlignment="1">
      <alignment vertical="center"/>
    </xf>
    <xf numFmtId="0" fontId="9" fillId="3" borderId="30" xfId="0" applyFont="1" applyFill="1" applyBorder="1" applyAlignment="1">
      <alignment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0" fontId="9" fillId="3" borderId="49" xfId="0" applyFont="1" applyFill="1" applyBorder="1" applyAlignment="1">
      <alignment vertical="center" wrapText="1"/>
    </xf>
    <xf numFmtId="0" fontId="7" fillId="3" borderId="50" xfId="0" applyFont="1" applyFill="1" applyBorder="1" applyAlignment="1">
      <alignment vertical="center"/>
    </xf>
    <xf numFmtId="0" fontId="7" fillId="3" borderId="51" xfId="0" applyFont="1" applyFill="1" applyBorder="1" applyAlignment="1">
      <alignment horizontal="left" vertical="center"/>
    </xf>
    <xf numFmtId="0" fontId="8" fillId="3" borderId="52" xfId="0" applyFont="1" applyFill="1" applyBorder="1" applyAlignment="1">
      <alignment vertical="center"/>
    </xf>
    <xf numFmtId="0" fontId="7" fillId="3" borderId="50" xfId="0" applyFont="1" applyFill="1" applyBorder="1" applyAlignment="1">
      <alignment horizontal="left" vertical="center" wrapText="1"/>
    </xf>
    <xf numFmtId="0" fontId="6" fillId="3" borderId="33" xfId="0" applyFont="1" applyFill="1" applyBorder="1" applyAlignment="1">
      <alignment horizontal="right"/>
    </xf>
    <xf numFmtId="0" fontId="6" fillId="3" borderId="44" xfId="0" applyFont="1" applyFill="1" applyBorder="1" applyAlignment="1">
      <alignment horizontal="right"/>
    </xf>
    <xf numFmtId="0" fontId="6" fillId="3" borderId="36" xfId="0" applyFont="1" applyFill="1" applyBorder="1" applyAlignment="1">
      <alignment horizontal="right"/>
    </xf>
    <xf numFmtId="0" fontId="7" fillId="3" borderId="50" xfId="0" applyFont="1" applyFill="1" applyBorder="1" applyAlignment="1">
      <alignment vertical="center" wrapText="1"/>
    </xf>
    <xf numFmtId="0" fontId="7" fillId="3" borderId="51" xfId="0" applyFont="1" applyFill="1" applyBorder="1" applyAlignment="1">
      <alignment horizontal="right" vertical="center"/>
    </xf>
    <xf numFmtId="0" fontId="7" fillId="3" borderId="52" xfId="0" applyFont="1" applyFill="1" applyBorder="1" applyAlignment="1">
      <alignment vertical="center"/>
    </xf>
    <xf numFmtId="0" fontId="6" fillId="3" borderId="27" xfId="0" applyFont="1" applyFill="1" applyBorder="1"/>
    <xf numFmtId="0" fontId="9" fillId="3" borderId="28" xfId="0" applyFont="1" applyFill="1" applyBorder="1"/>
    <xf numFmtId="0" fontId="12" fillId="12" borderId="3" xfId="0" applyFont="1" applyFill="1" applyBorder="1" applyAlignment="1">
      <alignment wrapText="1"/>
    </xf>
    <xf numFmtId="0" fontId="9" fillId="0" borderId="9" xfId="0" applyFont="1" applyBorder="1"/>
    <xf numFmtId="0" fontId="9" fillId="10" borderId="11"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0" borderId="9" xfId="0" applyFont="1" applyBorder="1" applyAlignment="1">
      <alignment horizontal="center" vertical="center" wrapText="1"/>
    </xf>
    <xf numFmtId="0" fontId="7" fillId="13" borderId="24" xfId="0" applyFont="1" applyFill="1" applyBorder="1"/>
    <xf numFmtId="0" fontId="7" fillId="13" borderId="25" xfId="0" applyFont="1" applyFill="1" applyBorder="1"/>
    <xf numFmtId="0" fontId="8" fillId="13" borderId="26" xfId="0" applyFont="1" applyFill="1" applyBorder="1"/>
    <xf numFmtId="0" fontId="6" fillId="13" borderId="27" xfId="0" applyFont="1" applyFill="1" applyBorder="1" applyAlignment="1">
      <alignment horizontal="left" vertical="center"/>
    </xf>
    <xf numFmtId="0" fontId="6" fillId="13" borderId="28" xfId="0" applyFont="1" applyFill="1" applyBorder="1" applyAlignment="1">
      <alignment vertical="center"/>
    </xf>
    <xf numFmtId="0" fontId="6" fillId="13" borderId="29" xfId="0" applyFont="1" applyFill="1" applyBorder="1" applyAlignment="1">
      <alignment vertical="center"/>
    </xf>
    <xf numFmtId="0" fontId="6" fillId="13" borderId="30" xfId="0" applyFont="1" applyFill="1" applyBorder="1" applyAlignment="1">
      <alignment horizontal="left" vertical="center"/>
    </xf>
    <xf numFmtId="0" fontId="6" fillId="13" borderId="31" xfId="0" applyFont="1" applyFill="1" applyBorder="1" applyAlignment="1">
      <alignment vertical="center"/>
    </xf>
    <xf numFmtId="0" fontId="6" fillId="13" borderId="32" xfId="0" applyFont="1" applyFill="1" applyBorder="1" applyAlignment="1">
      <alignment vertical="center" wrapText="1"/>
    </xf>
    <xf numFmtId="0" fontId="6" fillId="13" borderId="32" xfId="0" applyFont="1" applyFill="1" applyBorder="1" applyAlignment="1">
      <alignment vertical="center"/>
    </xf>
    <xf numFmtId="0" fontId="6" fillId="13" borderId="30" xfId="0" applyFont="1" applyFill="1" applyBorder="1" applyAlignment="1">
      <alignment vertical="center"/>
    </xf>
    <xf numFmtId="0" fontId="7" fillId="13" borderId="50" xfId="0" applyFont="1" applyFill="1" applyBorder="1" applyAlignment="1">
      <alignment vertical="center"/>
    </xf>
    <xf numFmtId="0" fontId="7" fillId="13" borderId="51" xfId="0" applyFont="1" applyFill="1" applyBorder="1" applyAlignment="1">
      <alignment vertical="center"/>
    </xf>
    <xf numFmtId="0" fontId="7" fillId="13" borderId="52" xfId="0" applyFont="1" applyFill="1" applyBorder="1" applyAlignment="1">
      <alignment vertical="center" wrapText="1"/>
    </xf>
    <xf numFmtId="0" fontId="9" fillId="11" borderId="1" xfId="0" applyFont="1" applyFill="1" applyBorder="1" applyAlignment="1">
      <alignment wrapText="1"/>
    </xf>
    <xf numFmtId="0" fontId="6" fillId="13" borderId="27" xfId="0" applyFont="1" applyFill="1" applyBorder="1" applyAlignment="1">
      <alignment vertical="center" wrapText="1"/>
    </xf>
    <xf numFmtId="0" fontId="6" fillId="13" borderId="28" xfId="0" applyFont="1" applyFill="1" applyBorder="1" applyAlignment="1">
      <alignment horizontal="right" vertical="center"/>
    </xf>
    <xf numFmtId="0" fontId="6" fillId="13" borderId="28" xfId="0" applyFont="1" applyFill="1" applyBorder="1" applyAlignment="1">
      <alignment horizontal="left" vertical="center"/>
    </xf>
    <xf numFmtId="0" fontId="6" fillId="13" borderId="46" xfId="0" applyFont="1" applyFill="1" applyBorder="1" applyAlignment="1">
      <alignment vertical="center"/>
    </xf>
    <xf numFmtId="0" fontId="6" fillId="13" borderId="33" xfId="0" applyFont="1" applyFill="1" applyBorder="1" applyAlignment="1">
      <alignment vertical="center"/>
    </xf>
    <xf numFmtId="0" fontId="6" fillId="13" borderId="33" xfId="0" applyFont="1" applyFill="1" applyBorder="1" applyAlignment="1">
      <alignment horizontal="left" vertical="center"/>
    </xf>
    <xf numFmtId="0" fontId="6" fillId="13" borderId="49" xfId="0" applyFont="1" applyFill="1" applyBorder="1" applyAlignment="1">
      <alignment vertical="center"/>
    </xf>
    <xf numFmtId="0" fontId="6" fillId="13" borderId="43" xfId="0" quotePrefix="1" applyFont="1" applyFill="1" applyBorder="1" applyAlignment="1">
      <alignment vertical="center"/>
    </xf>
    <xf numFmtId="0" fontId="6" fillId="13" borderId="44" xfId="0" applyFont="1" applyFill="1" applyBorder="1" applyAlignment="1">
      <alignment vertical="center"/>
    </xf>
    <xf numFmtId="0" fontId="6" fillId="13" borderId="44" xfId="0" applyFont="1" applyFill="1" applyBorder="1" applyAlignment="1">
      <alignment horizontal="left" vertical="center"/>
    </xf>
    <xf numFmtId="0" fontId="6" fillId="13" borderId="45" xfId="0" applyFont="1" applyFill="1" applyBorder="1" applyAlignment="1">
      <alignment vertical="center"/>
    </xf>
    <xf numFmtId="0" fontId="6" fillId="13" borderId="46" xfId="0" applyFont="1" applyFill="1" applyBorder="1" applyAlignment="1">
      <alignment vertical="center" wrapText="1"/>
    </xf>
    <xf numFmtId="0" fontId="6" fillId="13" borderId="31" xfId="0" applyFont="1" applyFill="1" applyBorder="1" applyAlignment="1">
      <alignment horizontal="left"/>
    </xf>
    <xf numFmtId="0" fontId="9" fillId="13" borderId="32" xfId="0" applyFont="1" applyFill="1" applyBorder="1"/>
    <xf numFmtId="0" fontId="7" fillId="13" borderId="46" xfId="0" applyFont="1" applyFill="1" applyBorder="1" applyAlignment="1">
      <alignment vertical="center" wrapText="1"/>
    </xf>
    <xf numFmtId="0" fontId="7" fillId="13" borderId="33" xfId="0" applyFont="1" applyFill="1" applyBorder="1" applyAlignment="1">
      <alignment vertical="center"/>
    </xf>
    <xf numFmtId="0" fontId="7" fillId="13" borderId="33" xfId="0" applyFont="1" applyFill="1" applyBorder="1" applyAlignment="1">
      <alignment horizontal="left" vertical="center"/>
    </xf>
    <xf numFmtId="0" fontId="7" fillId="13" borderId="49" xfId="0" applyFont="1" applyFill="1" applyBorder="1" applyAlignment="1">
      <alignment vertical="center" wrapText="1"/>
    </xf>
    <xf numFmtId="0" fontId="7" fillId="13" borderId="43" xfId="0" quotePrefix="1" applyFont="1" applyFill="1" applyBorder="1" applyAlignment="1">
      <alignment vertical="center"/>
    </xf>
    <xf numFmtId="0" fontId="7" fillId="13" borderId="44" xfId="0" applyFont="1" applyFill="1" applyBorder="1" applyAlignment="1">
      <alignment vertical="center"/>
    </xf>
    <xf numFmtId="0" fontId="7" fillId="13" borderId="44" xfId="0" applyFont="1" applyFill="1" applyBorder="1" applyAlignment="1">
      <alignment horizontal="left" vertical="center"/>
    </xf>
    <xf numFmtId="0" fontId="7" fillId="13" borderId="45" xfId="0" applyFont="1" applyFill="1" applyBorder="1" applyAlignment="1">
      <alignment vertical="center"/>
    </xf>
    <xf numFmtId="0" fontId="7" fillId="13" borderId="37" xfId="0" quotePrefix="1" applyFont="1" applyFill="1" applyBorder="1" applyAlignment="1">
      <alignment vertical="center"/>
    </xf>
    <xf numFmtId="0" fontId="7" fillId="13" borderId="38" xfId="0" applyFont="1" applyFill="1" applyBorder="1" applyAlignment="1">
      <alignment vertical="center"/>
    </xf>
    <xf numFmtId="0" fontId="7" fillId="13" borderId="38" xfId="0" applyFont="1" applyFill="1" applyBorder="1" applyAlignment="1">
      <alignment horizontal="left" vertical="center"/>
    </xf>
    <xf numFmtId="0" fontId="7" fillId="13" borderId="39" xfId="0" applyFont="1" applyFill="1" applyBorder="1" applyAlignment="1">
      <alignment vertical="center"/>
    </xf>
    <xf numFmtId="0" fontId="6" fillId="0" borderId="57" xfId="0" applyFont="1" applyBorder="1" applyAlignment="1">
      <alignment wrapText="1"/>
    </xf>
    <xf numFmtId="0" fontId="6" fillId="13" borderId="27" xfId="0" applyFont="1" applyFill="1" applyBorder="1" applyAlignment="1">
      <alignment horizontal="left" vertical="center" wrapText="1"/>
    </xf>
    <xf numFmtId="0" fontId="6" fillId="13" borderId="46" xfId="0" applyFont="1" applyFill="1" applyBorder="1" applyAlignment="1">
      <alignment horizontal="left" vertical="center" wrapText="1"/>
    </xf>
    <xf numFmtId="0" fontId="7" fillId="13" borderId="46" xfId="0" applyFont="1" applyFill="1" applyBorder="1" applyAlignment="1">
      <alignment horizontal="left" vertical="center" wrapText="1"/>
    </xf>
    <xf numFmtId="0" fontId="7" fillId="13" borderId="33" xfId="0" applyFont="1" applyFill="1" applyBorder="1" applyAlignment="1">
      <alignment vertical="center" wrapText="1"/>
    </xf>
    <xf numFmtId="0" fontId="7" fillId="13" borderId="39" xfId="0" applyFont="1" applyFill="1" applyBorder="1" applyAlignment="1">
      <alignment vertical="center" wrapText="1"/>
    </xf>
    <xf numFmtId="0" fontId="6" fillId="0" borderId="57" xfId="0" applyFont="1" applyBorder="1" applyAlignment="1">
      <alignment horizontal="center" vertical="center" wrapText="1"/>
    </xf>
    <xf numFmtId="0" fontId="6" fillId="13" borderId="27" xfId="0" applyFont="1" applyFill="1" applyBorder="1" applyAlignment="1">
      <alignment wrapText="1"/>
    </xf>
    <xf numFmtId="0" fontId="6" fillId="13" borderId="28" xfId="0" applyFont="1" applyFill="1" applyBorder="1"/>
    <xf numFmtId="0" fontId="6" fillId="13" borderId="29" xfId="0" applyFont="1" applyFill="1" applyBorder="1"/>
    <xf numFmtId="0" fontId="6" fillId="13" borderId="47" xfId="0" applyFont="1" applyFill="1" applyBorder="1" applyAlignment="1">
      <alignment wrapText="1"/>
    </xf>
    <xf numFmtId="0" fontId="6" fillId="13" borderId="36" xfId="0" applyFont="1" applyFill="1" applyBorder="1"/>
    <xf numFmtId="0" fontId="6" fillId="13" borderId="48" xfId="0" applyFont="1" applyFill="1" applyBorder="1"/>
    <xf numFmtId="0" fontId="9" fillId="13" borderId="48" xfId="0" applyFont="1" applyFill="1" applyBorder="1"/>
    <xf numFmtId="0" fontId="6" fillId="13" borderId="30" xfId="0" applyFont="1" applyFill="1" applyBorder="1" applyAlignment="1">
      <alignment vertical="center" wrapText="1"/>
    </xf>
    <xf numFmtId="0" fontId="6" fillId="13" borderId="31" xfId="0" applyFont="1" applyFill="1" applyBorder="1" applyAlignment="1">
      <alignment vertical="center" wrapText="1"/>
    </xf>
    <xf numFmtId="0" fontId="9" fillId="13" borderId="32" xfId="0" applyFont="1" applyFill="1" applyBorder="1" applyAlignment="1">
      <alignment vertical="center" wrapText="1"/>
    </xf>
    <xf numFmtId="0" fontId="6" fillId="13" borderId="30" xfId="0" applyFont="1" applyFill="1" applyBorder="1" applyAlignment="1">
      <alignment wrapText="1"/>
    </xf>
    <xf numFmtId="0" fontId="6" fillId="13" borderId="31" xfId="0" applyFont="1" applyFill="1" applyBorder="1"/>
    <xf numFmtId="0" fontId="6" fillId="13" borderId="46" xfId="0" applyFont="1" applyFill="1" applyBorder="1"/>
    <xf numFmtId="0" fontId="6" fillId="13" borderId="33" xfId="0" applyFont="1" applyFill="1" applyBorder="1"/>
    <xf numFmtId="0" fontId="9" fillId="13" borderId="49" xfId="0" applyFont="1" applyFill="1" applyBorder="1"/>
    <xf numFmtId="0" fontId="6" fillId="13" borderId="43" xfId="0" quotePrefix="1" applyFont="1" applyFill="1" applyBorder="1"/>
    <xf numFmtId="0" fontId="6" fillId="13" borderId="44" xfId="0" applyFont="1" applyFill="1" applyBorder="1"/>
    <xf numFmtId="0" fontId="9" fillId="13" borderId="45" xfId="0" applyFont="1" applyFill="1" applyBorder="1"/>
    <xf numFmtId="0" fontId="6" fillId="13" borderId="45" xfId="0" applyFont="1" applyFill="1" applyBorder="1"/>
    <xf numFmtId="0" fontId="6" fillId="13" borderId="49" xfId="0" applyFont="1" applyFill="1" applyBorder="1"/>
    <xf numFmtId="0" fontId="6" fillId="13" borderId="32" xfId="0" applyFont="1" applyFill="1" applyBorder="1"/>
    <xf numFmtId="0" fontId="6" fillId="13" borderId="30" xfId="0" applyFont="1" applyFill="1" applyBorder="1"/>
    <xf numFmtId="0" fontId="7" fillId="13" borderId="50" xfId="0" applyFont="1" applyFill="1" applyBorder="1"/>
    <xf numFmtId="0" fontId="7" fillId="13" borderId="51" xfId="0" applyFont="1" applyFill="1" applyBorder="1"/>
    <xf numFmtId="0" fontId="7" fillId="13" borderId="52" xfId="0" applyFont="1" applyFill="1" applyBorder="1"/>
    <xf numFmtId="0" fontId="6" fillId="0" borderId="0" xfId="0" applyFont="1" applyAlignment="1">
      <alignment wrapText="1"/>
    </xf>
    <xf numFmtId="0" fontId="28" fillId="0" borderId="10" xfId="0" applyFont="1" applyBorder="1" applyAlignment="1">
      <alignment horizontal="left" vertical="center" wrapText="1"/>
    </xf>
    <xf numFmtId="0" fontId="7" fillId="13" borderId="50" xfId="0" applyFont="1" applyFill="1" applyBorder="1" applyAlignment="1">
      <alignment vertical="center" wrapText="1"/>
    </xf>
    <xf numFmtId="0" fontId="6" fillId="13" borderId="27" xfId="0" applyFont="1" applyFill="1" applyBorder="1" applyAlignment="1">
      <alignment vertical="center"/>
    </xf>
    <xf numFmtId="0" fontId="9" fillId="13" borderId="44" xfId="0" applyFont="1" applyFill="1" applyBorder="1" applyAlignment="1">
      <alignment vertical="center"/>
    </xf>
    <xf numFmtId="0" fontId="9" fillId="13" borderId="44" xfId="0" applyFont="1" applyFill="1" applyBorder="1" applyAlignment="1">
      <alignment horizontal="left" vertical="center"/>
    </xf>
    <xf numFmtId="0" fontId="9" fillId="13" borderId="45" xfId="0" applyFont="1" applyFill="1" applyBorder="1" applyAlignment="1">
      <alignment vertical="center"/>
    </xf>
    <xf numFmtId="0" fontId="9" fillId="13" borderId="33" xfId="0" applyFont="1" applyFill="1" applyBorder="1" applyAlignment="1">
      <alignment vertical="center"/>
    </xf>
    <xf numFmtId="0" fontId="9" fillId="13" borderId="33" xfId="0" applyFont="1" applyFill="1" applyBorder="1" applyAlignment="1">
      <alignment horizontal="left" vertical="center"/>
    </xf>
    <xf numFmtId="0" fontId="9" fillId="13" borderId="49" xfId="0" applyFont="1" applyFill="1" applyBorder="1" applyAlignment="1">
      <alignment vertical="center"/>
    </xf>
    <xf numFmtId="0" fontId="9" fillId="13" borderId="31" xfId="0" applyFont="1" applyFill="1" applyBorder="1" applyAlignment="1">
      <alignment vertical="center"/>
    </xf>
    <xf numFmtId="0" fontId="9" fillId="13" borderId="31" xfId="0" applyFont="1" applyFill="1" applyBorder="1" applyAlignment="1">
      <alignment horizontal="left" vertical="center"/>
    </xf>
    <xf numFmtId="0" fontId="9" fillId="13" borderId="32" xfId="0" applyFont="1" applyFill="1" applyBorder="1" applyAlignment="1">
      <alignment vertical="center"/>
    </xf>
    <xf numFmtId="0" fontId="9" fillId="13" borderId="49" xfId="0" applyFont="1" applyFill="1" applyBorder="1" applyAlignment="1">
      <alignment vertical="center" wrapText="1"/>
    </xf>
    <xf numFmtId="0" fontId="8" fillId="13" borderId="51" xfId="0" applyFont="1" applyFill="1" applyBorder="1" applyAlignment="1">
      <alignment vertical="center"/>
    </xf>
    <xf numFmtId="0" fontId="8" fillId="13" borderId="51" xfId="0" applyFont="1" applyFill="1" applyBorder="1" applyAlignment="1">
      <alignment horizontal="left" vertical="center"/>
    </xf>
    <xf numFmtId="0" fontId="8" fillId="13" borderId="52" xfId="0" applyFont="1" applyFill="1" applyBorder="1" applyAlignment="1">
      <alignment vertical="center"/>
    </xf>
    <xf numFmtId="0" fontId="9" fillId="13" borderId="28" xfId="0" applyFont="1" applyFill="1" applyBorder="1"/>
    <xf numFmtId="0" fontId="9" fillId="13" borderId="29" xfId="0" applyFont="1" applyFill="1" applyBorder="1"/>
    <xf numFmtId="0" fontId="6" fillId="13" borderId="49" xfId="0" applyFont="1" applyFill="1" applyBorder="1" applyAlignment="1">
      <alignment vertical="center" wrapText="1"/>
    </xf>
    <xf numFmtId="0" fontId="7" fillId="13" borderId="50" xfId="0" applyFont="1" applyFill="1" applyBorder="1" applyAlignment="1">
      <alignment horizontal="left" vertical="center" wrapText="1"/>
    </xf>
    <xf numFmtId="0" fontId="7" fillId="13" borderId="51" xfId="0" applyFont="1" applyFill="1" applyBorder="1" applyAlignment="1">
      <alignment vertical="center" wrapText="1"/>
    </xf>
    <xf numFmtId="0" fontId="9" fillId="13" borderId="31" xfId="0" applyFont="1" applyFill="1" applyBorder="1"/>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7" fillId="6" borderId="24" xfId="0" applyFont="1" applyFill="1" applyBorder="1"/>
    <xf numFmtId="0" fontId="7" fillId="6" borderId="25" xfId="0" applyFont="1" applyFill="1" applyBorder="1"/>
    <xf numFmtId="0" fontId="8" fillId="6" borderId="26" xfId="0" applyFont="1" applyFill="1" applyBorder="1"/>
    <xf numFmtId="0" fontId="6" fillId="6" borderId="27" xfId="0" applyFont="1" applyFill="1" applyBorder="1" applyAlignment="1">
      <alignment horizontal="left" vertical="center"/>
    </xf>
    <xf numFmtId="0" fontId="6" fillId="6" borderId="28" xfId="0" applyFont="1" applyFill="1" applyBorder="1" applyAlignment="1">
      <alignment vertical="center"/>
    </xf>
    <xf numFmtId="0" fontId="6" fillId="6" borderId="29" xfId="0" applyFont="1" applyFill="1" applyBorder="1" applyAlignment="1">
      <alignment vertical="center"/>
    </xf>
    <xf numFmtId="0" fontId="6" fillId="6" borderId="30" xfId="0" applyFont="1" applyFill="1" applyBorder="1" applyAlignment="1">
      <alignment horizontal="left" vertical="center"/>
    </xf>
    <xf numFmtId="0" fontId="6" fillId="6" borderId="31" xfId="0" applyFont="1" applyFill="1" applyBorder="1" applyAlignment="1">
      <alignment vertical="center"/>
    </xf>
    <xf numFmtId="0" fontId="6" fillId="6" borderId="32" xfId="0" applyFont="1" applyFill="1" applyBorder="1" applyAlignment="1">
      <alignment vertical="center" wrapText="1"/>
    </xf>
    <xf numFmtId="0" fontId="6" fillId="6" borderId="32" xfId="0" applyFont="1" applyFill="1" applyBorder="1" applyAlignment="1">
      <alignment vertical="center"/>
    </xf>
    <xf numFmtId="0" fontId="6" fillId="6" borderId="30" xfId="0" applyFont="1" applyFill="1" applyBorder="1" applyAlignment="1">
      <alignment vertical="center"/>
    </xf>
    <xf numFmtId="0" fontId="7" fillId="6" borderId="50" xfId="0" applyFont="1" applyFill="1" applyBorder="1" applyAlignment="1">
      <alignment vertical="center"/>
    </xf>
    <xf numFmtId="0" fontId="7" fillId="6" borderId="51" xfId="0" applyFont="1" applyFill="1" applyBorder="1" applyAlignment="1">
      <alignment vertical="center"/>
    </xf>
    <xf numFmtId="0" fontId="7" fillId="6" borderId="52" xfId="0" applyFont="1" applyFill="1" applyBorder="1" applyAlignment="1">
      <alignment vertical="center" wrapText="1"/>
    </xf>
    <xf numFmtId="0" fontId="6" fillId="6" borderId="27" xfId="0" applyFont="1" applyFill="1" applyBorder="1" applyAlignment="1">
      <alignment vertical="center" wrapText="1"/>
    </xf>
    <xf numFmtId="0" fontId="6" fillId="6" borderId="28" xfId="0" applyFont="1" applyFill="1" applyBorder="1" applyAlignment="1">
      <alignment horizontal="right" vertical="center"/>
    </xf>
    <xf numFmtId="0" fontId="6" fillId="6" borderId="28" xfId="0" applyFont="1" applyFill="1" applyBorder="1" applyAlignment="1">
      <alignment horizontal="left" vertical="center"/>
    </xf>
    <xf numFmtId="0" fontId="6" fillId="6" borderId="30" xfId="0" applyFont="1" applyFill="1" applyBorder="1" applyAlignment="1">
      <alignment vertical="center" wrapText="1"/>
    </xf>
    <xf numFmtId="0" fontId="6" fillId="6" borderId="31" xfId="0" applyFont="1" applyFill="1" applyBorder="1" applyAlignment="1">
      <alignment horizontal="left" vertical="center"/>
    </xf>
    <xf numFmtId="0" fontId="6" fillId="6" borderId="46" xfId="0" applyFont="1" applyFill="1" applyBorder="1" applyAlignment="1">
      <alignment vertical="center" wrapText="1"/>
    </xf>
    <xf numFmtId="0" fontId="6" fillId="6" borderId="33" xfId="0" applyFont="1" applyFill="1" applyBorder="1" applyAlignment="1">
      <alignment vertical="center"/>
    </xf>
    <xf numFmtId="0" fontId="6" fillId="6" borderId="31" xfId="0" applyFont="1" applyFill="1" applyBorder="1" applyAlignment="1">
      <alignment horizontal="left"/>
    </xf>
    <xf numFmtId="0" fontId="9" fillId="6" borderId="32" xfId="0" applyFont="1" applyFill="1" applyBorder="1"/>
    <xf numFmtId="0" fontId="7" fillId="6" borderId="50" xfId="0" applyFont="1" applyFill="1" applyBorder="1" applyAlignment="1">
      <alignment vertical="center" wrapText="1"/>
    </xf>
    <xf numFmtId="0" fontId="7" fillId="6" borderId="51" xfId="0" applyFont="1" applyFill="1" applyBorder="1" applyAlignment="1">
      <alignment vertical="center" wrapText="1"/>
    </xf>
    <xf numFmtId="0" fontId="7" fillId="6" borderId="51" xfId="0" applyFont="1" applyFill="1" applyBorder="1" applyAlignment="1">
      <alignment horizontal="left" vertical="center"/>
    </xf>
    <xf numFmtId="0" fontId="6" fillId="6" borderId="27"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6" fillId="6" borderId="47" xfId="0" applyFont="1" applyFill="1" applyBorder="1" applyAlignment="1">
      <alignment wrapText="1"/>
    </xf>
    <xf numFmtId="0" fontId="6" fillId="6" borderId="36" xfId="0" applyFont="1" applyFill="1" applyBorder="1"/>
    <xf numFmtId="0" fontId="6" fillId="6" borderId="48" xfId="0" applyFont="1" applyFill="1" applyBorder="1"/>
    <xf numFmtId="0" fontId="6" fillId="6" borderId="47" xfId="0" applyFont="1" applyFill="1" applyBorder="1" applyAlignment="1">
      <alignment vertical="center"/>
    </xf>
    <xf numFmtId="0" fontId="9" fillId="6" borderId="36" xfId="0" applyFont="1" applyFill="1" applyBorder="1" applyAlignment="1">
      <alignment vertical="center"/>
    </xf>
    <xf numFmtId="0" fontId="6" fillId="6" borderId="36" xfId="0" applyFont="1" applyFill="1" applyBorder="1" applyAlignment="1">
      <alignment vertical="center"/>
    </xf>
    <xf numFmtId="0" fontId="6" fillId="6" borderId="48" xfId="0" applyFont="1" applyFill="1" applyBorder="1" applyAlignment="1">
      <alignment vertical="center" wrapText="1"/>
    </xf>
    <xf numFmtId="0" fontId="6" fillId="6" borderId="27" xfId="0" applyFont="1" applyFill="1" applyBorder="1" applyAlignment="1">
      <alignment wrapText="1"/>
    </xf>
    <xf numFmtId="0" fontId="6" fillId="6" borderId="28" xfId="0" applyFont="1" applyFill="1" applyBorder="1"/>
    <xf numFmtId="0" fontId="6" fillId="6" borderId="29" xfId="0" applyFont="1" applyFill="1" applyBorder="1"/>
    <xf numFmtId="0" fontId="6" fillId="6" borderId="31" xfId="0" applyFont="1" applyFill="1" applyBorder="1" applyAlignment="1">
      <alignment vertical="center" wrapText="1"/>
    </xf>
    <xf numFmtId="0" fontId="9" fillId="6" borderId="32" xfId="0" applyFont="1" applyFill="1" applyBorder="1" applyAlignment="1">
      <alignment vertical="center" wrapText="1"/>
    </xf>
    <xf numFmtId="0" fontId="6" fillId="6" borderId="30" xfId="0" applyFont="1" applyFill="1" applyBorder="1" applyAlignment="1">
      <alignment wrapText="1"/>
    </xf>
    <xf numFmtId="0" fontId="6" fillId="6" borderId="31" xfId="0" applyFont="1" applyFill="1" applyBorder="1"/>
    <xf numFmtId="0" fontId="6" fillId="6" borderId="32" xfId="0" applyFont="1" applyFill="1" applyBorder="1"/>
    <xf numFmtId="0" fontId="7" fillId="6" borderId="50" xfId="0" applyFont="1" applyFill="1" applyBorder="1"/>
    <xf numFmtId="0" fontId="7" fillId="6" borderId="51" xfId="0" applyFont="1" applyFill="1" applyBorder="1"/>
    <xf numFmtId="0" fontId="7" fillId="6" borderId="52" xfId="0" applyFont="1" applyFill="1" applyBorder="1"/>
    <xf numFmtId="0" fontId="6" fillId="6" borderId="27" xfId="0" applyFont="1" applyFill="1" applyBorder="1" applyAlignment="1">
      <alignment vertical="center"/>
    </xf>
    <xf numFmtId="0" fontId="9" fillId="6" borderId="32" xfId="0" applyFont="1" applyFill="1" applyBorder="1" applyAlignment="1">
      <alignment vertical="center"/>
    </xf>
    <xf numFmtId="0" fontId="6" fillId="6" borderId="47" xfId="0" applyFont="1" applyFill="1" applyBorder="1"/>
    <xf numFmtId="0" fontId="9" fillId="6" borderId="36" xfId="0" applyFont="1" applyFill="1" applyBorder="1"/>
    <xf numFmtId="0" fontId="6" fillId="6" borderId="27" xfId="0" applyFont="1" applyFill="1" applyBorder="1"/>
    <xf numFmtId="0" fontId="9" fillId="6" borderId="28" xfId="0" applyFont="1" applyFill="1" applyBorder="1"/>
    <xf numFmtId="0" fontId="6" fillId="6" borderId="30" xfId="0" applyFont="1" applyFill="1" applyBorder="1"/>
    <xf numFmtId="0" fontId="9" fillId="6" borderId="31" xfId="0" applyFont="1" applyFill="1" applyBorder="1"/>
    <xf numFmtId="0" fontId="8" fillId="0" borderId="0" xfId="0" applyFont="1" applyAlignment="1">
      <alignment horizontal="left" vertical="center" wrapText="1"/>
    </xf>
    <xf numFmtId="0" fontId="8" fillId="11" borderId="4" xfId="0" applyFont="1" applyFill="1" applyBorder="1" applyAlignment="1">
      <alignment horizontal="left" vertical="center" wrapText="1"/>
    </xf>
    <xf numFmtId="0" fontId="8" fillId="11" borderId="4" xfId="0" applyFont="1" applyFill="1" applyBorder="1" applyAlignment="1">
      <alignment horizontal="center" vertical="center" wrapText="1"/>
    </xf>
    <xf numFmtId="0" fontId="8" fillId="15" borderId="0" xfId="0" applyFont="1" applyFill="1" applyAlignment="1">
      <alignment horizontal="center" vertical="center" wrapText="1"/>
    </xf>
    <xf numFmtId="0" fontId="9" fillId="0" borderId="0" xfId="0" applyFont="1" applyAlignment="1">
      <alignment vertical="center"/>
    </xf>
    <xf numFmtId="49" fontId="29" fillId="14" borderId="55" xfId="0" applyNumberFormat="1" applyFont="1" applyFill="1" applyBorder="1" applyAlignment="1">
      <alignment horizontal="right" vertical="center"/>
    </xf>
    <xf numFmtId="0" fontId="9" fillId="14" borderId="54" xfId="0" applyFont="1" applyFill="1" applyBorder="1" applyAlignment="1">
      <alignment horizontal="center" vertical="center" wrapText="1"/>
    </xf>
    <xf numFmtId="0" fontId="9" fillId="14" borderId="54" xfId="0" applyFont="1" applyFill="1" applyBorder="1" applyAlignment="1">
      <alignment horizontal="center" vertical="center"/>
    </xf>
    <xf numFmtId="0" fontId="8" fillId="16" borderId="3" xfId="0" applyFont="1" applyFill="1" applyBorder="1" applyAlignment="1">
      <alignment horizontal="center" vertical="center"/>
    </xf>
    <xf numFmtId="49" fontId="9" fillId="0" borderId="54" xfId="0" applyNumberFormat="1" applyFont="1" applyBorder="1" applyAlignment="1">
      <alignment vertical="center"/>
    </xf>
    <xf numFmtId="0" fontId="9" fillId="0" borderId="54" xfId="0" applyFont="1" applyBorder="1" applyAlignment="1">
      <alignment vertical="center" wrapText="1"/>
    </xf>
    <xf numFmtId="0" fontId="9" fillId="0" borderId="54" xfId="0" applyFont="1" applyBorder="1" applyAlignment="1">
      <alignment horizontal="center" vertical="center"/>
    </xf>
    <xf numFmtId="49" fontId="9" fillId="0" borderId="0" xfId="0" applyNumberFormat="1"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11"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9" fillId="0" borderId="0" xfId="0" applyFont="1" applyFill="1" applyAlignment="1">
      <alignment vertical="center" wrapText="1"/>
    </xf>
    <xf numFmtId="0" fontId="9" fillId="0" borderId="0" xfId="0" applyFont="1" applyAlignment="1">
      <alignment horizontal="left" vertical="center"/>
    </xf>
    <xf numFmtId="11" fontId="9" fillId="0" borderId="0" xfId="0" applyNumberFormat="1" applyFont="1" applyFill="1"/>
    <xf numFmtId="0" fontId="9" fillId="0" borderId="0" xfId="0" applyFont="1" applyFill="1"/>
    <xf numFmtId="165" fontId="9" fillId="0" borderId="0" xfId="0" applyNumberFormat="1" applyFont="1" applyFill="1" applyAlignment="1">
      <alignment horizontal="center" vertical="center"/>
    </xf>
    <xf numFmtId="165" fontId="9" fillId="0" borderId="0" xfId="0" applyNumberFormat="1" applyFont="1" applyAlignment="1">
      <alignment horizontal="center" vertical="center"/>
    </xf>
    <xf numFmtId="0" fontId="9" fillId="0" borderId="0" xfId="0" applyFont="1" applyFill="1" applyBorder="1" applyAlignment="1">
      <alignment vertical="center"/>
    </xf>
    <xf numFmtId="0" fontId="9" fillId="0" borderId="0" xfId="0" applyFont="1" applyBorder="1" applyAlignment="1">
      <alignment horizontal="center"/>
    </xf>
    <xf numFmtId="0" fontId="9" fillId="0" borderId="0" xfId="0" applyFont="1" applyAlignment="1">
      <alignment horizontal="center"/>
    </xf>
    <xf numFmtId="49" fontId="9" fillId="0" borderId="0" xfId="0" applyNumberFormat="1" applyFont="1" applyFill="1" applyBorder="1" applyAlignment="1">
      <alignment vertical="center"/>
    </xf>
    <xf numFmtId="0" fontId="9" fillId="0" borderId="0" xfId="0" applyFont="1" applyFill="1" applyBorder="1" applyAlignment="1">
      <alignment vertical="center" wrapText="1"/>
    </xf>
    <xf numFmtId="0" fontId="9" fillId="0" borderId="0" xfId="0" applyFont="1" applyBorder="1" applyAlignment="1">
      <alignment horizontal="center" vertical="center"/>
    </xf>
    <xf numFmtId="11" fontId="9" fillId="0" borderId="0" xfId="0" applyNumberFormat="1" applyFont="1" applyAlignment="1">
      <alignment horizontal="center" vertical="center"/>
    </xf>
    <xf numFmtId="14" fontId="9" fillId="0" borderId="0" xfId="2" quotePrefix="1" applyNumberFormat="1" applyFont="1" applyFill="1" applyBorder="1"/>
    <xf numFmtId="49" fontId="9" fillId="0" borderId="4" xfId="0" applyNumberFormat="1" applyFont="1" applyBorder="1" applyAlignment="1">
      <alignment vertical="center"/>
    </xf>
    <xf numFmtId="0" fontId="9" fillId="0" borderId="4" xfId="0" applyFont="1" applyBorder="1" applyAlignment="1">
      <alignment vertical="center" wrapText="1"/>
    </xf>
    <xf numFmtId="0" fontId="9" fillId="0" borderId="4" xfId="0" applyFont="1" applyBorder="1" applyAlignment="1">
      <alignment horizontal="center" vertical="center"/>
    </xf>
    <xf numFmtId="11" fontId="9" fillId="0" borderId="4" xfId="0" applyNumberFormat="1" applyFont="1" applyFill="1" applyBorder="1" applyAlignment="1">
      <alignment horizontal="center" vertical="center"/>
    </xf>
    <xf numFmtId="49" fontId="9" fillId="0" borderId="54" xfId="0" applyNumberFormat="1" applyFont="1" applyBorder="1"/>
    <xf numFmtId="0" fontId="9" fillId="0" borderId="54" xfId="0" applyFont="1" applyBorder="1"/>
    <xf numFmtId="0" fontId="9" fillId="0" borderId="54" xfId="0" applyFont="1" applyBorder="1" applyAlignment="1">
      <alignment wrapText="1"/>
    </xf>
    <xf numFmtId="0" fontId="9" fillId="0" borderId="54" xfId="0" applyFont="1" applyBorder="1" applyAlignment="1">
      <alignment horizontal="center"/>
    </xf>
    <xf numFmtId="49" fontId="8" fillId="0" borderId="0" xfId="0" applyNumberFormat="1" applyFont="1"/>
    <xf numFmtId="0" fontId="9" fillId="0" borderId="0" xfId="0" applyFont="1" applyAlignment="1">
      <alignment wrapText="1"/>
    </xf>
    <xf numFmtId="0" fontId="9" fillId="0" borderId="0" xfId="0" applyFont="1" applyFill="1" applyBorder="1" applyAlignment="1">
      <alignment horizontal="left" vertical="center"/>
    </xf>
    <xf numFmtId="49" fontId="9" fillId="0" borderId="0" xfId="0" applyNumberFormat="1" applyFont="1"/>
    <xf numFmtId="0" fontId="7" fillId="2" borderId="4" xfId="0" applyFont="1" applyFill="1" applyBorder="1" applyAlignment="1">
      <alignment horizontal="center" vertical="center" wrapText="1"/>
    </xf>
    <xf numFmtId="0" fontId="6" fillId="0" borderId="55" xfId="0" applyFont="1" applyBorder="1" applyAlignment="1">
      <alignment vertical="center"/>
    </xf>
    <xf numFmtId="0" fontId="6" fillId="0" borderId="28" xfId="0" applyFont="1" applyBorder="1"/>
    <xf numFmtId="0" fontId="6" fillId="0" borderId="54" xfId="0" applyFont="1" applyBorder="1" applyAlignment="1">
      <alignment vertical="center"/>
    </xf>
    <xf numFmtId="0" fontId="6" fillId="0" borderId="31" xfId="0" applyFont="1" applyBorder="1" applyAlignment="1">
      <alignment vertical="center"/>
    </xf>
    <xf numFmtId="0" fontId="6" fillId="0" borderId="4" xfId="0" applyFont="1" applyBorder="1" applyAlignment="1">
      <alignment vertical="center"/>
    </xf>
    <xf numFmtId="0" fontId="9" fillId="0" borderId="54" xfId="0" applyFont="1" applyBorder="1" applyAlignment="1">
      <alignment vertical="center"/>
    </xf>
    <xf numFmtId="0" fontId="9" fillId="0" borderId="4" xfId="0" applyFont="1" applyBorder="1" applyAlignment="1">
      <alignment vertical="center"/>
    </xf>
    <xf numFmtId="0" fontId="6" fillId="0" borderId="56" xfId="0" applyFont="1" applyBorder="1" applyAlignment="1">
      <alignment horizontal="right" vertical="center"/>
    </xf>
    <xf numFmtId="0" fontId="6" fillId="0" borderId="56" xfId="0" applyFont="1" applyBorder="1" applyAlignment="1">
      <alignment horizontal="left" vertical="center"/>
    </xf>
    <xf numFmtId="0" fontId="6" fillId="0" borderId="31" xfId="0" applyFont="1" applyBorder="1" applyAlignment="1">
      <alignment horizontal="right" vertical="center"/>
    </xf>
    <xf numFmtId="0" fontId="6" fillId="0" borderId="31" xfId="0" applyFont="1" applyBorder="1" applyAlignment="1">
      <alignment horizontal="left" vertical="center"/>
    </xf>
    <xf numFmtId="0" fontId="6" fillId="0" borderId="4" xfId="0" applyFont="1" applyBorder="1" applyAlignment="1">
      <alignment vertical="center" wrapText="1"/>
    </xf>
    <xf numFmtId="0" fontId="9" fillId="0" borderId="55" xfId="0" applyFont="1" applyBorder="1" applyAlignment="1">
      <alignment vertical="center"/>
    </xf>
    <xf numFmtId="0" fontId="10" fillId="0" borderId="0" xfId="0" applyFont="1"/>
    <xf numFmtId="0" fontId="7" fillId="11" borderId="4" xfId="0" applyFont="1" applyFill="1" applyBorder="1" applyAlignment="1">
      <alignment horizontal="center" vertical="center" wrapText="1"/>
    </xf>
    <xf numFmtId="0" fontId="7" fillId="0" borderId="0" xfId="0" applyFont="1" applyAlignment="1">
      <alignment horizontal="center" vertical="center" wrapText="1"/>
    </xf>
    <xf numFmtId="0" fontId="11" fillId="14" borderId="55" xfId="0" applyFont="1" applyFill="1" applyBorder="1" applyAlignment="1">
      <alignment horizontal="right" vertical="center" wrapText="1"/>
    </xf>
    <xf numFmtId="0" fontId="6" fillId="14" borderId="55" xfId="0" applyFont="1" applyFill="1" applyBorder="1" applyAlignment="1">
      <alignment horizontal="center" vertical="center" wrapText="1"/>
    </xf>
    <xf numFmtId="0" fontId="6" fillId="0" borderId="54" xfId="0" applyFont="1" applyBorder="1"/>
    <xf numFmtId="0" fontId="6" fillId="0" borderId="54" xfId="0" applyFont="1" applyBorder="1" applyAlignment="1">
      <alignment horizontal="center"/>
    </xf>
    <xf numFmtId="0" fontId="6" fillId="0" borderId="54" xfId="0" applyFont="1" applyBorder="1" applyAlignment="1">
      <alignment horizontal="center" vertical="center"/>
    </xf>
    <xf numFmtId="0" fontId="6" fillId="0" borderId="0" xfId="0" applyFont="1" applyAlignment="1">
      <alignment horizontal="center" vertical="center"/>
    </xf>
    <xf numFmtId="0" fontId="9" fillId="0" borderId="4" xfId="0" applyFont="1" applyBorder="1"/>
    <xf numFmtId="0" fontId="9" fillId="0" borderId="4" xfId="0" applyFont="1" applyBorder="1" applyAlignment="1">
      <alignment horizontal="center"/>
    </xf>
    <xf numFmtId="0" fontId="6" fillId="0" borderId="4" xfId="0" applyFont="1" applyBorder="1" applyAlignment="1">
      <alignment horizontal="center"/>
    </xf>
    <xf numFmtId="0" fontId="7" fillId="0" borderId="0" xfId="0" applyFont="1"/>
    <xf numFmtId="0" fontId="6" fillId="0" borderId="0" xfId="0" applyFont="1" applyAlignment="1">
      <alignment horizontal="left"/>
    </xf>
    <xf numFmtId="0" fontId="30" fillId="0" borderId="0" xfId="0" applyFont="1"/>
    <xf numFmtId="0" fontId="7" fillId="0" borderId="2" xfId="0" applyFont="1" applyBorder="1" applyAlignment="1">
      <alignment horizontal="center"/>
    </xf>
    <xf numFmtId="0" fontId="7" fillId="0" borderId="0" xfId="0" applyFont="1" applyAlignment="1">
      <alignment horizontal="center" wrapText="1"/>
    </xf>
    <xf numFmtId="0" fontId="7" fillId="0" borderId="0" xfId="0" applyFont="1" applyAlignment="1">
      <alignment horizontal="left"/>
    </xf>
    <xf numFmtId="0" fontId="7" fillId="0" borderId="0" xfId="0" applyFont="1" applyAlignment="1">
      <alignment horizontal="right"/>
    </xf>
    <xf numFmtId="0" fontId="7" fillId="0" borderId="2" xfId="0" applyFont="1" applyBorder="1" applyAlignment="1">
      <alignment horizontal="left"/>
    </xf>
    <xf numFmtId="0" fontId="7" fillId="0" borderId="2" xfId="0" applyFont="1" applyBorder="1" applyAlignment="1">
      <alignment horizontal="center"/>
    </xf>
    <xf numFmtId="166" fontId="6" fillId="0" borderId="0" xfId="0" applyNumberFormat="1" applyFont="1"/>
    <xf numFmtId="2" fontId="9" fillId="0" borderId="0" xfId="0" applyNumberFormat="1" applyFont="1"/>
    <xf numFmtId="166" fontId="9" fillId="0" borderId="0" xfId="0" applyNumberFormat="1" applyFont="1"/>
    <xf numFmtId="167" fontId="9" fillId="0" borderId="0" xfId="0" applyNumberFormat="1" applyFont="1"/>
    <xf numFmtId="0" fontId="9" fillId="0" borderId="0" xfId="0" applyFont="1" applyAlignment="1">
      <alignment horizontal="left"/>
    </xf>
    <xf numFmtId="168" fontId="9" fillId="0" borderId="0" xfId="3" applyNumberFormat="1" applyFont="1" applyFill="1"/>
    <xf numFmtId="0" fontId="8" fillId="0" borderId="0" xfId="0" applyFont="1"/>
    <xf numFmtId="0" fontId="8" fillId="0" borderId="0" xfId="0" applyFont="1" applyAlignment="1">
      <alignment horizontal="left"/>
    </xf>
    <xf numFmtId="164" fontId="9" fillId="0" borderId="0" xfId="0" applyNumberFormat="1" applyFont="1"/>
    <xf numFmtId="0" fontId="31" fillId="0" borderId="0" xfId="4" applyFont="1"/>
    <xf numFmtId="0" fontId="31" fillId="0" borderId="0" xfId="4" applyFont="1" applyAlignment="1">
      <alignment vertical="center"/>
    </xf>
    <xf numFmtId="0" fontId="6" fillId="0" borderId="0" xfId="0" applyFont="1" applyAlignment="1">
      <alignment horizontal="left" vertical="center"/>
    </xf>
  </cellXfs>
  <cellStyles count="5">
    <cellStyle name="Blank" xfId="2" xr:uid="{C8D52DD3-3007-4FF5-9288-EAD87674E82F}"/>
    <cellStyle name="Comma" xfId="3" builtinId="3"/>
    <cellStyle name="Hyperlink" xfId="4" builtinId="8"/>
    <cellStyle name="Normal" xfId="0" builtinId="0"/>
    <cellStyle name="Normal 2" xfId="1" xr:uid="{09C4936B-BBA0-49ED-A446-2B3C5BE67EEA}"/>
  </cellStyles>
  <dxfs count="17">
    <dxf>
      <font>
        <b val="0"/>
        <i/>
        <color theme="2" tint="-9.9948118533890809E-2"/>
      </font>
    </dxf>
    <dxf>
      <font>
        <b val="0"/>
        <i/>
        <color theme="2" tint="-9.9948118533890809E-2"/>
      </font>
    </dxf>
    <dxf>
      <font>
        <b val="0"/>
        <i/>
        <color theme="2" tint="-9.9948118533890809E-2"/>
      </font>
    </dxf>
    <dxf>
      <font>
        <b val="0"/>
        <i/>
        <color theme="2" tint="-9.9948118533890809E-2"/>
      </font>
    </dxf>
    <dxf>
      <font>
        <b val="0"/>
        <i/>
        <color theme="2" tint="-9.9948118533890809E-2"/>
      </font>
    </dxf>
    <dxf>
      <font>
        <b val="0"/>
        <i/>
        <color theme="2" tint="-9.9948118533890809E-2"/>
      </font>
    </dxf>
    <dxf>
      <font>
        <b val="0"/>
        <i/>
        <color theme="2" tint="-9.9948118533890809E-2"/>
      </font>
    </dxf>
    <dxf>
      <font>
        <b val="0"/>
        <i/>
        <color theme="2" tint="-9.9948118533890809E-2"/>
      </font>
    </dxf>
    <dxf>
      <font>
        <b val="0"/>
        <i/>
        <color theme="2" tint="-9.9948118533890809E-2"/>
      </font>
    </dxf>
    <dxf>
      <font>
        <color rgb="FFFFF4D5"/>
      </font>
    </dxf>
    <dxf>
      <font>
        <color rgb="FFFFF4D5"/>
      </font>
    </dxf>
    <dxf>
      <font>
        <color rgb="FFFFF4D5"/>
      </font>
    </dxf>
    <dxf>
      <font>
        <color rgb="FFFFF4D5"/>
      </font>
    </dxf>
    <dxf>
      <font>
        <color rgb="FFFFF4D5"/>
      </font>
    </dxf>
    <dxf>
      <font>
        <color rgb="FFFFF4D5"/>
      </font>
    </dxf>
    <dxf>
      <font>
        <color rgb="FFFFF4D5"/>
      </font>
    </dxf>
    <dxf>
      <font>
        <color rgb="FFFFF4D5"/>
      </font>
    </dxf>
  </dxfs>
  <tableStyles count="0" defaultTableStyle="TableStyleMedium2" defaultPivotStyle="PivotStyleLight16"/>
  <colors>
    <mruColors>
      <color rgb="FFFFCCFF"/>
      <color rgb="FFE3EFF9"/>
      <color rgb="FFFF8B8B"/>
      <color rgb="FFE7ACFE"/>
      <color rgb="FFE19AFE"/>
      <color rgb="FFFF99FF"/>
      <color rgb="FFCC99FF"/>
      <color rgb="FFC399E9"/>
      <color rgb="FFFFF4D5"/>
      <color rgb="FFF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6</xdr:row>
      <xdr:rowOff>23137</xdr:rowOff>
    </xdr:to>
    <xdr:pic>
      <xdr:nvPicPr>
        <xdr:cNvPr id="2" name="Picture 1">
          <a:extLst>
            <a:ext uri="{FF2B5EF4-FFF2-40B4-BE49-F238E27FC236}">
              <a16:creationId xmlns:a16="http://schemas.microsoft.com/office/drawing/2014/main" id="{0EC39A83-39B9-4A2D-A8BE-4DD5F79CB9CA}"/>
            </a:ext>
          </a:extLst>
        </xdr:cNvPr>
        <xdr:cNvPicPr>
          <a:picLocks noChangeAspect="1"/>
        </xdr:cNvPicPr>
      </xdr:nvPicPr>
      <xdr:blipFill>
        <a:blip xmlns:r="http://schemas.openxmlformats.org/officeDocument/2006/relationships" r:embed="rId1"/>
        <a:stretch>
          <a:fillRect/>
        </a:stretch>
      </xdr:blipFill>
      <xdr:spPr>
        <a:xfrm>
          <a:off x="0" y="190500"/>
          <a:ext cx="685800" cy="11016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martin\OneDrive%20-%20Oregon\Desktop\TRV\ATSAC_FinalVersion%20TRV_2022_Update.xlsm" TargetMode="External"/><Relationship Id="rId1" Type="http://schemas.openxmlformats.org/officeDocument/2006/relationships/externalLinkPath" Target="file:///C:\Users\kmartin\OneDrive%20-%20Oregon\Desktop\TRV\ATSAC_FinalVersion%20TRV_2022_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Review Auth. Sources"/>
      <sheetName val="QA Export"/>
      <sheetName val="Target Organ Analysis"/>
      <sheetName val="2018 Critical Effects"/>
      <sheetName val="Authoritative Source Changes"/>
      <sheetName val="Review TRV Changes"/>
      <sheetName val="TRV Changes"/>
      <sheetName val="TRV Cancer Decisions"/>
      <sheetName val="TRV Chronic Decisions"/>
      <sheetName val="TRV Acute Decisions"/>
      <sheetName val="Lookups"/>
      <sheetName val="TACs"/>
      <sheetName val="USDOT"/>
      <sheetName val="IRIS"/>
      <sheetName val="IRIS_2018"/>
      <sheetName val="OEHAA"/>
      <sheetName val="OEHAA_2018"/>
      <sheetName val="ATSDR"/>
      <sheetName val="ATSDR_2018"/>
      <sheetName val="Staging"/>
      <sheetName val="PPRTV"/>
      <sheetName val="DEQ"/>
      <sheetName val="HOI3HI5Table"/>
      <sheetName val="TRV Selection"/>
      <sheetName val="PPRTV_2018"/>
      <sheetName val="Original Spreadsheet"/>
      <sheetName val="ABCs_2018"/>
      <sheetName val="TRVs_2018"/>
      <sheetName val="Backup"/>
      <sheetName val="Display Order"/>
      <sheetName val="Main Table ATSAC"/>
      <sheetName val="TRV Options"/>
      <sheetName val="Critical Effects"/>
      <sheetName val="CanCriticalEffectsATSAC"/>
      <sheetName val="NCCriticalEffectsATSAC"/>
      <sheetName val="Links"/>
      <sheetName val="RBC_2018"/>
    </sheetNames>
    <sheetDataSet>
      <sheetData sheetId="0"/>
      <sheetData sheetId="1"/>
      <sheetData sheetId="2"/>
      <sheetData sheetId="3"/>
      <sheetData sheetId="4"/>
      <sheetData sheetId="5"/>
      <sheetData sheetId="6"/>
      <sheetData sheetId="7"/>
      <sheetData sheetId="8"/>
      <sheetData sheetId="9"/>
      <sheetData sheetId="10"/>
      <sheetData sheetId="11">
        <row r="5">
          <cell r="B5" t="str">
            <v>A</v>
          </cell>
          <cell r="C5" t="str">
            <v>ATSAC, DEQ Air Toxics Science Advisory Committee, 2018</v>
          </cell>
          <cell r="L5" t="str">
            <v>T</v>
          </cell>
          <cell r="M5" t="str">
            <v>ATSDR</v>
          </cell>
        </row>
        <row r="6">
          <cell r="B6" t="str">
            <v>A1</v>
          </cell>
          <cell r="C6" t="str">
            <v>ATSAC, 2018. TRV for cancer calculated by applying toxic equivalency factor.</v>
          </cell>
          <cell r="L6" t="str">
            <v>Tint</v>
          </cell>
          <cell r="M6" t="str">
            <v>ATSDR_Int</v>
          </cell>
        </row>
        <row r="7">
          <cell r="B7" t="str">
            <v>A2</v>
          </cell>
          <cell r="C7" t="str">
            <v>Because the ATSAC decided it was inappropriate to develop an ABC based on noncarcinogenic effects, DEQ did not obtain a TRV from the other authoritative sources in the hierarchy.</v>
          </cell>
          <cell r="L7" t="str">
            <v>D</v>
          </cell>
          <cell r="M7" t="str">
            <v>DEQ</v>
          </cell>
        </row>
        <row r="8">
          <cell r="B8" t="str">
            <v>I</v>
          </cell>
          <cell r="C8" t="str">
            <v>IRIS</v>
          </cell>
          <cell r="L8" t="str">
            <v>I</v>
          </cell>
          <cell r="M8" t="str">
            <v>IRIS</v>
          </cell>
        </row>
        <row r="9">
          <cell r="B9" t="str">
            <v>O</v>
          </cell>
          <cell r="C9" t="str">
            <v>OEHHA</v>
          </cell>
          <cell r="L9" t="str">
            <v>O</v>
          </cell>
          <cell r="M9" t="str">
            <v>OEHHA</v>
          </cell>
        </row>
        <row r="10">
          <cell r="B10" t="str">
            <v>P</v>
          </cell>
          <cell r="C10" t="str">
            <v>PPRTV</v>
          </cell>
          <cell r="L10" t="str">
            <v>P</v>
          </cell>
          <cell r="M10" t="str">
            <v>PPRTV</v>
          </cell>
        </row>
        <row r="11">
          <cell r="B11" t="str">
            <v>S</v>
          </cell>
          <cell r="C11" t="str">
            <v>SGC, DEQ short-term guideline concentration</v>
          </cell>
          <cell r="L11" t="str">
            <v>X</v>
          </cell>
          <cell r="M11" t="str">
            <v>Not Available</v>
          </cell>
        </row>
        <row r="12">
          <cell r="B12" t="str">
            <v>Tint</v>
          </cell>
          <cell r="C12" t="str">
            <v>ATSDR, Intermediate minimal risk level</v>
          </cell>
          <cell r="L12" t="str">
            <v>Check</v>
          </cell>
          <cell r="M12" t="str">
            <v>Chronic</v>
          </cell>
        </row>
        <row r="13">
          <cell r="B13" t="str">
            <v>T</v>
          </cell>
          <cell r="C13" t="str">
            <v>ATSDR</v>
          </cell>
          <cell r="L13" t="str">
            <v>Oc</v>
          </cell>
          <cell r="M13" t="str">
            <v>OEHHA chronic</v>
          </cell>
        </row>
        <row r="14">
          <cell r="L14" t="str">
            <v>Tc</v>
          </cell>
          <cell r="M14" t="str">
            <v>ATSDR chronic</v>
          </cell>
        </row>
        <row r="15">
          <cell r="L15" t="str">
            <v>Dc</v>
          </cell>
          <cell r="M15" t="str">
            <v>DEQ chronic</v>
          </cell>
        </row>
        <row r="16">
          <cell r="L16" t="str">
            <v>Ic</v>
          </cell>
          <cell r="M16" t="str">
            <v>IRIS chronic</v>
          </cell>
        </row>
        <row r="17">
          <cell r="L17" t="str">
            <v>Pc</v>
          </cell>
          <cell r="M17" t="str">
            <v>PPRTV chronic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persons/person.xml><?xml version="1.0" encoding="utf-8"?>
<personList xmlns="http://schemas.microsoft.com/office/spreadsheetml/2018/threadedcomments" xmlns:x="http://schemas.openxmlformats.org/spreadsheetml/2006/main">
  <person displayName="David Farrer" id="{74F354CC-9E84-422D-A844-A1BD6ECB990F}" userId="S::DAVID.G.FARRER@oha.oregon.gov::1ae94a01-21cc-4dcd-ba0f-71254398c94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 dT="2025-11-11T01:06:49.98" personId="{74F354CC-9E84-422D-A844-A1BD6ECB990F}" id="{B5D4C9D6-D95B-4563-8F54-720DBD1064A8}">
    <text xml:space="preserve">Is this the correct default for noncancer? I thought it would just be two years for the residential 0-2 year old.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epa.gov/sites/default/files/2019-11/documents/508_pfascropuptake.pdf" TargetMode="External"/><Relationship Id="rId2" Type="http://schemas.openxmlformats.org/officeDocument/2006/relationships/hyperlink" Target="https://www.epa.gov/biosolids/draft-sewage-sludge-risk-assessment-perfluorooctanoic-acid-pfoa-and-perfluorooctane" TargetMode="External"/><Relationship Id="rId1" Type="http://schemas.openxmlformats.org/officeDocument/2006/relationships/hyperlink" Target="https://www.researchgate.net/profile/Kuldip-Kumar/publication/263015815_Perfluoroalkyl_Acid_Distribution_in_Various_Plant_Compartments_of_Edible_Crops_Grown_in_Biosolids-Amended_soils/links/5984cb310f7e9b6c852f4f02/Perfluoroalkyl-Acid-Distribution-in-Various-Plant-Compartments-of-Edible-Crops-Grown-in-Biosolids-Amended-soil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3621-4E2A-49BA-AB83-AE86BD57543C}">
  <sheetPr codeName="Sheet1">
    <tabColor rgb="FFFF8B8B"/>
  </sheetPr>
  <dimension ref="B2:D37"/>
  <sheetViews>
    <sheetView showGridLines="0" tabSelected="1" topLeftCell="B1" zoomScale="120" zoomScaleNormal="120" workbookViewId="0">
      <selection activeCell="B10" sqref="B10"/>
    </sheetView>
  </sheetViews>
  <sheetFormatPr defaultRowHeight="14.25" x14ac:dyDescent="0.2"/>
  <cols>
    <col min="1" max="1" width="11.7109375" style="2" customWidth="1"/>
    <col min="2" max="2" width="139.5703125" style="2" customWidth="1"/>
    <col min="3" max="16384" width="9.140625" style="2"/>
  </cols>
  <sheetData>
    <row r="2" spans="2:4" ht="26.25" x14ac:dyDescent="0.2">
      <c r="B2" s="1" t="s">
        <v>523</v>
      </c>
      <c r="C2" s="1"/>
      <c r="D2" s="1"/>
    </row>
    <row r="3" spans="2:4" ht="15" x14ac:dyDescent="0.25">
      <c r="B3" s="3" t="s">
        <v>524</v>
      </c>
      <c r="C3" s="4"/>
      <c r="D3" s="4"/>
    </row>
    <row r="4" spans="2:4" ht="15" x14ac:dyDescent="0.25">
      <c r="B4" s="4" t="s">
        <v>525</v>
      </c>
      <c r="C4" s="4"/>
      <c r="D4" s="4"/>
    </row>
    <row r="5" spans="2:4" x14ac:dyDescent="0.2">
      <c r="B5" s="4"/>
      <c r="C5" s="4"/>
      <c r="D5" s="4"/>
    </row>
    <row r="6" spans="2:4" ht="15" x14ac:dyDescent="0.25">
      <c r="B6" s="5" t="s">
        <v>0</v>
      </c>
    </row>
    <row r="7" spans="2:4" ht="242.25" x14ac:dyDescent="0.2">
      <c r="B7" s="6" t="s">
        <v>526</v>
      </c>
    </row>
    <row r="8" spans="2:4" x14ac:dyDescent="0.2">
      <c r="B8" s="6"/>
    </row>
    <row r="9" spans="2:4" ht="16.5" customHeight="1" x14ac:dyDescent="0.25">
      <c r="B9" s="5" t="s">
        <v>1</v>
      </c>
    </row>
    <row r="10" spans="2:4" ht="213" customHeight="1" x14ac:dyDescent="0.2">
      <c r="B10" s="6" t="s">
        <v>2</v>
      </c>
    </row>
    <row r="11" spans="2:4" ht="229.5" customHeight="1" x14ac:dyDescent="0.2">
      <c r="B11" s="6" t="s">
        <v>527</v>
      </c>
    </row>
    <row r="12" spans="2:4" ht="14.25" customHeight="1" x14ac:dyDescent="0.2">
      <c r="B12" s="7"/>
    </row>
    <row r="13" spans="2:4" ht="15" x14ac:dyDescent="0.25">
      <c r="B13" s="5" t="s">
        <v>3</v>
      </c>
    </row>
    <row r="14" spans="2:4" ht="247.7" customHeight="1" x14ac:dyDescent="0.2">
      <c r="B14" s="6" t="s">
        <v>528</v>
      </c>
    </row>
    <row r="15" spans="2:4" ht="171" x14ac:dyDescent="0.2">
      <c r="B15" s="6" t="s">
        <v>4</v>
      </c>
    </row>
    <row r="16" spans="2:4" x14ac:dyDescent="0.2">
      <c r="B16" s="7"/>
    </row>
    <row r="17" spans="2:2" ht="15" x14ac:dyDescent="0.25">
      <c r="B17" s="8" t="s">
        <v>5</v>
      </c>
    </row>
    <row r="18" spans="2:2" x14ac:dyDescent="0.2">
      <c r="B18" s="9" t="s">
        <v>529</v>
      </c>
    </row>
    <row r="19" spans="2:2" x14ac:dyDescent="0.2">
      <c r="B19" s="9" t="s">
        <v>530</v>
      </c>
    </row>
    <row r="20" spans="2:2" x14ac:dyDescent="0.2">
      <c r="B20" s="9" t="s">
        <v>531</v>
      </c>
    </row>
    <row r="21" spans="2:2" x14ac:dyDescent="0.2">
      <c r="B21" s="9" t="s">
        <v>532</v>
      </c>
    </row>
    <row r="22" spans="2:2" x14ac:dyDescent="0.2">
      <c r="B22" s="9" t="s">
        <v>533</v>
      </c>
    </row>
    <row r="23" spans="2:2" x14ac:dyDescent="0.2">
      <c r="B23" s="9" t="s">
        <v>534</v>
      </c>
    </row>
    <row r="24" spans="2:2" x14ac:dyDescent="0.2">
      <c r="B24" s="9" t="s">
        <v>535</v>
      </c>
    </row>
    <row r="25" spans="2:2" x14ac:dyDescent="0.2">
      <c r="B25" s="9" t="s">
        <v>536</v>
      </c>
    </row>
    <row r="26" spans="2:2" x14ac:dyDescent="0.2">
      <c r="B26" s="9" t="s">
        <v>537</v>
      </c>
    </row>
    <row r="27" spans="2:2" x14ac:dyDescent="0.2">
      <c r="B27" s="9" t="s">
        <v>538</v>
      </c>
    </row>
    <row r="28" spans="2:2" x14ac:dyDescent="0.2">
      <c r="B28" s="9" t="s">
        <v>539</v>
      </c>
    </row>
    <row r="29" spans="2:2" x14ac:dyDescent="0.2">
      <c r="B29" s="7"/>
    </row>
    <row r="30" spans="2:2" ht="15" x14ac:dyDescent="0.25">
      <c r="B30" s="5" t="s">
        <v>6</v>
      </c>
    </row>
    <row r="31" spans="2:2" ht="14.45" customHeight="1" x14ac:dyDescent="0.2">
      <c r="B31" s="6" t="s">
        <v>7</v>
      </c>
    </row>
    <row r="32" spans="2:2" ht="15" customHeight="1" x14ac:dyDescent="0.2">
      <c r="B32" s="6" t="s">
        <v>8</v>
      </c>
    </row>
    <row r="33" spans="2:2" ht="28.5" x14ac:dyDescent="0.2">
      <c r="B33" s="6" t="s">
        <v>9</v>
      </c>
    </row>
    <row r="34" spans="2:2" ht="28.5" x14ac:dyDescent="0.2">
      <c r="B34" s="6" t="s">
        <v>10</v>
      </c>
    </row>
    <row r="35" spans="2:2" ht="28.5" x14ac:dyDescent="0.2">
      <c r="B35" s="6" t="s">
        <v>11</v>
      </c>
    </row>
    <row r="36" spans="2:2" ht="28.5" x14ac:dyDescent="0.2">
      <c r="B36" s="6" t="s">
        <v>12</v>
      </c>
    </row>
    <row r="37" spans="2:2" ht="28.5" x14ac:dyDescent="0.2">
      <c r="B37" s="6" t="s">
        <v>13</v>
      </c>
    </row>
  </sheetData>
  <mergeCells count="1">
    <mergeCell ref="B2:D2"/>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275B6-E9DF-4D6E-8576-19DC3659C45A}">
  <sheetPr codeName="Sheet10">
    <tabColor theme="6" tint="0.59999389629810485"/>
  </sheetPr>
  <dimension ref="B1:G40"/>
  <sheetViews>
    <sheetView zoomScale="110" zoomScaleNormal="110" workbookViewId="0">
      <pane ySplit="1" topLeftCell="A2" activePane="bottomLeft" state="frozen"/>
      <selection pane="bottomLeft" sqref="A1:XFD1048576"/>
    </sheetView>
  </sheetViews>
  <sheetFormatPr defaultRowHeight="14.25" x14ac:dyDescent="0.2"/>
  <cols>
    <col min="1" max="1" width="2.7109375" style="2" customWidth="1"/>
    <col min="2" max="2" width="58.42578125" style="2" customWidth="1"/>
    <col min="3" max="3" width="10.28515625" style="2" customWidth="1"/>
    <col min="4" max="4" width="18.42578125" style="2" customWidth="1"/>
    <col min="5" max="5" width="43" style="2" customWidth="1"/>
    <col min="6" max="6" width="25.85546875" style="146" customWidth="1"/>
    <col min="7" max="7" width="32.85546875" style="146" customWidth="1"/>
    <col min="8" max="16384" width="9.140625" style="2"/>
  </cols>
  <sheetData>
    <row r="1" spans="2:7" ht="15" x14ac:dyDescent="0.2">
      <c r="B1" s="436" t="s">
        <v>26</v>
      </c>
      <c r="C1" s="436" t="s">
        <v>28</v>
      </c>
      <c r="D1" s="436" t="s">
        <v>29</v>
      </c>
      <c r="E1" s="436" t="s">
        <v>367</v>
      </c>
      <c r="F1" s="436" t="s">
        <v>368</v>
      </c>
      <c r="G1" s="436" t="s">
        <v>30</v>
      </c>
    </row>
    <row r="2" spans="2:7" ht="16.5" x14ac:dyDescent="0.2">
      <c r="B2" s="437" t="s">
        <v>31</v>
      </c>
      <c r="C2" s="437">
        <v>1</v>
      </c>
      <c r="D2" s="438" t="s">
        <v>684</v>
      </c>
      <c r="E2" s="437" t="s">
        <v>218</v>
      </c>
      <c r="F2" s="437" t="s">
        <v>369</v>
      </c>
      <c r="G2" s="437"/>
    </row>
    <row r="3" spans="2:7" x14ac:dyDescent="0.2">
      <c r="B3" s="439" t="s">
        <v>36</v>
      </c>
      <c r="C3" s="439">
        <v>0</v>
      </c>
      <c r="D3" s="439" t="s">
        <v>34</v>
      </c>
      <c r="E3" s="439" t="s">
        <v>370</v>
      </c>
      <c r="F3" s="439" t="s">
        <v>369</v>
      </c>
      <c r="G3" s="439"/>
    </row>
    <row r="4" spans="2:7" x14ac:dyDescent="0.2">
      <c r="B4" s="146" t="s">
        <v>38</v>
      </c>
      <c r="C4" s="146">
        <v>25550</v>
      </c>
      <c r="D4" s="146" t="s">
        <v>34</v>
      </c>
      <c r="E4" s="146" t="s">
        <v>370</v>
      </c>
      <c r="F4" s="146" t="s">
        <v>369</v>
      </c>
      <c r="G4" s="396" t="s">
        <v>371</v>
      </c>
    </row>
    <row r="5" spans="2:7" x14ac:dyDescent="0.2">
      <c r="B5" s="146" t="s">
        <v>42</v>
      </c>
      <c r="C5" s="146">
        <v>0.02</v>
      </c>
      <c r="D5" s="146" t="s">
        <v>44</v>
      </c>
      <c r="E5" s="146" t="s">
        <v>372</v>
      </c>
      <c r="F5" s="146" t="s">
        <v>369</v>
      </c>
      <c r="G5" s="396"/>
    </row>
    <row r="6" spans="2:7" ht="16.5" x14ac:dyDescent="0.2">
      <c r="B6" s="146" t="s">
        <v>48</v>
      </c>
      <c r="C6" s="440">
        <v>1333</v>
      </c>
      <c r="D6" s="440" t="s">
        <v>555</v>
      </c>
      <c r="E6" s="146" t="s">
        <v>370</v>
      </c>
      <c r="F6" s="146" t="s">
        <v>369</v>
      </c>
      <c r="G6" s="396"/>
    </row>
    <row r="7" spans="2:7" x14ac:dyDescent="0.2">
      <c r="B7" s="146" t="s">
        <v>373</v>
      </c>
      <c r="C7" s="146">
        <v>0.01</v>
      </c>
      <c r="D7" s="146" t="s">
        <v>51</v>
      </c>
      <c r="E7" s="146" t="s">
        <v>370</v>
      </c>
      <c r="F7" s="146" t="s">
        <v>374</v>
      </c>
      <c r="G7" s="396"/>
    </row>
    <row r="8" spans="2:7" x14ac:dyDescent="0.2">
      <c r="B8" s="146" t="s">
        <v>375</v>
      </c>
      <c r="C8" s="146">
        <v>0.01</v>
      </c>
      <c r="D8" s="146" t="s">
        <v>51</v>
      </c>
      <c r="E8" s="146" t="s">
        <v>370</v>
      </c>
      <c r="F8" s="146" t="s">
        <v>376</v>
      </c>
      <c r="G8" s="396"/>
    </row>
    <row r="9" spans="2:7" x14ac:dyDescent="0.2">
      <c r="B9" s="441" t="s">
        <v>377</v>
      </c>
      <c r="C9" s="441">
        <v>0.15</v>
      </c>
      <c r="D9" s="441" t="s">
        <v>51</v>
      </c>
      <c r="E9" s="146" t="s">
        <v>370</v>
      </c>
      <c r="F9" s="146" t="s">
        <v>376</v>
      </c>
      <c r="G9" s="396"/>
    </row>
    <row r="10" spans="2:7" x14ac:dyDescent="0.2">
      <c r="B10" s="439" t="s">
        <v>378</v>
      </c>
      <c r="C10" s="439">
        <v>70</v>
      </c>
      <c r="D10" s="439" t="s">
        <v>135</v>
      </c>
      <c r="E10" s="439" t="s">
        <v>379</v>
      </c>
      <c r="F10" s="439" t="s">
        <v>369</v>
      </c>
      <c r="G10" s="442"/>
    </row>
    <row r="11" spans="2:7" x14ac:dyDescent="0.2">
      <c r="B11" s="146" t="s">
        <v>380</v>
      </c>
      <c r="C11" s="146">
        <v>2</v>
      </c>
      <c r="D11" s="146" t="s">
        <v>135</v>
      </c>
      <c r="E11" s="146" t="s">
        <v>381</v>
      </c>
      <c r="F11" s="146" t="s">
        <v>376</v>
      </c>
      <c r="G11" s="396"/>
    </row>
    <row r="12" spans="2:7" x14ac:dyDescent="0.2">
      <c r="B12" s="146" t="s">
        <v>382</v>
      </c>
      <c r="C12" s="146">
        <v>25</v>
      </c>
      <c r="D12" s="146" t="s">
        <v>135</v>
      </c>
      <c r="E12" s="146" t="s">
        <v>383</v>
      </c>
      <c r="F12" s="146" t="s">
        <v>384</v>
      </c>
      <c r="G12" s="396"/>
    </row>
    <row r="13" spans="2:7" x14ac:dyDescent="0.2">
      <c r="B13" s="146" t="s">
        <v>385</v>
      </c>
      <c r="C13" s="146">
        <v>2</v>
      </c>
      <c r="D13" s="146" t="s">
        <v>135</v>
      </c>
      <c r="E13" s="146" t="s">
        <v>381</v>
      </c>
      <c r="F13" s="146" t="s">
        <v>386</v>
      </c>
      <c r="G13" s="396"/>
    </row>
    <row r="14" spans="2:7" x14ac:dyDescent="0.2">
      <c r="B14" s="146" t="s">
        <v>387</v>
      </c>
      <c r="C14" s="146">
        <f>350/365</f>
        <v>0.95890410958904104</v>
      </c>
      <c r="D14" s="146" t="s">
        <v>57</v>
      </c>
      <c r="E14" s="146" t="s">
        <v>388</v>
      </c>
      <c r="F14" s="146" t="s">
        <v>376</v>
      </c>
      <c r="G14" s="396" t="s">
        <v>389</v>
      </c>
    </row>
    <row r="15" spans="2:7" x14ac:dyDescent="0.2">
      <c r="B15" s="146" t="s">
        <v>390</v>
      </c>
      <c r="C15" s="146">
        <f>250/365</f>
        <v>0.68493150684931503</v>
      </c>
      <c r="D15" s="146" t="s">
        <v>57</v>
      </c>
      <c r="E15" s="146" t="s">
        <v>388</v>
      </c>
      <c r="F15" s="146" t="s">
        <v>384</v>
      </c>
      <c r="G15" s="396" t="s">
        <v>391</v>
      </c>
    </row>
    <row r="16" spans="2:7" x14ac:dyDescent="0.2">
      <c r="B16" s="441" t="s">
        <v>392</v>
      </c>
      <c r="C16" s="441">
        <f>250/365</f>
        <v>0.68493150684931503</v>
      </c>
      <c r="D16" s="146" t="s">
        <v>57</v>
      </c>
      <c r="E16" s="441" t="s">
        <v>388</v>
      </c>
      <c r="F16" s="441" t="s">
        <v>386</v>
      </c>
      <c r="G16" s="443" t="s">
        <v>391</v>
      </c>
    </row>
    <row r="17" spans="2:7" ht="16.5" x14ac:dyDescent="0.2">
      <c r="B17" s="439" t="s">
        <v>75</v>
      </c>
      <c r="C17" s="444">
        <v>0.1</v>
      </c>
      <c r="D17" s="445" t="s">
        <v>546</v>
      </c>
      <c r="E17" s="445" t="s">
        <v>393</v>
      </c>
      <c r="F17" s="439" t="s">
        <v>376</v>
      </c>
      <c r="G17" s="439"/>
    </row>
    <row r="18" spans="2:7" ht="16.5" x14ac:dyDescent="0.2">
      <c r="B18" s="146" t="s">
        <v>77</v>
      </c>
      <c r="C18" s="446">
        <v>2</v>
      </c>
      <c r="D18" s="447" t="s">
        <v>589</v>
      </c>
      <c r="E18" s="447" t="s">
        <v>393</v>
      </c>
      <c r="F18" s="146" t="s">
        <v>376</v>
      </c>
    </row>
    <row r="19" spans="2:7" x14ac:dyDescent="0.2">
      <c r="B19" s="146" t="s">
        <v>394</v>
      </c>
      <c r="C19" s="146">
        <v>0</v>
      </c>
      <c r="D19" s="146" t="s">
        <v>57</v>
      </c>
      <c r="E19" s="146" t="s">
        <v>393</v>
      </c>
      <c r="F19" s="146" t="s">
        <v>376</v>
      </c>
    </row>
    <row r="20" spans="2:7" x14ac:dyDescent="0.2">
      <c r="B20" s="146" t="s">
        <v>395</v>
      </c>
      <c r="C20" s="146">
        <v>0.2</v>
      </c>
      <c r="D20" s="146" t="s">
        <v>57</v>
      </c>
      <c r="E20" s="146" t="s">
        <v>393</v>
      </c>
      <c r="F20" s="146" t="s">
        <v>376</v>
      </c>
    </row>
    <row r="21" spans="2:7" x14ac:dyDescent="0.2">
      <c r="B21" s="146" t="s">
        <v>396</v>
      </c>
      <c r="C21" s="146">
        <v>0</v>
      </c>
      <c r="D21" s="146" t="s">
        <v>57</v>
      </c>
      <c r="E21" s="146" t="s">
        <v>393</v>
      </c>
      <c r="F21" s="146" t="s">
        <v>376</v>
      </c>
    </row>
    <row r="22" spans="2:7" x14ac:dyDescent="0.2">
      <c r="B22" s="146" t="s">
        <v>397</v>
      </c>
      <c r="C22" s="146">
        <v>0.1</v>
      </c>
      <c r="D22" s="146" t="s">
        <v>57</v>
      </c>
      <c r="E22" s="146" t="s">
        <v>393</v>
      </c>
      <c r="F22" s="146" t="s">
        <v>376</v>
      </c>
    </row>
    <row r="23" spans="2:7" x14ac:dyDescent="0.2">
      <c r="B23" s="146" t="s">
        <v>398</v>
      </c>
      <c r="C23" s="146">
        <v>0</v>
      </c>
      <c r="D23" s="146" t="s">
        <v>57</v>
      </c>
      <c r="E23" s="146" t="s">
        <v>393</v>
      </c>
      <c r="F23" s="146" t="s">
        <v>376</v>
      </c>
    </row>
    <row r="24" spans="2:7" x14ac:dyDescent="0.2">
      <c r="B24" s="146" t="s">
        <v>399</v>
      </c>
      <c r="C24" s="146">
        <v>45</v>
      </c>
      <c r="D24" s="146" t="s">
        <v>57</v>
      </c>
      <c r="E24" s="146" t="s">
        <v>393</v>
      </c>
      <c r="F24" s="146" t="s">
        <v>376</v>
      </c>
    </row>
    <row r="25" spans="2:7" x14ac:dyDescent="0.2">
      <c r="B25" s="146" t="s">
        <v>400</v>
      </c>
      <c r="C25" s="146">
        <v>0</v>
      </c>
      <c r="D25" s="146" t="s">
        <v>57</v>
      </c>
      <c r="E25" s="146" t="s">
        <v>393</v>
      </c>
      <c r="F25" s="146" t="s">
        <v>376</v>
      </c>
    </row>
    <row r="26" spans="2:7" x14ac:dyDescent="0.2">
      <c r="B26" s="146" t="s">
        <v>401</v>
      </c>
      <c r="C26" s="146">
        <v>90</v>
      </c>
      <c r="D26" s="146" t="s">
        <v>57</v>
      </c>
      <c r="E26" s="146" t="s">
        <v>393</v>
      </c>
      <c r="F26" s="146" t="s">
        <v>376</v>
      </c>
    </row>
    <row r="27" spans="2:7" ht="42.75" x14ac:dyDescent="0.2">
      <c r="B27" s="441" t="s">
        <v>90</v>
      </c>
      <c r="C27" s="441">
        <v>0.13700000000000001</v>
      </c>
      <c r="D27" s="441" t="s">
        <v>57</v>
      </c>
      <c r="E27" s="448" t="s">
        <v>402</v>
      </c>
      <c r="F27" s="441" t="s">
        <v>376</v>
      </c>
      <c r="G27" s="441"/>
    </row>
    <row r="28" spans="2:7" ht="28.5" x14ac:dyDescent="0.2">
      <c r="B28" s="442" t="s">
        <v>103</v>
      </c>
      <c r="C28" s="442">
        <v>240</v>
      </c>
      <c r="D28" s="442" t="s">
        <v>105</v>
      </c>
      <c r="E28" s="402" t="s">
        <v>403</v>
      </c>
      <c r="F28" s="442" t="s">
        <v>376</v>
      </c>
      <c r="G28" s="442"/>
    </row>
    <row r="29" spans="2:7" ht="28.5" x14ac:dyDescent="0.2">
      <c r="B29" s="396" t="s">
        <v>106</v>
      </c>
      <c r="C29" s="396">
        <v>1</v>
      </c>
      <c r="D29" s="396" t="s">
        <v>57</v>
      </c>
      <c r="E29" s="405" t="s">
        <v>404</v>
      </c>
      <c r="F29" s="396" t="s">
        <v>376</v>
      </c>
      <c r="G29" s="396" t="s">
        <v>405</v>
      </c>
    </row>
    <row r="30" spans="2:7" ht="30.75" x14ac:dyDescent="0.2">
      <c r="B30" s="396" t="s">
        <v>112</v>
      </c>
      <c r="C30" s="396">
        <v>73</v>
      </c>
      <c r="D30" s="396" t="s">
        <v>114</v>
      </c>
      <c r="E30" s="405" t="s">
        <v>796</v>
      </c>
      <c r="F30" s="396" t="s">
        <v>376</v>
      </c>
      <c r="G30" s="396"/>
    </row>
    <row r="31" spans="2:7" x14ac:dyDescent="0.2">
      <c r="B31" s="396" t="s">
        <v>119</v>
      </c>
      <c r="C31" s="396">
        <v>101</v>
      </c>
      <c r="D31" s="396" t="s">
        <v>93</v>
      </c>
      <c r="E31" s="396" t="s">
        <v>406</v>
      </c>
      <c r="F31" s="396" t="s">
        <v>376</v>
      </c>
      <c r="G31" s="396"/>
    </row>
    <row r="32" spans="2:7" x14ac:dyDescent="0.2">
      <c r="B32" s="396" t="s">
        <v>120</v>
      </c>
      <c r="C32" s="396">
        <v>1</v>
      </c>
      <c r="D32" s="396" t="s">
        <v>57</v>
      </c>
      <c r="E32" s="396" t="s">
        <v>407</v>
      </c>
      <c r="F32" s="396" t="s">
        <v>376</v>
      </c>
      <c r="G32" s="396" t="s">
        <v>408</v>
      </c>
    </row>
    <row r="33" spans="2:7" x14ac:dyDescent="0.2">
      <c r="B33" s="396" t="s">
        <v>409</v>
      </c>
      <c r="C33" s="396">
        <v>1</v>
      </c>
      <c r="D33" s="396" t="s">
        <v>135</v>
      </c>
      <c r="E33" s="396" t="s">
        <v>410</v>
      </c>
      <c r="F33" s="396" t="s">
        <v>376</v>
      </c>
      <c r="G33" s="396"/>
    </row>
    <row r="34" spans="2:7" x14ac:dyDescent="0.2">
      <c r="B34" s="396" t="s">
        <v>411</v>
      </c>
      <c r="C34" s="396">
        <v>10</v>
      </c>
      <c r="D34" s="396" t="s">
        <v>57</v>
      </c>
      <c r="E34" s="443" t="s">
        <v>410</v>
      </c>
      <c r="F34" s="443" t="s">
        <v>376</v>
      </c>
      <c r="G34" s="443"/>
    </row>
    <row r="35" spans="2:7" x14ac:dyDescent="0.2">
      <c r="B35" s="449" t="s">
        <v>175</v>
      </c>
      <c r="C35" s="449">
        <v>1</v>
      </c>
      <c r="D35" s="449" t="s">
        <v>57</v>
      </c>
      <c r="E35" s="449" t="s">
        <v>412</v>
      </c>
      <c r="F35" s="449" t="s">
        <v>384</v>
      </c>
      <c r="G35" s="449"/>
    </row>
    <row r="36" spans="2:7" s="450" customFormat="1" x14ac:dyDescent="0.2">
      <c r="B36" s="429" t="s">
        <v>413</v>
      </c>
      <c r="C36" s="429">
        <v>12</v>
      </c>
      <c r="D36" s="429" t="s">
        <v>57</v>
      </c>
      <c r="E36" s="429" t="s">
        <v>414</v>
      </c>
      <c r="F36" s="442" t="s">
        <v>384</v>
      </c>
      <c r="G36" s="442"/>
    </row>
    <row r="37" spans="2:7" s="450" customFormat="1" x14ac:dyDescent="0.2">
      <c r="B37" s="47" t="s">
        <v>415</v>
      </c>
      <c r="C37" s="47">
        <v>4.4000000000000004</v>
      </c>
      <c r="D37" s="47" t="s">
        <v>57</v>
      </c>
      <c r="E37" s="47" t="s">
        <v>416</v>
      </c>
      <c r="F37" s="396" t="s">
        <v>384</v>
      </c>
      <c r="G37" s="396"/>
    </row>
    <row r="38" spans="2:7" s="450" customFormat="1" x14ac:dyDescent="0.2">
      <c r="B38" s="47" t="s">
        <v>417</v>
      </c>
      <c r="C38" s="47">
        <v>26</v>
      </c>
      <c r="D38" s="47" t="s">
        <v>57</v>
      </c>
      <c r="E38" s="47" t="s">
        <v>418</v>
      </c>
      <c r="F38" s="396" t="s">
        <v>419</v>
      </c>
      <c r="G38" s="396"/>
    </row>
    <row r="39" spans="2:7" s="450" customFormat="1" x14ac:dyDescent="0.2">
      <c r="B39" s="47" t="s">
        <v>420</v>
      </c>
      <c r="C39" s="47">
        <v>4.4000000000000004</v>
      </c>
      <c r="D39" s="47" t="s">
        <v>57</v>
      </c>
      <c r="E39" s="47" t="s">
        <v>416</v>
      </c>
      <c r="F39" s="396" t="s">
        <v>419</v>
      </c>
      <c r="G39" s="396"/>
    </row>
    <row r="40" spans="2:7" x14ac:dyDescent="0.2">
      <c r="B40" s="429"/>
      <c r="C40" s="429"/>
      <c r="D40" s="429"/>
      <c r="E40" s="429"/>
      <c r="F40" s="442"/>
      <c r="G40" s="4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1D8B-A9C7-487E-B6A0-7856BA8F032D}">
  <sheetPr codeName="Sheet11">
    <tabColor theme="6" tint="0.59999389629810485"/>
  </sheetPr>
  <dimension ref="B1:J10"/>
  <sheetViews>
    <sheetView zoomScale="120" zoomScaleNormal="120" workbookViewId="0">
      <pane ySplit="2" topLeftCell="A3" activePane="bottomLeft" state="frozen"/>
      <selection pane="bottomLeft" sqref="A1:XFD1048576"/>
    </sheetView>
  </sheetViews>
  <sheetFormatPr defaultRowHeight="14.25" x14ac:dyDescent="0.2"/>
  <cols>
    <col min="1" max="1" width="3.28515625" style="2" customWidth="1"/>
    <col min="2" max="2" width="30.85546875" style="2" customWidth="1"/>
    <col min="3" max="3" width="16.85546875" style="2" customWidth="1"/>
    <col min="4" max="4" width="11.7109375" style="2" customWidth="1"/>
    <col min="5" max="5" width="15.5703125" style="2" customWidth="1"/>
    <col min="6" max="7" width="15.28515625" style="2" customWidth="1"/>
    <col min="8" max="8" width="14.85546875" style="2" customWidth="1"/>
    <col min="9" max="9" width="17.7109375" style="2" customWidth="1"/>
    <col min="10" max="10" width="15.140625" style="2" customWidth="1"/>
    <col min="11" max="16384" width="9.140625" style="2"/>
  </cols>
  <sheetData>
    <row r="1" spans="2:10" s="452" customFormat="1" ht="75" x14ac:dyDescent="0.25">
      <c r="B1" s="451" t="s">
        <v>421</v>
      </c>
      <c r="C1" s="451" t="s">
        <v>422</v>
      </c>
      <c r="D1" s="451" t="s">
        <v>423</v>
      </c>
      <c r="E1" s="451" t="s">
        <v>424</v>
      </c>
      <c r="F1" s="451" t="s">
        <v>425</v>
      </c>
      <c r="G1" s="451" t="s">
        <v>426</v>
      </c>
      <c r="H1" s="451" t="s">
        <v>427</v>
      </c>
      <c r="I1" s="451" t="s">
        <v>428</v>
      </c>
      <c r="J1" s="451" t="s">
        <v>429</v>
      </c>
    </row>
    <row r="2" spans="2:10" s="53" customFormat="1" ht="71.25" x14ac:dyDescent="0.25">
      <c r="B2" s="453" t="s">
        <v>210</v>
      </c>
      <c r="C2" s="454" t="s">
        <v>430</v>
      </c>
      <c r="D2" s="454" t="s">
        <v>218</v>
      </c>
      <c r="E2" s="454" t="s">
        <v>797</v>
      </c>
      <c r="F2" s="454" t="s">
        <v>797</v>
      </c>
      <c r="G2" s="454" t="s">
        <v>797</v>
      </c>
      <c r="H2" s="454" t="s">
        <v>797</v>
      </c>
      <c r="I2" s="454" t="s">
        <v>431</v>
      </c>
      <c r="J2" s="454" t="s">
        <v>432</v>
      </c>
    </row>
    <row r="3" spans="2:10" x14ac:dyDescent="0.2">
      <c r="B3" s="455" t="s">
        <v>433</v>
      </c>
      <c r="C3" s="431">
        <v>1.8</v>
      </c>
      <c r="D3" s="431">
        <v>0.25</v>
      </c>
      <c r="E3" s="456">
        <v>2.2000000000000002</v>
      </c>
      <c r="F3" s="456">
        <v>1.3</v>
      </c>
      <c r="G3" s="456">
        <v>2.1</v>
      </c>
      <c r="H3" s="456">
        <v>2.6</v>
      </c>
      <c r="I3" s="457">
        <v>1200</v>
      </c>
      <c r="J3" s="456">
        <v>10</v>
      </c>
    </row>
    <row r="4" spans="2:10" x14ac:dyDescent="0.2">
      <c r="B4" s="2" t="s">
        <v>434</v>
      </c>
      <c r="C4" s="418">
        <v>15.18</v>
      </c>
      <c r="D4" s="418">
        <v>2</v>
      </c>
      <c r="E4" s="39">
        <v>8.1999999999999993</v>
      </c>
      <c r="F4" s="39">
        <v>5.3</v>
      </c>
      <c r="G4" s="39">
        <v>7.5</v>
      </c>
      <c r="H4" s="39">
        <v>15.4</v>
      </c>
      <c r="I4" s="458">
        <v>3600</v>
      </c>
      <c r="J4" s="39">
        <v>10</v>
      </c>
    </row>
    <row r="5" spans="2:10" x14ac:dyDescent="0.2">
      <c r="B5" s="47" t="s">
        <v>435</v>
      </c>
      <c r="C5" s="418">
        <v>6.79</v>
      </c>
      <c r="D5" s="418">
        <v>10</v>
      </c>
      <c r="E5" s="418">
        <v>3.9</v>
      </c>
      <c r="F5" s="418">
        <v>2.2999999999999998</v>
      </c>
      <c r="G5" s="418">
        <v>4.9000000000000004</v>
      </c>
      <c r="H5" s="418">
        <v>7.3</v>
      </c>
      <c r="I5" s="406">
        <v>6400</v>
      </c>
      <c r="J5" s="418">
        <v>3</v>
      </c>
    </row>
    <row r="6" spans="2:10" x14ac:dyDescent="0.2">
      <c r="B6" s="47" t="s">
        <v>436</v>
      </c>
      <c r="C6" s="418">
        <v>6.79</v>
      </c>
      <c r="D6" s="418">
        <v>14</v>
      </c>
      <c r="E6" s="418">
        <v>3.9</v>
      </c>
      <c r="F6" s="418">
        <v>2.2999999999999998</v>
      </c>
      <c r="G6" s="418">
        <v>4.9000000000000004</v>
      </c>
      <c r="H6" s="418">
        <v>7.3</v>
      </c>
      <c r="I6" s="406">
        <v>6400</v>
      </c>
      <c r="J6" s="39">
        <v>3</v>
      </c>
    </row>
    <row r="7" spans="2:10" x14ac:dyDescent="0.2">
      <c r="B7" s="47" t="s">
        <v>798</v>
      </c>
      <c r="C7" s="418">
        <v>1.39</v>
      </c>
      <c r="D7" s="418">
        <v>54</v>
      </c>
      <c r="E7" s="418">
        <v>2.1</v>
      </c>
      <c r="F7" s="418">
        <v>1.5</v>
      </c>
      <c r="G7" s="418">
        <v>2.1</v>
      </c>
      <c r="H7" s="418">
        <v>2.4</v>
      </c>
      <c r="I7" s="406">
        <v>1200</v>
      </c>
      <c r="J7" s="39">
        <v>1</v>
      </c>
    </row>
    <row r="8" spans="2:10" x14ac:dyDescent="0.2">
      <c r="B8" s="47" t="s">
        <v>437</v>
      </c>
      <c r="C8" s="418">
        <v>1.8</v>
      </c>
      <c r="D8" s="418">
        <v>1</v>
      </c>
      <c r="E8" s="418">
        <v>2.2000000000000002</v>
      </c>
      <c r="F8" s="418">
        <v>1.3</v>
      </c>
      <c r="G8" s="418">
        <v>2.1</v>
      </c>
      <c r="H8" s="418">
        <v>2.6</v>
      </c>
      <c r="I8" s="406">
        <v>1200</v>
      </c>
      <c r="J8" s="39">
        <v>1</v>
      </c>
    </row>
    <row r="9" spans="2:10" x14ac:dyDescent="0.2">
      <c r="B9" s="459" t="s">
        <v>384</v>
      </c>
      <c r="C9" s="460">
        <f>C7</f>
        <v>1.39</v>
      </c>
      <c r="D9" s="460">
        <v>25</v>
      </c>
      <c r="E9" s="460" t="s">
        <v>218</v>
      </c>
      <c r="F9" s="460" t="s">
        <v>218</v>
      </c>
      <c r="G9" s="460" t="s">
        <v>218</v>
      </c>
      <c r="H9" s="460" t="s">
        <v>218</v>
      </c>
      <c r="I9" s="426">
        <v>2600</v>
      </c>
      <c r="J9" s="461">
        <v>1</v>
      </c>
    </row>
    <row r="10" spans="2:10" x14ac:dyDescent="0.2">
      <c r="B10" s="429"/>
      <c r="C10" s="429"/>
      <c r="D10" s="429"/>
      <c r="E10" s="429"/>
      <c r="F10" s="429"/>
      <c r="G10" s="429"/>
      <c r="H10" s="429"/>
      <c r="I10" s="429"/>
      <c r="J10" s="455"/>
    </row>
  </sheetData>
  <conditionalFormatting sqref="C3:J9">
    <cfRule type="cellIs" dxfId="0"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8808-D335-489E-A456-32A66F50DF45}">
  <dimension ref="B1:I69"/>
  <sheetViews>
    <sheetView zoomScale="130" zoomScaleNormal="130" workbookViewId="0">
      <pane xSplit="2" ySplit="7" topLeftCell="C8" activePane="bottomRight" state="frozen"/>
      <selection pane="topRight" activeCell="C1" sqref="C1"/>
      <selection pane="bottomLeft" activeCell="A8" sqref="A8"/>
      <selection pane="bottomRight" sqref="A1:XFD1048576"/>
    </sheetView>
  </sheetViews>
  <sheetFormatPr defaultRowHeight="14.25" x14ac:dyDescent="0.2"/>
  <cols>
    <col min="1" max="1" width="2.85546875" style="2" customWidth="1"/>
    <col min="2" max="2" width="12" style="2" customWidth="1"/>
    <col min="3" max="3" width="7" style="2" customWidth="1"/>
    <col min="4" max="4" width="7.42578125" style="2" customWidth="1"/>
    <col min="5" max="5" width="9.5703125" style="2" customWidth="1"/>
    <col min="6" max="6" width="10" style="2" customWidth="1"/>
    <col min="7" max="7" width="4.85546875" style="2" customWidth="1"/>
    <col min="8" max="8" width="11.140625" style="463" customWidth="1"/>
    <col min="9" max="9" width="28.140625" style="2" customWidth="1"/>
    <col min="10" max="16384" width="9.140625" style="2"/>
  </cols>
  <sheetData>
    <row r="1" spans="2:9" ht="15" x14ac:dyDescent="0.25">
      <c r="C1" s="462" t="s">
        <v>440</v>
      </c>
      <c r="I1" s="464"/>
    </row>
    <row r="2" spans="2:9" ht="15" x14ac:dyDescent="0.25">
      <c r="G2" s="462" t="s">
        <v>441</v>
      </c>
    </row>
    <row r="3" spans="2:9" ht="15" x14ac:dyDescent="0.25">
      <c r="C3" s="465"/>
      <c r="D3" s="465"/>
      <c r="E3" s="465"/>
      <c r="F3" s="465"/>
      <c r="G3" s="2">
        <v>0.87</v>
      </c>
      <c r="H3" s="463" t="s">
        <v>442</v>
      </c>
    </row>
    <row r="4" spans="2:9" s="40" customFormat="1" ht="30" x14ac:dyDescent="0.25">
      <c r="C4" s="466" t="s">
        <v>443</v>
      </c>
      <c r="D4" s="466" t="s">
        <v>444</v>
      </c>
      <c r="E4" s="466" t="s">
        <v>445</v>
      </c>
      <c r="F4" s="466" t="s">
        <v>446</v>
      </c>
      <c r="H4" s="467" t="s">
        <v>447</v>
      </c>
    </row>
    <row r="5" spans="2:9" ht="15" x14ac:dyDescent="0.25">
      <c r="B5" s="468" t="s">
        <v>448</v>
      </c>
      <c r="C5" s="2">
        <v>0.81</v>
      </c>
      <c r="D5" s="2">
        <v>0.9</v>
      </c>
      <c r="E5" s="2">
        <v>0.87</v>
      </c>
      <c r="F5" s="2">
        <v>0.85</v>
      </c>
      <c r="H5" s="463" t="s">
        <v>449</v>
      </c>
      <c r="I5" s="39"/>
    </row>
    <row r="6" spans="2:9" ht="15" x14ac:dyDescent="0.25">
      <c r="B6" s="468" t="s">
        <v>450</v>
      </c>
      <c r="C6" s="2">
        <f>1-C5</f>
        <v>0.18999999999999995</v>
      </c>
      <c r="D6" s="2">
        <f t="shared" ref="D6:F6" si="0">1-D5</f>
        <v>9.9999999999999978E-2</v>
      </c>
      <c r="E6" s="2">
        <f t="shared" si="0"/>
        <v>0.13</v>
      </c>
      <c r="F6" s="2">
        <f t="shared" si="0"/>
        <v>0.15000000000000002</v>
      </c>
      <c r="G6" s="39"/>
      <c r="I6" s="39"/>
    </row>
    <row r="7" spans="2:9" ht="15" x14ac:dyDescent="0.25">
      <c r="C7" s="469" t="s">
        <v>451</v>
      </c>
      <c r="D7" s="470"/>
      <c r="E7" s="470"/>
      <c r="F7" s="470"/>
      <c r="G7" s="39"/>
      <c r="H7" s="467" t="s">
        <v>452</v>
      </c>
      <c r="I7" s="39"/>
    </row>
    <row r="8" spans="2:9" ht="15" x14ac:dyDescent="0.25">
      <c r="B8" s="462" t="s">
        <v>453</v>
      </c>
      <c r="G8" s="39"/>
      <c r="I8" s="39"/>
    </row>
    <row r="9" spans="2:9" x14ac:dyDescent="0.2">
      <c r="B9" s="2" t="s">
        <v>454</v>
      </c>
      <c r="C9" s="2">
        <v>0.7</v>
      </c>
      <c r="D9" s="2">
        <v>0.1</v>
      </c>
      <c r="E9" s="2">
        <v>0.03</v>
      </c>
      <c r="F9" s="2">
        <v>0.03</v>
      </c>
      <c r="I9" s="39"/>
    </row>
    <row r="10" spans="2:9" x14ac:dyDescent="0.2">
      <c r="B10" s="2" t="s">
        <v>455</v>
      </c>
      <c r="C10" s="463" t="s">
        <v>456</v>
      </c>
      <c r="D10" s="463" t="s">
        <v>457</v>
      </c>
      <c r="E10" s="463" t="s">
        <v>458</v>
      </c>
      <c r="F10" s="463" t="s">
        <v>458</v>
      </c>
      <c r="I10" s="39"/>
    </row>
    <row r="11" spans="2:9" x14ac:dyDescent="0.2">
      <c r="B11" s="2" t="s">
        <v>459</v>
      </c>
      <c r="C11" s="471">
        <f>C9/$G$3</f>
        <v>0.80459770114942519</v>
      </c>
      <c r="D11" s="471">
        <f t="shared" ref="D11:F11" si="1">D9/$G$3</f>
        <v>0.1149425287356322</v>
      </c>
      <c r="E11" s="471">
        <f t="shared" si="1"/>
        <v>3.4482758620689655E-2</v>
      </c>
      <c r="F11" s="471">
        <f t="shared" si="1"/>
        <v>3.4482758620689655E-2</v>
      </c>
      <c r="H11" s="463" t="s">
        <v>460</v>
      </c>
    </row>
    <row r="12" spans="2:9" x14ac:dyDescent="0.2">
      <c r="B12" s="2" t="s">
        <v>461</v>
      </c>
      <c r="C12" s="472">
        <f>C$6*C11</f>
        <v>0.15287356321839074</v>
      </c>
      <c r="D12" s="473">
        <f>D$6*D11</f>
        <v>1.1494252873563216E-2</v>
      </c>
      <c r="E12" s="474">
        <f>E$6*E11</f>
        <v>4.4827586206896549E-3</v>
      </c>
      <c r="F12" s="474">
        <f>F$6*F11</f>
        <v>5.1724137931034491E-3</v>
      </c>
      <c r="G12" s="47"/>
      <c r="H12" s="475" t="s">
        <v>462</v>
      </c>
      <c r="I12" s="47"/>
    </row>
    <row r="13" spans="2:9" x14ac:dyDescent="0.2">
      <c r="C13" s="47"/>
      <c r="D13" s="47"/>
      <c r="E13" s="47"/>
      <c r="F13" s="47"/>
      <c r="G13" s="47"/>
      <c r="H13" s="475"/>
      <c r="I13" s="47"/>
    </row>
    <row r="14" spans="2:9" ht="15" x14ac:dyDescent="0.25">
      <c r="B14" s="462" t="s">
        <v>463</v>
      </c>
      <c r="C14" s="47"/>
      <c r="D14" s="47"/>
      <c r="E14" s="47"/>
      <c r="F14" s="47"/>
      <c r="G14" s="47"/>
      <c r="H14" s="475"/>
      <c r="I14" s="47"/>
    </row>
    <row r="15" spans="2:9" x14ac:dyDescent="0.2">
      <c r="B15" s="2" t="s">
        <v>454</v>
      </c>
      <c r="C15" s="47">
        <v>0.6</v>
      </c>
      <c r="D15" s="47">
        <v>1.3</v>
      </c>
      <c r="E15" s="47">
        <v>0.11</v>
      </c>
      <c r="F15" s="47">
        <v>0.11</v>
      </c>
      <c r="G15" s="47"/>
      <c r="H15" s="475"/>
      <c r="I15" s="418"/>
    </row>
    <row r="16" spans="2:9" x14ac:dyDescent="0.2">
      <c r="B16" s="2" t="s">
        <v>455</v>
      </c>
      <c r="C16" s="475" t="s">
        <v>456</v>
      </c>
      <c r="D16" s="475" t="s">
        <v>457</v>
      </c>
      <c r="E16" s="475" t="s">
        <v>458</v>
      </c>
      <c r="F16" s="475" t="s">
        <v>458</v>
      </c>
      <c r="G16" s="47"/>
      <c r="H16" s="475"/>
      <c r="I16" s="418"/>
    </row>
    <row r="17" spans="2:9" x14ac:dyDescent="0.2">
      <c r="B17" s="2" t="s">
        <v>459</v>
      </c>
      <c r="C17" s="473">
        <f>C15/$G$3</f>
        <v>0.68965517241379304</v>
      </c>
      <c r="D17" s="473">
        <f t="shared" ref="D17:F17" si="2">D15/$G$3</f>
        <v>1.4942528735632183</v>
      </c>
      <c r="E17" s="473">
        <f t="shared" si="2"/>
        <v>0.12643678160919541</v>
      </c>
      <c r="F17" s="473">
        <f t="shared" si="2"/>
        <v>0.12643678160919541</v>
      </c>
      <c r="G17" s="47"/>
      <c r="H17" s="475" t="s">
        <v>460</v>
      </c>
      <c r="I17" s="47"/>
    </row>
    <row r="18" spans="2:9" x14ac:dyDescent="0.2">
      <c r="B18" s="2" t="s">
        <v>461</v>
      </c>
      <c r="C18" s="472">
        <f>C$6*C17</f>
        <v>0.13103448275862065</v>
      </c>
      <c r="D18" s="472">
        <f>D$6*D17</f>
        <v>0.1494252873563218</v>
      </c>
      <c r="E18" s="476">
        <f>E$6*E17</f>
        <v>1.6436781609195403E-2</v>
      </c>
      <c r="F18" s="476">
        <f>F$6*F17</f>
        <v>1.8965517241379314E-2</v>
      </c>
      <c r="G18" s="47"/>
      <c r="H18" s="475" t="s">
        <v>462</v>
      </c>
      <c r="I18" s="47"/>
    </row>
    <row r="19" spans="2:9" x14ac:dyDescent="0.2">
      <c r="C19" s="47"/>
      <c r="D19" s="47"/>
      <c r="E19" s="47"/>
      <c r="F19" s="47"/>
      <c r="G19" s="47"/>
      <c r="H19" s="475"/>
      <c r="I19" s="47"/>
    </row>
    <row r="20" spans="2:9" ht="15" x14ac:dyDescent="0.25">
      <c r="B20" s="462" t="s">
        <v>464</v>
      </c>
      <c r="C20" s="47"/>
      <c r="D20" s="47"/>
      <c r="E20" s="47"/>
      <c r="F20" s="47"/>
      <c r="G20" s="477"/>
      <c r="H20" s="478"/>
      <c r="I20" s="477"/>
    </row>
    <row r="21" spans="2:9" x14ac:dyDescent="0.2">
      <c r="B21" s="2" t="s">
        <v>454</v>
      </c>
      <c r="C21" s="47">
        <v>2.92</v>
      </c>
      <c r="D21" s="47">
        <v>49.49</v>
      </c>
      <c r="E21" s="47">
        <f>(12.2+32.07)/2</f>
        <v>22.134999999999998</v>
      </c>
      <c r="F21" s="47">
        <f>(12.2+32.07)/2</f>
        <v>22.134999999999998</v>
      </c>
      <c r="G21" s="418"/>
      <c r="H21" s="475"/>
      <c r="I21" s="418"/>
    </row>
    <row r="22" spans="2:9" x14ac:dyDescent="0.2">
      <c r="B22" s="2" t="s">
        <v>455</v>
      </c>
      <c r="C22" s="475" t="s">
        <v>465</v>
      </c>
      <c r="D22" s="47" t="s">
        <v>466</v>
      </c>
      <c r="E22" s="47" t="s">
        <v>467</v>
      </c>
      <c r="F22" s="47" t="s">
        <v>467</v>
      </c>
      <c r="G22" s="418"/>
      <c r="H22" s="475"/>
      <c r="I22" s="418"/>
    </row>
    <row r="23" spans="2:9" x14ac:dyDescent="0.2">
      <c r="B23" s="2" t="s">
        <v>459</v>
      </c>
      <c r="C23" s="473">
        <f>C21/$G$3</f>
        <v>3.3563218390804597</v>
      </c>
      <c r="D23" s="473">
        <f>D21/$G$3</f>
        <v>56.885057471264368</v>
      </c>
      <c r="E23" s="473">
        <f>E21/$G$3</f>
        <v>25.44252873563218</v>
      </c>
      <c r="F23" s="473">
        <f>F21/$G$3</f>
        <v>25.44252873563218</v>
      </c>
      <c r="G23" s="47"/>
      <c r="H23" s="475"/>
      <c r="I23" s="47"/>
    </row>
    <row r="24" spans="2:9" x14ac:dyDescent="0.2">
      <c r="B24" s="2" t="s">
        <v>461</v>
      </c>
      <c r="C24" s="472">
        <f>C$6*C23</f>
        <v>0.63770114942528711</v>
      </c>
      <c r="D24" s="479">
        <f>D$6*D23</f>
        <v>5.6885057471264355</v>
      </c>
      <c r="E24" s="479">
        <f>E$6*E23</f>
        <v>3.3075287356321836</v>
      </c>
      <c r="F24" s="479">
        <f>F$6*F23</f>
        <v>3.8163793103448276</v>
      </c>
      <c r="G24" s="47"/>
      <c r="H24" s="475"/>
      <c r="I24" s="47"/>
    </row>
    <row r="25" spans="2:9" x14ac:dyDescent="0.2">
      <c r="B25" s="47"/>
      <c r="C25" s="47"/>
      <c r="D25" s="47"/>
      <c r="E25" s="47"/>
      <c r="F25" s="47"/>
      <c r="G25" s="47"/>
      <c r="H25" s="475"/>
      <c r="I25" s="47"/>
    </row>
    <row r="26" spans="2:9" ht="15" x14ac:dyDescent="0.25">
      <c r="B26" s="477" t="s">
        <v>468</v>
      </c>
      <c r="C26" s="47"/>
      <c r="D26" s="47"/>
      <c r="E26" s="47"/>
      <c r="F26" s="47"/>
      <c r="G26" s="47"/>
      <c r="H26" s="475"/>
      <c r="I26" s="47"/>
    </row>
    <row r="27" spans="2:9" x14ac:dyDescent="0.2">
      <c r="B27" s="47" t="s">
        <v>454</v>
      </c>
      <c r="C27" s="47">
        <v>1.27</v>
      </c>
      <c r="D27" s="47">
        <v>4.22</v>
      </c>
      <c r="E27" s="47">
        <f>(0.42 + 0.33)/2</f>
        <v>0.375</v>
      </c>
      <c r="F27" s="47">
        <f>(0.42 + 0.33)/2</f>
        <v>0.375</v>
      </c>
      <c r="G27" s="47" t="s">
        <v>469</v>
      </c>
      <c r="H27" s="475"/>
      <c r="I27" s="47"/>
    </row>
    <row r="28" spans="2:9" x14ac:dyDescent="0.2">
      <c r="B28" s="47" t="s">
        <v>455</v>
      </c>
      <c r="C28" s="475" t="s">
        <v>465</v>
      </c>
      <c r="D28" s="47" t="s">
        <v>470</v>
      </c>
      <c r="E28" s="47" t="s">
        <v>471</v>
      </c>
      <c r="F28" s="47" t="s">
        <v>471</v>
      </c>
      <c r="G28" s="47"/>
      <c r="H28" s="475"/>
      <c r="I28" s="47"/>
    </row>
    <row r="29" spans="2:9" x14ac:dyDescent="0.2">
      <c r="B29" s="47" t="s">
        <v>459</v>
      </c>
      <c r="C29" s="473">
        <f>C27/0.87</f>
        <v>1.4597701149425288</v>
      </c>
      <c r="D29" s="473">
        <f t="shared" ref="D29:F29" si="3">D27/0.87</f>
        <v>4.8505747126436782</v>
      </c>
      <c r="E29" s="473">
        <f t="shared" si="3"/>
        <v>0.43103448275862072</v>
      </c>
      <c r="F29" s="473">
        <f t="shared" si="3"/>
        <v>0.43103448275862072</v>
      </c>
      <c r="G29" s="47"/>
      <c r="H29" s="475"/>
      <c r="I29" s="47"/>
    </row>
    <row r="30" spans="2:9" x14ac:dyDescent="0.2">
      <c r="B30" s="47" t="s">
        <v>461</v>
      </c>
      <c r="C30" s="472">
        <f>C$6*C27</f>
        <v>0.24129999999999993</v>
      </c>
      <c r="D30" s="472">
        <f t="shared" ref="D30:F30" si="4">D$6*D27</f>
        <v>0.42199999999999988</v>
      </c>
      <c r="E30" s="473">
        <f t="shared" si="4"/>
        <v>4.8750000000000002E-2</v>
      </c>
      <c r="F30" s="473">
        <f t="shared" si="4"/>
        <v>5.6250000000000008E-2</v>
      </c>
      <c r="G30" s="47"/>
      <c r="H30" s="475"/>
      <c r="I30" s="47"/>
    </row>
    <row r="31" spans="2:9" x14ac:dyDescent="0.2">
      <c r="B31" s="47"/>
      <c r="C31" s="47"/>
      <c r="D31" s="47"/>
      <c r="E31" s="47"/>
      <c r="F31" s="47"/>
      <c r="G31" s="47"/>
      <c r="H31" s="475"/>
      <c r="I31" s="47"/>
    </row>
    <row r="32" spans="2:9" ht="15" x14ac:dyDescent="0.25">
      <c r="B32" s="477" t="s">
        <v>472</v>
      </c>
      <c r="C32" s="47"/>
      <c r="D32" s="47"/>
      <c r="E32" s="47"/>
      <c r="F32" s="47"/>
      <c r="G32" s="477"/>
      <c r="H32" s="478"/>
      <c r="I32" s="477"/>
    </row>
    <row r="33" spans="2:9" x14ac:dyDescent="0.2">
      <c r="B33" s="47" t="s">
        <v>454</v>
      </c>
      <c r="C33" s="47">
        <v>1.1499999999999999</v>
      </c>
      <c r="D33" s="47">
        <v>11.7</v>
      </c>
      <c r="E33" s="47">
        <f>(2.9+1.47)/2</f>
        <v>2.1850000000000001</v>
      </c>
      <c r="F33" s="47">
        <f>(2.9+1.47)/2</f>
        <v>2.1850000000000001</v>
      </c>
      <c r="G33" s="418"/>
      <c r="H33" s="475"/>
      <c r="I33" s="418"/>
    </row>
    <row r="34" spans="2:9" x14ac:dyDescent="0.2">
      <c r="B34" s="47" t="s">
        <v>455</v>
      </c>
      <c r="C34" s="475" t="s">
        <v>465</v>
      </c>
      <c r="D34" s="47" t="s">
        <v>473</v>
      </c>
      <c r="E34" s="47" t="s">
        <v>474</v>
      </c>
      <c r="F34" s="47" t="s">
        <v>474</v>
      </c>
      <c r="G34" s="418"/>
      <c r="H34" s="475"/>
      <c r="I34" s="418"/>
    </row>
    <row r="35" spans="2:9" x14ac:dyDescent="0.2">
      <c r="B35" s="2" t="s">
        <v>459</v>
      </c>
      <c r="C35" s="473">
        <f>C33/$G$3</f>
        <v>1.3218390804597699</v>
      </c>
      <c r="D35" s="473">
        <f t="shared" ref="D35:F35" si="5">D33/$G$3</f>
        <v>13.448275862068964</v>
      </c>
      <c r="E35" s="473">
        <f t="shared" si="5"/>
        <v>2.5114942528735633</v>
      </c>
      <c r="F35" s="473">
        <f t="shared" si="5"/>
        <v>2.5114942528735633</v>
      </c>
      <c r="G35" s="47"/>
      <c r="H35" s="475"/>
      <c r="I35" s="47"/>
    </row>
    <row r="36" spans="2:9" x14ac:dyDescent="0.2">
      <c r="B36" s="2" t="s">
        <v>461</v>
      </c>
      <c r="C36" s="472">
        <f>C$6*C35</f>
        <v>0.25114942528735623</v>
      </c>
      <c r="D36" s="479">
        <f>D$6*D35</f>
        <v>1.3448275862068961</v>
      </c>
      <c r="E36" s="472">
        <f>E$6*E35</f>
        <v>0.32649425287356326</v>
      </c>
      <c r="F36" s="472">
        <f>F$6*F35</f>
        <v>0.37672413793103454</v>
      </c>
      <c r="G36" s="47"/>
      <c r="H36" s="475"/>
      <c r="I36" s="47"/>
    </row>
    <row r="37" spans="2:9" x14ac:dyDescent="0.2">
      <c r="C37" s="47"/>
      <c r="D37" s="47"/>
      <c r="E37" s="47"/>
      <c r="F37" s="47"/>
      <c r="G37" s="47"/>
      <c r="H37" s="475"/>
      <c r="I37" s="47"/>
    </row>
    <row r="38" spans="2:9" ht="15" x14ac:dyDescent="0.25">
      <c r="B38" s="462" t="s">
        <v>475</v>
      </c>
      <c r="C38" s="47"/>
      <c r="D38" s="47"/>
      <c r="E38" s="47"/>
      <c r="F38" s="47"/>
      <c r="G38" s="477"/>
      <c r="H38" s="478"/>
      <c r="I38" s="477"/>
    </row>
    <row r="39" spans="2:9" x14ac:dyDescent="0.2">
      <c r="B39" s="2" t="s">
        <v>454</v>
      </c>
      <c r="C39" s="47">
        <v>0.44</v>
      </c>
      <c r="D39" s="47">
        <v>0.34</v>
      </c>
      <c r="E39" s="418" t="s">
        <v>476</v>
      </c>
      <c r="F39" s="418" t="s">
        <v>476</v>
      </c>
      <c r="G39" s="418"/>
      <c r="H39" s="475"/>
      <c r="I39" s="418"/>
    </row>
    <row r="40" spans="2:9" x14ac:dyDescent="0.2">
      <c r="B40" s="2" t="s">
        <v>455</v>
      </c>
      <c r="C40" s="475" t="s">
        <v>465</v>
      </c>
      <c r="D40" s="47" t="s">
        <v>477</v>
      </c>
      <c r="E40" s="47" t="s">
        <v>478</v>
      </c>
      <c r="F40" s="47" t="s">
        <v>478</v>
      </c>
      <c r="G40" s="418"/>
      <c r="H40" s="475"/>
      <c r="I40" s="418"/>
    </row>
    <row r="41" spans="2:9" x14ac:dyDescent="0.2">
      <c r="B41" s="2" t="s">
        <v>459</v>
      </c>
      <c r="C41" s="473">
        <f>C39/$G$3</f>
        <v>0.50574712643678166</v>
      </c>
      <c r="D41" s="473">
        <f t="shared" ref="D41" si="6">D39/$G$3</f>
        <v>0.39080459770114945</v>
      </c>
      <c r="E41" s="473"/>
      <c r="F41" s="473"/>
      <c r="G41" s="47"/>
      <c r="H41" s="475"/>
      <c r="I41" s="47"/>
    </row>
    <row r="42" spans="2:9" x14ac:dyDescent="0.2">
      <c r="B42" s="2" t="s">
        <v>461</v>
      </c>
      <c r="C42" s="473">
        <f>C$6*C41</f>
        <v>9.6091954022988493E-2</v>
      </c>
      <c r="D42" s="473">
        <f>D$6*D41</f>
        <v>3.9080459770114935E-2</v>
      </c>
      <c r="E42" s="473"/>
      <c r="F42" s="473"/>
      <c r="G42" s="47"/>
      <c r="H42" s="475"/>
      <c r="I42" s="47"/>
    </row>
    <row r="43" spans="2:9" x14ac:dyDescent="0.2">
      <c r="C43" s="47"/>
      <c r="D43" s="47"/>
      <c r="E43" s="47"/>
      <c r="F43" s="47"/>
      <c r="G43" s="47"/>
      <c r="H43" s="475"/>
      <c r="I43" s="47"/>
    </row>
    <row r="44" spans="2:9" ht="15" x14ac:dyDescent="0.25">
      <c r="B44" s="462" t="s">
        <v>479</v>
      </c>
    </row>
    <row r="45" spans="2:9" x14ac:dyDescent="0.2">
      <c r="B45" s="2" t="s">
        <v>480</v>
      </c>
      <c r="C45" s="2" t="s">
        <v>481</v>
      </c>
    </row>
    <row r="46" spans="2:9" x14ac:dyDescent="0.2">
      <c r="B46" s="2" t="s">
        <v>482</v>
      </c>
      <c r="C46" s="2" t="s">
        <v>483</v>
      </c>
    </row>
    <row r="47" spans="2:9" x14ac:dyDescent="0.2">
      <c r="B47" s="2" t="s">
        <v>484</v>
      </c>
      <c r="C47" s="2" t="s">
        <v>485</v>
      </c>
    </row>
    <row r="48" spans="2:9" x14ac:dyDescent="0.2">
      <c r="B48" s="2" t="s">
        <v>486</v>
      </c>
      <c r="C48" s="2" t="s">
        <v>487</v>
      </c>
    </row>
    <row r="49" spans="2:7" x14ac:dyDescent="0.2">
      <c r="B49" s="2" t="s">
        <v>488</v>
      </c>
      <c r="C49" s="2" t="s">
        <v>489</v>
      </c>
      <c r="G49" s="2" t="s">
        <v>490</v>
      </c>
    </row>
    <row r="50" spans="2:7" x14ac:dyDescent="0.2">
      <c r="B50" s="2" t="s">
        <v>491</v>
      </c>
      <c r="C50" s="2" t="s">
        <v>492</v>
      </c>
      <c r="G50" s="2" t="s">
        <v>493</v>
      </c>
    </row>
    <row r="51" spans="2:7" x14ac:dyDescent="0.2">
      <c r="B51" s="2" t="s">
        <v>494</v>
      </c>
      <c r="C51" s="2" t="s">
        <v>495</v>
      </c>
    </row>
    <row r="52" spans="2:7" x14ac:dyDescent="0.2">
      <c r="B52" s="2" t="s">
        <v>496</v>
      </c>
      <c r="C52" s="2" t="s">
        <v>497</v>
      </c>
    </row>
    <row r="53" spans="2:7" x14ac:dyDescent="0.2">
      <c r="B53" s="2" t="s">
        <v>498</v>
      </c>
      <c r="C53" s="2" t="s">
        <v>499</v>
      </c>
    </row>
    <row r="54" spans="2:7" ht="15" x14ac:dyDescent="0.25">
      <c r="B54" s="462" t="s">
        <v>500</v>
      </c>
    </row>
    <row r="55" spans="2:7" x14ac:dyDescent="0.2">
      <c r="B55" s="2" t="s">
        <v>501</v>
      </c>
      <c r="C55" s="480" t="s">
        <v>502</v>
      </c>
    </row>
    <row r="56" spans="2:7" x14ac:dyDescent="0.2">
      <c r="B56" s="2" t="s">
        <v>503</v>
      </c>
      <c r="C56" s="2" t="s">
        <v>504</v>
      </c>
    </row>
    <row r="57" spans="2:7" x14ac:dyDescent="0.2">
      <c r="C57" s="481" t="s">
        <v>505</v>
      </c>
    </row>
    <row r="58" spans="2:7" x14ac:dyDescent="0.2">
      <c r="B58" s="2" t="s">
        <v>506</v>
      </c>
      <c r="C58" s="2" t="s">
        <v>507</v>
      </c>
    </row>
    <row r="59" spans="2:7" x14ac:dyDescent="0.2">
      <c r="C59" s="481" t="s">
        <v>508</v>
      </c>
    </row>
    <row r="60" spans="2:7" ht="15" x14ac:dyDescent="0.25">
      <c r="B60" s="462" t="s">
        <v>509</v>
      </c>
    </row>
    <row r="61" spans="2:7" x14ac:dyDescent="0.2">
      <c r="B61" s="2" t="s">
        <v>510</v>
      </c>
      <c r="C61" s="146" t="s">
        <v>511</v>
      </c>
    </row>
    <row r="62" spans="2:7" x14ac:dyDescent="0.2">
      <c r="B62" s="2" t="s">
        <v>475</v>
      </c>
      <c r="C62" s="2" t="s">
        <v>512</v>
      </c>
    </row>
    <row r="63" spans="2:7" x14ac:dyDescent="0.2">
      <c r="B63" s="2" t="s">
        <v>513</v>
      </c>
      <c r="C63" s="482" t="s">
        <v>514</v>
      </c>
    </row>
    <row r="64" spans="2:7" x14ac:dyDescent="0.2">
      <c r="B64" s="2" t="s">
        <v>472</v>
      </c>
      <c r="C64" s="2" t="s">
        <v>515</v>
      </c>
    </row>
    <row r="65" spans="2:3" x14ac:dyDescent="0.2">
      <c r="B65" s="2" t="s">
        <v>463</v>
      </c>
      <c r="C65" s="2" t="s">
        <v>516</v>
      </c>
    </row>
    <row r="66" spans="2:3" x14ac:dyDescent="0.2">
      <c r="B66" s="2" t="s">
        <v>453</v>
      </c>
      <c r="C66" s="2" t="s">
        <v>517</v>
      </c>
    </row>
    <row r="67" spans="2:3" x14ac:dyDescent="0.2">
      <c r="B67" s="2" t="s">
        <v>518</v>
      </c>
      <c r="C67" s="146" t="s">
        <v>519</v>
      </c>
    </row>
    <row r="68" spans="2:3" x14ac:dyDescent="0.2">
      <c r="B68" s="2" t="s">
        <v>520</v>
      </c>
      <c r="C68" s="146" t="s">
        <v>521</v>
      </c>
    </row>
    <row r="69" spans="2:3" x14ac:dyDescent="0.2">
      <c r="B69" s="2" t="s">
        <v>522</v>
      </c>
      <c r="C69" s="146" t="s">
        <v>265</v>
      </c>
    </row>
  </sheetData>
  <mergeCells count="1">
    <mergeCell ref="C3:F3"/>
  </mergeCells>
  <hyperlinks>
    <hyperlink ref="C59" r:id="rId1" display="https://www.researchgate.net/profile/Kuldip-Kumar/publication/263015815_Perfluoroalkyl_Acid_Distribution_in_Various_Plant_Compartments_of_Edible_Crops_Grown_in_Biosolids-Amended_soils/links/5984cb310f7e9b6c852f4f02/Perfluoroalkyl-Acid-Distribution-in-Various-Plant-Compartments-of-Edible-Crops-Grown-in-Biosolids-Amended-soils.pdf" xr:uid="{DB1D6533-833E-466A-A082-1E92B0836B64}"/>
    <hyperlink ref="C55" r:id="rId2" display="https://www.epa.gov/biosolids/draft-sewage-sludge-risk-assessment-perfluorooctanoic-acid-pfoa-and-perfluorooctane" xr:uid="{97F6A5A3-E51A-4471-9476-086A5655A056}"/>
    <hyperlink ref="C57" r:id="rId3" display="https://www.epa.gov/sites/default/files/2019-11/documents/508_pfascropuptake.pdf" xr:uid="{F0A955A5-9EA9-422B-9593-F15FE15867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28C6-A31C-4FD2-8BB0-6D41BF55B9AE}">
  <sheetPr codeName="Sheet2">
    <tabColor theme="5" tint="0.39997558519241921"/>
  </sheetPr>
  <dimension ref="A1:D220"/>
  <sheetViews>
    <sheetView showGridLines="0" zoomScaleNormal="100" workbookViewId="0">
      <selection sqref="A1:XFD1048576"/>
    </sheetView>
  </sheetViews>
  <sheetFormatPr defaultRowHeight="14.25" x14ac:dyDescent="0.2"/>
  <cols>
    <col min="1" max="1" width="2.28515625" style="2" customWidth="1"/>
    <col min="2" max="2" width="37.5703125" style="2" customWidth="1"/>
    <col min="3" max="3" width="51.28515625" style="2" customWidth="1"/>
    <col min="4" max="4" width="2.28515625" style="2" customWidth="1"/>
    <col min="5" max="16384" width="9.140625" style="2"/>
  </cols>
  <sheetData>
    <row r="1" spans="1:4" ht="20.25" x14ac:dyDescent="0.3">
      <c r="A1" s="10" t="s">
        <v>14</v>
      </c>
      <c r="B1" s="11"/>
      <c r="C1" s="12"/>
      <c r="D1" s="13"/>
    </row>
    <row r="2" spans="1:4" ht="15" x14ac:dyDescent="0.25">
      <c r="A2" s="14" t="s">
        <v>15</v>
      </c>
      <c r="B2" s="15"/>
      <c r="C2" s="16"/>
      <c r="D2" s="17"/>
    </row>
    <row r="3" spans="1:4" x14ac:dyDescent="0.2">
      <c r="A3" s="18"/>
      <c r="B3" s="19" t="s">
        <v>16</v>
      </c>
      <c r="C3" s="20"/>
      <c r="D3" s="21"/>
    </row>
    <row r="4" spans="1:4" x14ac:dyDescent="0.2">
      <c r="A4" s="18"/>
      <c r="B4" s="22" t="s">
        <v>438</v>
      </c>
      <c r="C4" s="23"/>
      <c r="D4" s="21"/>
    </row>
    <row r="5" spans="1:4" x14ac:dyDescent="0.2">
      <c r="A5" s="24"/>
      <c r="B5" s="25"/>
      <c r="C5" s="25"/>
      <c r="D5" s="26"/>
    </row>
    <row r="6" spans="1:4" ht="15" x14ac:dyDescent="0.25">
      <c r="A6" s="27" t="s">
        <v>17</v>
      </c>
      <c r="B6" s="28"/>
      <c r="C6" s="28"/>
      <c r="D6" s="29"/>
    </row>
    <row r="7" spans="1:4" x14ac:dyDescent="0.2">
      <c r="A7" s="18"/>
      <c r="B7" s="30" t="s">
        <v>18</v>
      </c>
      <c r="C7" s="31" t="s">
        <v>19</v>
      </c>
      <c r="D7" s="21"/>
    </row>
    <row r="8" spans="1:4" x14ac:dyDescent="0.2">
      <c r="A8" s="18"/>
      <c r="B8" s="32" t="s">
        <v>20</v>
      </c>
      <c r="C8" s="33">
        <f>ResidentialCancer!D202</f>
        <v>47.044279568626656</v>
      </c>
      <c r="D8" s="21"/>
    </row>
    <row r="9" spans="1:4" x14ac:dyDescent="0.2">
      <c r="A9" s="18"/>
      <c r="B9" s="34" t="s">
        <v>21</v>
      </c>
      <c r="C9" s="35">
        <f>ResidentialNoncancer!D171</f>
        <v>7.5167252201275945</v>
      </c>
      <c r="D9" s="21"/>
    </row>
    <row r="10" spans="1:4" x14ac:dyDescent="0.2">
      <c r="A10" s="18"/>
      <c r="B10" s="34" t="s">
        <v>22</v>
      </c>
      <c r="C10" s="35">
        <f>WorkerCancer!D46</f>
        <v>41.999791905382061</v>
      </c>
      <c r="D10" s="21"/>
    </row>
    <row r="11" spans="1:4" x14ac:dyDescent="0.2">
      <c r="A11" s="18"/>
      <c r="B11" s="34" t="s">
        <v>23</v>
      </c>
      <c r="C11" s="35">
        <f>WorkerNoncancer!D44</f>
        <v>2.9251201231944224</v>
      </c>
      <c r="D11" s="21"/>
    </row>
    <row r="12" spans="1:4" x14ac:dyDescent="0.2">
      <c r="A12" s="18"/>
      <c r="B12" s="34" t="s">
        <v>24</v>
      </c>
      <c r="C12" s="36">
        <f>NonresidentChildCancer!D63</f>
        <v>210.29213145417549</v>
      </c>
      <c r="D12" s="21"/>
    </row>
    <row r="13" spans="1:4" x14ac:dyDescent="0.2">
      <c r="A13" s="18"/>
      <c r="B13" s="37" t="s">
        <v>25</v>
      </c>
      <c r="C13" s="38">
        <f>NonresidentChildNoncancer!D54</f>
        <v>18.152773457756631</v>
      </c>
      <c r="D13" s="21"/>
    </row>
    <row r="14" spans="1:4" x14ac:dyDescent="0.2">
      <c r="A14" s="24"/>
      <c r="B14" s="25"/>
      <c r="C14" s="25"/>
      <c r="D14" s="26"/>
    </row>
    <row r="15" spans="1:4" x14ac:dyDescent="0.2">
      <c r="B15" s="39"/>
      <c r="C15" s="39"/>
    </row>
    <row r="220" spans="3:3" ht="15" x14ac:dyDescent="0.25">
      <c r="C220" s="40"/>
    </row>
  </sheetData>
  <mergeCells count="2">
    <mergeCell ref="B3:C3"/>
    <mergeCell ref="B4:C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47BDA8F-B0C9-4066-927A-B8E1BB26331F}">
          <x14:formula1>
            <xm:f>ChemicalProperties!$D$3:$D$1000053</xm:f>
          </x14:formula1>
          <xm:sqref>B4:C4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73F6-046B-4FA7-9D80-E1BBFD993AC2}">
  <sheetPr codeName="Sheet3">
    <tabColor theme="7" tint="0.59999389629810485"/>
  </sheetPr>
  <dimension ref="A1:G203"/>
  <sheetViews>
    <sheetView showGridLines="0" zoomScaleNormal="100" workbookViewId="0">
      <pane ySplit="1" topLeftCell="A2" activePane="bottomLeft" state="frozen"/>
      <selection pane="bottomLeft" sqref="A1:XFD1048576"/>
    </sheetView>
  </sheetViews>
  <sheetFormatPr defaultRowHeight="14.25" x14ac:dyDescent="0.2"/>
  <cols>
    <col min="1" max="1" width="2.28515625" style="2" customWidth="1"/>
    <col min="2" max="2" width="48.140625" style="2" customWidth="1"/>
    <col min="3" max="3" width="23.7109375" style="2" customWidth="1"/>
    <col min="4" max="4" width="13.28515625" style="2" customWidth="1"/>
    <col min="5" max="5" width="13.7109375" style="2" customWidth="1"/>
    <col min="6" max="6" width="64.5703125" style="2" customWidth="1"/>
    <col min="7" max="7" width="2.7109375" style="201" customWidth="1"/>
    <col min="8" max="8" width="13.140625" style="2" customWidth="1"/>
    <col min="9" max="9" width="18.140625" style="2" customWidth="1"/>
    <col min="10" max="10" width="2.28515625" style="2" customWidth="1"/>
    <col min="11" max="11" width="21.42578125" style="2" customWidth="1"/>
    <col min="12" max="12" width="19.42578125" style="2" customWidth="1"/>
    <col min="13" max="16384" width="9.140625" style="2"/>
  </cols>
  <sheetData>
    <row r="1" spans="1:7" ht="20.25" x14ac:dyDescent="0.3">
      <c r="A1" s="41" t="str">
        <f>"Residential Cancer Calculations: " &amp; MPAFs!B4</f>
        <v>Residential Cancer Calculations: 7440-38-2 | Arsenic and inorganic compounds</v>
      </c>
      <c r="B1" s="42"/>
      <c r="C1" s="42"/>
      <c r="D1" s="42"/>
      <c r="E1" s="42"/>
      <c r="F1" s="42"/>
      <c r="G1" s="43"/>
    </row>
    <row r="2" spans="1:7" s="47" customFormat="1" ht="16.5" x14ac:dyDescent="0.3">
      <c r="A2" s="44" t="s">
        <v>540</v>
      </c>
      <c r="B2" s="45"/>
      <c r="C2" s="45"/>
      <c r="D2" s="45"/>
      <c r="E2" s="45"/>
      <c r="F2" s="45"/>
      <c r="G2" s="46"/>
    </row>
    <row r="3" spans="1:7" s="53" customFormat="1" ht="15" x14ac:dyDescent="0.25">
      <c r="A3" s="48"/>
      <c r="B3" s="49" t="s">
        <v>26</v>
      </c>
      <c r="C3" s="50" t="s">
        <v>27</v>
      </c>
      <c r="D3" s="50" t="s">
        <v>28</v>
      </c>
      <c r="E3" s="50" t="s">
        <v>29</v>
      </c>
      <c r="F3" s="51" t="s">
        <v>30</v>
      </c>
      <c r="G3" s="52"/>
    </row>
    <row r="4" spans="1:7" ht="17.25" x14ac:dyDescent="0.25">
      <c r="A4" s="54"/>
      <c r="B4" s="55" t="s">
        <v>31</v>
      </c>
      <c r="C4" s="56" t="s">
        <v>541</v>
      </c>
      <c r="D4" s="56">
        <f>ScenarioParameters!C2</f>
        <v>1</v>
      </c>
      <c r="E4" s="56" t="s">
        <v>542</v>
      </c>
      <c r="F4" s="57" t="s">
        <v>32</v>
      </c>
      <c r="G4" s="58"/>
    </row>
    <row r="5" spans="1:7" ht="15" x14ac:dyDescent="0.25">
      <c r="A5" s="54"/>
      <c r="B5" s="59"/>
      <c r="C5" s="59"/>
      <c r="D5" s="59"/>
      <c r="E5" s="59"/>
      <c r="F5" s="59"/>
      <c r="G5" s="58"/>
    </row>
    <row r="6" spans="1:7" s="47" customFormat="1" ht="16.5" x14ac:dyDescent="0.3">
      <c r="A6" s="44" t="s">
        <v>543</v>
      </c>
      <c r="B6" s="60"/>
      <c r="C6" s="60"/>
      <c r="D6" s="60"/>
      <c r="E6" s="60"/>
      <c r="F6" s="60"/>
      <c r="G6" s="46"/>
    </row>
    <row r="7" spans="1:7" s="53" customFormat="1" ht="15" x14ac:dyDescent="0.25">
      <c r="A7" s="48"/>
      <c r="B7" s="49" t="s">
        <v>26</v>
      </c>
      <c r="C7" s="50" t="s">
        <v>27</v>
      </c>
      <c r="D7" s="50" t="s">
        <v>28</v>
      </c>
      <c r="E7" s="50" t="s">
        <v>29</v>
      </c>
      <c r="F7" s="51" t="s">
        <v>30</v>
      </c>
      <c r="G7" s="52"/>
    </row>
    <row r="8" spans="1:7" ht="18.75" x14ac:dyDescent="0.25">
      <c r="A8" s="54"/>
      <c r="B8" s="61" t="s">
        <v>33</v>
      </c>
      <c r="C8" s="62" t="s">
        <v>544</v>
      </c>
      <c r="D8" s="62">
        <f>VLOOKUP(MPAFs!B4,ChemicalProperties!D:I,6,FALSE)</f>
        <v>100000000</v>
      </c>
      <c r="E8" s="62" t="s">
        <v>34</v>
      </c>
      <c r="F8" s="63"/>
      <c r="G8" s="58"/>
    </row>
    <row r="9" spans="1:7" ht="33" x14ac:dyDescent="0.25">
      <c r="A9" s="54"/>
      <c r="B9" s="64" t="s">
        <v>35</v>
      </c>
      <c r="C9" s="65" t="s">
        <v>545</v>
      </c>
      <c r="D9" s="65">
        <f>LN(2)/D8</f>
        <v>6.9314718055994528E-9</v>
      </c>
      <c r="E9" s="65" t="s">
        <v>546</v>
      </c>
      <c r="F9" s="66" t="s">
        <v>547</v>
      </c>
      <c r="G9" s="58"/>
    </row>
    <row r="10" spans="1:7" ht="18.75" x14ac:dyDescent="0.25">
      <c r="A10" s="54"/>
      <c r="B10" s="64" t="s">
        <v>36</v>
      </c>
      <c r="C10" s="65" t="s">
        <v>548</v>
      </c>
      <c r="D10" s="65">
        <f>ScenarioParameters!C3</f>
        <v>0</v>
      </c>
      <c r="E10" s="65" t="s">
        <v>34</v>
      </c>
      <c r="F10" s="66" t="s">
        <v>37</v>
      </c>
      <c r="G10" s="58"/>
    </row>
    <row r="11" spans="1:7" ht="18.75" x14ac:dyDescent="0.25">
      <c r="A11" s="54"/>
      <c r="B11" s="64" t="s">
        <v>38</v>
      </c>
      <c r="C11" s="65" t="s">
        <v>549</v>
      </c>
      <c r="D11" s="65">
        <f>ScenarioParameters!C4</f>
        <v>25550</v>
      </c>
      <c r="E11" s="65" t="s">
        <v>34</v>
      </c>
      <c r="F11" s="66" t="s">
        <v>39</v>
      </c>
      <c r="G11" s="58"/>
    </row>
    <row r="12" spans="1:7" ht="18.75" x14ac:dyDescent="0.25">
      <c r="A12" s="54"/>
      <c r="B12" s="64" t="s">
        <v>439</v>
      </c>
      <c r="C12" s="65" t="s">
        <v>550</v>
      </c>
      <c r="D12" s="65">
        <f>D11-D10</f>
        <v>25550</v>
      </c>
      <c r="E12" s="65" t="s">
        <v>34</v>
      </c>
      <c r="F12" s="67" t="s">
        <v>551</v>
      </c>
      <c r="G12" s="58"/>
    </row>
    <row r="13" spans="1:7" ht="30.75" x14ac:dyDescent="0.25">
      <c r="A13" s="54"/>
      <c r="B13" s="64" t="s">
        <v>40</v>
      </c>
      <c r="C13" s="65" t="s">
        <v>41</v>
      </c>
      <c r="D13" s="65">
        <f>((EXP(-D9*D11)-EXP(-D9*D10))/D9)+D12</f>
        <v>2.2623075160227017</v>
      </c>
      <c r="E13" s="65" t="s">
        <v>34</v>
      </c>
      <c r="F13" s="66" t="s">
        <v>552</v>
      </c>
      <c r="G13" s="58"/>
    </row>
    <row r="14" spans="1:7" ht="15" x14ac:dyDescent="0.25">
      <c r="A14" s="54"/>
      <c r="B14" s="64" t="s">
        <v>42</v>
      </c>
      <c r="C14" s="65" t="s">
        <v>43</v>
      </c>
      <c r="D14" s="65">
        <f>ScenarioParameters!C5</f>
        <v>0.02</v>
      </c>
      <c r="E14" s="65" t="s">
        <v>44</v>
      </c>
      <c r="F14" s="67" t="s">
        <v>45</v>
      </c>
      <c r="G14" s="58"/>
    </row>
    <row r="15" spans="1:7" ht="33" x14ac:dyDescent="0.25">
      <c r="A15" s="54"/>
      <c r="B15" s="64" t="s">
        <v>46</v>
      </c>
      <c r="C15" s="65" t="s">
        <v>47</v>
      </c>
      <c r="D15" s="65">
        <f>D4*D14*86400</f>
        <v>1728</v>
      </c>
      <c r="E15" s="65" t="s">
        <v>553</v>
      </c>
      <c r="F15" s="66" t="s">
        <v>554</v>
      </c>
      <c r="G15" s="58"/>
    </row>
    <row r="16" spans="1:7" ht="16.5" x14ac:dyDescent="0.25">
      <c r="A16" s="54"/>
      <c r="B16" s="64" t="s">
        <v>48</v>
      </c>
      <c r="C16" s="65" t="s">
        <v>49</v>
      </c>
      <c r="D16" s="65">
        <f>ScenarioParameters!C6</f>
        <v>1333</v>
      </c>
      <c r="E16" s="65" t="s">
        <v>555</v>
      </c>
      <c r="F16" s="67"/>
      <c r="G16" s="58"/>
    </row>
    <row r="17" spans="1:7" s="53" customFormat="1" ht="15" x14ac:dyDescent="0.25">
      <c r="A17" s="48"/>
      <c r="B17" s="68" t="s">
        <v>50</v>
      </c>
      <c r="C17" s="69"/>
      <c r="D17" s="70"/>
      <c r="E17" s="69" t="s">
        <v>51</v>
      </c>
      <c r="F17" s="71"/>
      <c r="G17" s="52"/>
    </row>
    <row r="18" spans="1:7" ht="15.6" customHeight="1" x14ac:dyDescent="0.25">
      <c r="A18" s="54"/>
      <c r="B18" s="72" t="s">
        <v>52</v>
      </c>
      <c r="C18" s="73" t="s">
        <v>556</v>
      </c>
      <c r="D18" s="73">
        <f>ScenarioParameters!C8</f>
        <v>0.01</v>
      </c>
      <c r="E18" s="73"/>
      <c r="F18" s="74"/>
      <c r="G18" s="58"/>
    </row>
    <row r="19" spans="1:7" ht="14.45" customHeight="1" x14ac:dyDescent="0.25">
      <c r="A19" s="54"/>
      <c r="B19" s="75" t="s">
        <v>53</v>
      </c>
      <c r="C19" s="73" t="s">
        <v>557</v>
      </c>
      <c r="D19" s="76">
        <f>ScenarioParameters!C9</f>
        <v>0.15</v>
      </c>
      <c r="E19" s="77"/>
      <c r="F19" s="78"/>
      <c r="G19" s="58"/>
    </row>
    <row r="20" spans="1:7" ht="31.5" x14ac:dyDescent="0.25">
      <c r="A20" s="54"/>
      <c r="B20" s="79" t="s">
        <v>54</v>
      </c>
      <c r="C20" s="80"/>
      <c r="D20" s="81"/>
      <c r="E20" s="82" t="s">
        <v>88</v>
      </c>
      <c r="F20" s="83" t="s">
        <v>558</v>
      </c>
      <c r="G20" s="58"/>
    </row>
    <row r="21" spans="1:7" ht="16.5" x14ac:dyDescent="0.25">
      <c r="A21" s="54"/>
      <c r="B21" s="84" t="s">
        <v>52</v>
      </c>
      <c r="C21" s="85" t="s">
        <v>559</v>
      </c>
      <c r="D21" s="82">
        <f>D15*D13/(D9*D18*D16*D12)</f>
        <v>1655956.2611960184</v>
      </c>
      <c r="E21" s="82"/>
      <c r="F21" s="86"/>
      <c r="G21" s="58"/>
    </row>
    <row r="22" spans="1:7" ht="16.5" x14ac:dyDescent="0.2">
      <c r="A22" s="87"/>
      <c r="B22" s="88" t="s">
        <v>53</v>
      </c>
      <c r="C22" s="89" t="s">
        <v>560</v>
      </c>
      <c r="D22" s="90">
        <f>D15*D13/(D9*D19*D16*D12)</f>
        <v>110397.08407973457</v>
      </c>
      <c r="E22" s="90"/>
      <c r="F22" s="91"/>
      <c r="G22" s="58"/>
    </row>
    <row r="23" spans="1:7" ht="15" x14ac:dyDescent="0.25">
      <c r="A23" s="54"/>
      <c r="G23" s="58"/>
    </row>
    <row r="24" spans="1:7" s="47" customFormat="1" ht="16.5" x14ac:dyDescent="0.3">
      <c r="A24" s="44" t="s">
        <v>561</v>
      </c>
      <c r="B24" s="45"/>
      <c r="C24" s="45"/>
      <c r="D24" s="45"/>
      <c r="E24" s="45"/>
      <c r="F24" s="45"/>
      <c r="G24" s="46"/>
    </row>
    <row r="25" spans="1:7" s="53" customFormat="1" ht="15" x14ac:dyDescent="0.25">
      <c r="A25" s="48"/>
      <c r="B25" s="49" t="s">
        <v>26</v>
      </c>
      <c r="C25" s="50" t="s">
        <v>27</v>
      </c>
      <c r="D25" s="50" t="s">
        <v>28</v>
      </c>
      <c r="E25" s="50" t="s">
        <v>29</v>
      </c>
      <c r="F25" s="51" t="s">
        <v>30</v>
      </c>
      <c r="G25" s="92"/>
    </row>
    <row r="26" spans="1:7" x14ac:dyDescent="0.2">
      <c r="A26" s="18"/>
      <c r="B26" s="93" t="s">
        <v>55</v>
      </c>
      <c r="C26" s="62" t="s">
        <v>56</v>
      </c>
      <c r="D26" s="62">
        <f>VLOOKUP(MPAFs!B4,ChemicalProperties!D:N,11,FALSE)</f>
        <v>0.6</v>
      </c>
      <c r="E26" s="94" t="s">
        <v>57</v>
      </c>
      <c r="F26" s="95"/>
      <c r="G26" s="96"/>
    </row>
    <row r="27" spans="1:7" x14ac:dyDescent="0.2">
      <c r="A27" s="18"/>
      <c r="B27" s="97" t="s">
        <v>58</v>
      </c>
      <c r="C27" s="98"/>
      <c r="D27" s="98"/>
      <c r="E27" s="99" t="s">
        <v>59</v>
      </c>
      <c r="F27" s="100"/>
      <c r="G27" s="96"/>
    </row>
    <row r="28" spans="1:7" ht="18.75" x14ac:dyDescent="0.2">
      <c r="A28" s="18"/>
      <c r="B28" s="101" t="s">
        <v>562</v>
      </c>
      <c r="C28" s="73" t="s">
        <v>563</v>
      </c>
      <c r="D28" s="73">
        <f>VLOOKUP(TRIM(B28),ExposureGroupParameters!B:D,2,FALSE)</f>
        <v>1.8</v>
      </c>
      <c r="E28" s="102"/>
      <c r="F28" s="74" t="s">
        <v>60</v>
      </c>
      <c r="G28" s="96"/>
    </row>
    <row r="29" spans="1:7" ht="18.75" x14ac:dyDescent="0.2">
      <c r="A29" s="18"/>
      <c r="B29" s="103" t="s">
        <v>61</v>
      </c>
      <c r="C29" s="73" t="s">
        <v>564</v>
      </c>
      <c r="D29" s="73">
        <f>VLOOKUP(TRIM(B29),ExposureGroupParameters!B:D,2,FALSE)</f>
        <v>15.18</v>
      </c>
      <c r="E29" s="102"/>
      <c r="F29" s="74"/>
      <c r="G29" s="96"/>
    </row>
    <row r="30" spans="1:7" ht="18.75" x14ac:dyDescent="0.2">
      <c r="A30" s="18"/>
      <c r="B30" s="103" t="s">
        <v>62</v>
      </c>
      <c r="C30" s="73" t="s">
        <v>565</v>
      </c>
      <c r="D30" s="73">
        <f>VLOOKUP(TRIM(B30),ExposureGroupParameters!B:D,2,FALSE)</f>
        <v>6.79</v>
      </c>
      <c r="E30" s="102"/>
      <c r="F30" s="74"/>
      <c r="G30" s="96"/>
    </row>
    <row r="31" spans="1:7" ht="18.75" x14ac:dyDescent="0.2">
      <c r="A31" s="18"/>
      <c r="B31" s="103" t="s">
        <v>566</v>
      </c>
      <c r="C31" s="73" t="s">
        <v>567</v>
      </c>
      <c r="D31" s="73">
        <f>VLOOKUP(TRIM(B31),ExposureGroupParameters!B:D,2,FALSE)</f>
        <v>1.39</v>
      </c>
      <c r="E31" s="102"/>
      <c r="F31" s="74"/>
      <c r="G31" s="96"/>
    </row>
    <row r="32" spans="1:7" ht="18.75" x14ac:dyDescent="0.2">
      <c r="A32" s="18"/>
      <c r="B32" s="104" t="s">
        <v>63</v>
      </c>
      <c r="C32" s="73" t="s">
        <v>568</v>
      </c>
      <c r="D32" s="73">
        <f>VLOOKUP(TRIM(B32),ExposureGroupParameters!B:D,2,FALSE)</f>
        <v>1.8</v>
      </c>
      <c r="E32" s="105"/>
      <c r="F32" s="78" t="s">
        <v>64</v>
      </c>
      <c r="G32" s="96"/>
    </row>
    <row r="33" spans="1:7" x14ac:dyDescent="0.2">
      <c r="A33" s="18"/>
      <c r="B33" s="97" t="s">
        <v>65</v>
      </c>
      <c r="C33" s="98"/>
      <c r="D33" s="98">
        <f>ScenarioParameters!C14</f>
        <v>0.95890410958904104</v>
      </c>
      <c r="E33" s="99" t="s">
        <v>57</v>
      </c>
      <c r="F33" s="100" t="s">
        <v>66</v>
      </c>
      <c r="G33" s="96"/>
    </row>
    <row r="34" spans="1:7" ht="48" x14ac:dyDescent="0.2">
      <c r="A34" s="18"/>
      <c r="B34" s="106" t="s">
        <v>67</v>
      </c>
      <c r="C34" s="107"/>
      <c r="D34" s="107"/>
      <c r="E34" s="108" t="s">
        <v>59</v>
      </c>
      <c r="F34" s="109" t="s">
        <v>569</v>
      </c>
      <c r="G34" s="96"/>
    </row>
    <row r="35" spans="1:7" ht="17.25" x14ac:dyDescent="0.2">
      <c r="A35" s="18"/>
      <c r="B35" s="110" t="s">
        <v>570</v>
      </c>
      <c r="C35" s="82" t="s">
        <v>571</v>
      </c>
      <c r="D35" s="82">
        <f>D21*D26*D28*POWER(10,-9)*D33</f>
        <v>1.7149355252934107E-3</v>
      </c>
      <c r="E35" s="85"/>
      <c r="F35" s="111"/>
      <c r="G35" s="96"/>
    </row>
    <row r="36" spans="1:7" ht="16.5" x14ac:dyDescent="0.2">
      <c r="A36" s="18"/>
      <c r="B36" s="112" t="s">
        <v>61</v>
      </c>
      <c r="C36" s="82" t="s">
        <v>572</v>
      </c>
      <c r="D36" s="82">
        <f>D21*D26*D29*POWER(10,-9)*D33</f>
        <v>1.446262292997443E-2</v>
      </c>
      <c r="E36" s="85"/>
      <c r="F36" s="86"/>
      <c r="G36" s="96"/>
    </row>
    <row r="37" spans="1:7" ht="16.5" x14ac:dyDescent="0.2">
      <c r="A37" s="18"/>
      <c r="B37" s="112" t="s">
        <v>62</v>
      </c>
      <c r="C37" s="82" t="s">
        <v>573</v>
      </c>
      <c r="D37" s="82">
        <f>D21*D26*D30*POWER(10,-9)*D33</f>
        <v>6.4691178981901446E-3</v>
      </c>
      <c r="E37" s="85"/>
      <c r="F37" s="86"/>
      <c r="G37" s="96"/>
    </row>
    <row r="38" spans="1:7" ht="16.5" x14ac:dyDescent="0.2">
      <c r="A38" s="18"/>
      <c r="B38" s="110" t="s">
        <v>566</v>
      </c>
      <c r="C38" s="82" t="s">
        <v>574</v>
      </c>
      <c r="D38" s="82">
        <f>D21*D26*D31*POWER(10,-9)*D33</f>
        <v>1.3243113223099115E-3</v>
      </c>
      <c r="E38" s="85"/>
      <c r="F38" s="86"/>
      <c r="G38" s="96"/>
    </row>
    <row r="39" spans="1:7" ht="16.5" x14ac:dyDescent="0.2">
      <c r="A39" s="18"/>
      <c r="B39" s="113" t="s">
        <v>63</v>
      </c>
      <c r="C39" s="90" t="s">
        <v>575</v>
      </c>
      <c r="D39" s="90">
        <f>D21*D26*D32*POWER(10,-9)*D33</f>
        <v>1.7149355252934107E-3</v>
      </c>
      <c r="E39" s="89"/>
      <c r="F39" s="91"/>
      <c r="G39" s="96"/>
    </row>
    <row r="40" spans="1:7" x14ac:dyDescent="0.2">
      <c r="A40" s="18"/>
      <c r="B40" s="114"/>
      <c r="C40" s="114"/>
      <c r="D40" s="114"/>
      <c r="E40" s="114"/>
      <c r="F40" s="114"/>
      <c r="G40" s="58"/>
    </row>
    <row r="41" spans="1:7" s="47" customFormat="1" ht="16.5" x14ac:dyDescent="0.3">
      <c r="A41" s="44" t="s">
        <v>576</v>
      </c>
      <c r="B41" s="45"/>
      <c r="C41" s="45"/>
      <c r="D41" s="45"/>
      <c r="E41" s="45"/>
      <c r="F41" s="45"/>
      <c r="G41" s="46"/>
    </row>
    <row r="42" spans="1:7" s="53" customFormat="1" ht="15" x14ac:dyDescent="0.25">
      <c r="A42" s="48"/>
      <c r="B42" s="49" t="s">
        <v>26</v>
      </c>
      <c r="C42" s="50" t="s">
        <v>27</v>
      </c>
      <c r="D42" s="50" t="s">
        <v>28</v>
      </c>
      <c r="E42" s="50" t="s">
        <v>29</v>
      </c>
      <c r="F42" s="51" t="s">
        <v>30</v>
      </c>
      <c r="G42" s="92"/>
    </row>
    <row r="43" spans="1:7" x14ac:dyDescent="0.2">
      <c r="A43" s="18"/>
      <c r="B43" s="115" t="s">
        <v>68</v>
      </c>
      <c r="C43" s="62" t="s">
        <v>69</v>
      </c>
      <c r="D43" s="62">
        <f>VLOOKUP(MPAFs!B4,ChemicalProperties!D:O,12,FALSE)</f>
        <v>0.03</v>
      </c>
      <c r="E43" s="62" t="s">
        <v>57</v>
      </c>
      <c r="F43" s="63" t="s">
        <v>70</v>
      </c>
      <c r="G43" s="96"/>
    </row>
    <row r="44" spans="1:7" x14ac:dyDescent="0.2">
      <c r="A44" s="18"/>
      <c r="B44" s="116" t="s">
        <v>71</v>
      </c>
      <c r="C44" s="98"/>
      <c r="D44" s="98"/>
      <c r="E44" s="98" t="s">
        <v>72</v>
      </c>
      <c r="F44" s="100"/>
      <c r="G44" s="96"/>
    </row>
    <row r="45" spans="1:7" ht="18.75" x14ac:dyDescent="0.2">
      <c r="A45" s="18"/>
      <c r="B45" s="101" t="s">
        <v>562</v>
      </c>
      <c r="C45" s="73" t="s">
        <v>577</v>
      </c>
      <c r="D45" s="73">
        <f>VLOOKUP(TRIM(B45),ExposureGroupParameters!B:I,8,FALSE)</f>
        <v>1200</v>
      </c>
      <c r="E45" s="73"/>
      <c r="F45" s="74" t="s">
        <v>60</v>
      </c>
      <c r="G45" s="96"/>
    </row>
    <row r="46" spans="1:7" ht="18.75" x14ac:dyDescent="0.2">
      <c r="A46" s="18"/>
      <c r="B46" s="103" t="s">
        <v>61</v>
      </c>
      <c r="C46" s="73" t="s">
        <v>578</v>
      </c>
      <c r="D46" s="73">
        <f>VLOOKUP(TRIM(B46),ExposureGroupParameters!B:I,8,FALSE)</f>
        <v>3600</v>
      </c>
      <c r="E46" s="73"/>
      <c r="F46" s="74"/>
      <c r="G46" s="96"/>
    </row>
    <row r="47" spans="1:7" ht="18.75" x14ac:dyDescent="0.2">
      <c r="A47" s="18"/>
      <c r="B47" s="103" t="s">
        <v>62</v>
      </c>
      <c r="C47" s="73" t="s">
        <v>579</v>
      </c>
      <c r="D47" s="73">
        <f>VLOOKUP(TRIM(B47),ExposureGroupParameters!B:I,8,FALSE)</f>
        <v>6400</v>
      </c>
      <c r="E47" s="73"/>
      <c r="F47" s="74"/>
      <c r="G47" s="96"/>
    </row>
    <row r="48" spans="1:7" ht="18.75" x14ac:dyDescent="0.2">
      <c r="A48" s="18"/>
      <c r="B48" s="103" t="s">
        <v>566</v>
      </c>
      <c r="C48" s="73" t="s">
        <v>580</v>
      </c>
      <c r="D48" s="73">
        <f>VLOOKUP(TRIM(B48),ExposureGroupParameters!B:I,8,FALSE)</f>
        <v>1200</v>
      </c>
      <c r="E48" s="73"/>
      <c r="F48" s="74"/>
      <c r="G48" s="96"/>
    </row>
    <row r="49" spans="1:7" ht="18.75" x14ac:dyDescent="0.2">
      <c r="A49" s="18"/>
      <c r="B49" s="104" t="s">
        <v>63</v>
      </c>
      <c r="C49" s="73" t="s">
        <v>581</v>
      </c>
      <c r="D49" s="73">
        <f>VLOOKUP(TRIM(B49),ExposureGroupParameters!B:I,8,FALSE)</f>
        <v>1200</v>
      </c>
      <c r="E49" s="76"/>
      <c r="F49" s="78" t="s">
        <v>64</v>
      </c>
      <c r="G49" s="96"/>
    </row>
    <row r="50" spans="1:7" ht="37.5" customHeight="1" x14ac:dyDescent="0.2">
      <c r="A50" s="18"/>
      <c r="B50" s="117" t="s">
        <v>73</v>
      </c>
      <c r="C50" s="107"/>
      <c r="D50" s="107"/>
      <c r="E50" s="107" t="s">
        <v>59</v>
      </c>
      <c r="F50" s="118" t="s">
        <v>582</v>
      </c>
      <c r="G50" s="96"/>
    </row>
    <row r="51" spans="1:7" ht="17.25" x14ac:dyDescent="0.2">
      <c r="A51" s="18"/>
      <c r="B51" s="110" t="s">
        <v>570</v>
      </c>
      <c r="C51" s="82" t="s">
        <v>583</v>
      </c>
      <c r="D51" s="82">
        <f>D45*D21*D43*POWER(10,-9)/365</f>
        <v>1.6332719288508676E-4</v>
      </c>
      <c r="E51" s="82"/>
      <c r="F51" s="83"/>
      <c r="G51" s="96"/>
    </row>
    <row r="52" spans="1:7" ht="16.5" x14ac:dyDescent="0.2">
      <c r="A52" s="18"/>
      <c r="B52" s="112" t="s">
        <v>61</v>
      </c>
      <c r="C52" s="82" t="s">
        <v>584</v>
      </c>
      <c r="D52" s="82">
        <f>D46*D21*D43*POWER(10,-9)/365</f>
        <v>4.8998157865526022E-4</v>
      </c>
      <c r="E52" s="82"/>
      <c r="F52" s="86"/>
      <c r="G52" s="96"/>
    </row>
    <row r="53" spans="1:7" ht="16.5" x14ac:dyDescent="0.2">
      <c r="A53" s="18"/>
      <c r="B53" s="112" t="s">
        <v>62</v>
      </c>
      <c r="C53" s="82" t="s">
        <v>585</v>
      </c>
      <c r="D53" s="82">
        <f>D47*D21*D43*POWER(10,-9)/365</f>
        <v>8.7107836205379608E-4</v>
      </c>
      <c r="E53" s="82"/>
      <c r="F53" s="86"/>
      <c r="G53" s="96"/>
    </row>
    <row r="54" spans="1:7" ht="16.5" x14ac:dyDescent="0.2">
      <c r="A54" s="18"/>
      <c r="B54" s="112" t="s">
        <v>566</v>
      </c>
      <c r="C54" s="82" t="s">
        <v>586</v>
      </c>
      <c r="D54" s="82">
        <f>D48*D21*D43*POWER(10,-9)/365</f>
        <v>1.6332719288508676E-4</v>
      </c>
      <c r="E54" s="82"/>
      <c r="F54" s="86"/>
      <c r="G54" s="96"/>
    </row>
    <row r="55" spans="1:7" ht="16.5" x14ac:dyDescent="0.2">
      <c r="A55" s="18"/>
      <c r="B55" s="113" t="s">
        <v>63</v>
      </c>
      <c r="C55" s="90" t="s">
        <v>587</v>
      </c>
      <c r="D55" s="90">
        <f>D49*D21*D43*POWER(10,-9)/365</f>
        <v>1.6332719288508676E-4</v>
      </c>
      <c r="E55" s="90"/>
      <c r="F55" s="91"/>
      <c r="G55" s="96"/>
    </row>
    <row r="56" spans="1:7" x14ac:dyDescent="0.2">
      <c r="A56" s="18"/>
      <c r="B56" s="114"/>
      <c r="C56" s="114"/>
      <c r="D56" s="114"/>
      <c r="E56" s="114"/>
      <c r="F56" s="114"/>
      <c r="G56" s="58"/>
    </row>
    <row r="57" spans="1:7" s="47" customFormat="1" ht="16.5" x14ac:dyDescent="0.3">
      <c r="A57" s="44" t="s">
        <v>588</v>
      </c>
      <c r="B57" s="45"/>
      <c r="C57" s="45"/>
      <c r="D57" s="45"/>
      <c r="E57" s="45"/>
      <c r="F57" s="45"/>
      <c r="G57" s="46"/>
    </row>
    <row r="58" spans="1:7" s="53" customFormat="1" ht="15" x14ac:dyDescent="0.25">
      <c r="A58" s="48"/>
      <c r="B58" s="49" t="s">
        <v>26</v>
      </c>
      <c r="C58" s="50" t="s">
        <v>27</v>
      </c>
      <c r="D58" s="50" t="s">
        <v>28</v>
      </c>
      <c r="E58" s="50" t="s">
        <v>29</v>
      </c>
      <c r="F58" s="119" t="s">
        <v>30</v>
      </c>
      <c r="G58" s="92"/>
    </row>
    <row r="59" spans="1:7" ht="15" x14ac:dyDescent="0.25">
      <c r="A59" s="54"/>
      <c r="B59" s="61" t="s">
        <v>74</v>
      </c>
      <c r="C59" s="94"/>
      <c r="D59" s="62" t="str">
        <f>VLOOKUP(MPAFs!B4,ChemicalProperties!D:S,15,FALSE)</f>
        <v>Yes</v>
      </c>
      <c r="E59" s="94"/>
      <c r="F59" s="95"/>
      <c r="G59" s="96"/>
    </row>
    <row r="60" spans="1:7" ht="16.5" x14ac:dyDescent="0.25">
      <c r="A60" s="54"/>
      <c r="B60" s="61" t="s">
        <v>75</v>
      </c>
      <c r="C60" s="94" t="s">
        <v>76</v>
      </c>
      <c r="D60" s="120">
        <f>ScenarioParameters!C17</f>
        <v>0.1</v>
      </c>
      <c r="E60" s="94" t="s">
        <v>546</v>
      </c>
      <c r="F60" s="95"/>
      <c r="G60" s="96"/>
    </row>
    <row r="61" spans="1:7" ht="16.5" x14ac:dyDescent="0.25">
      <c r="A61" s="54"/>
      <c r="B61" s="64" t="s">
        <v>77</v>
      </c>
      <c r="C61" s="121" t="s">
        <v>78</v>
      </c>
      <c r="D61" s="122">
        <f>ScenarioParameters!C18</f>
        <v>2</v>
      </c>
      <c r="E61" s="121" t="s">
        <v>589</v>
      </c>
      <c r="F61" s="123"/>
      <c r="G61" s="96"/>
    </row>
    <row r="62" spans="1:7" ht="15" x14ac:dyDescent="0.25">
      <c r="A62" s="54"/>
      <c r="B62" s="124" t="s">
        <v>79</v>
      </c>
      <c r="C62" s="125"/>
      <c r="D62" s="125"/>
      <c r="E62" s="125" t="s">
        <v>57</v>
      </c>
      <c r="F62" s="126"/>
      <c r="G62" s="96"/>
    </row>
    <row r="63" spans="1:7" ht="18.75" x14ac:dyDescent="0.35">
      <c r="A63" s="54"/>
      <c r="B63" s="127" t="s">
        <v>80</v>
      </c>
      <c r="C63" s="128" t="s">
        <v>590</v>
      </c>
      <c r="D63" s="128">
        <f>ScenarioParameters!C19</f>
        <v>0</v>
      </c>
      <c r="E63" s="128"/>
      <c r="F63" s="129"/>
      <c r="G63" s="96"/>
    </row>
    <row r="64" spans="1:7" ht="18.75" x14ac:dyDescent="0.35">
      <c r="A64" s="54"/>
      <c r="B64" s="127" t="s">
        <v>81</v>
      </c>
      <c r="C64" s="128" t="s">
        <v>591</v>
      </c>
      <c r="D64" s="128">
        <f>ScenarioParameters!C20</f>
        <v>0.2</v>
      </c>
      <c r="E64" s="128"/>
      <c r="F64" s="129"/>
      <c r="G64" s="96"/>
    </row>
    <row r="65" spans="1:7" ht="18.75" x14ac:dyDescent="0.35">
      <c r="A65" s="54"/>
      <c r="B65" s="127" t="s">
        <v>82</v>
      </c>
      <c r="C65" s="128" t="s">
        <v>592</v>
      </c>
      <c r="D65" s="128">
        <f>ScenarioParameters!C21</f>
        <v>0</v>
      </c>
      <c r="E65" s="128"/>
      <c r="F65" s="129"/>
      <c r="G65" s="96"/>
    </row>
    <row r="66" spans="1:7" ht="18.75" x14ac:dyDescent="0.35">
      <c r="A66" s="54"/>
      <c r="B66" s="130" t="s">
        <v>83</v>
      </c>
      <c r="C66" s="131" t="s">
        <v>593</v>
      </c>
      <c r="D66" s="128">
        <f>ScenarioParameters!C22</f>
        <v>0.1</v>
      </c>
      <c r="E66" s="131"/>
      <c r="F66" s="132"/>
      <c r="G66" s="96"/>
    </row>
    <row r="67" spans="1:7" ht="15" x14ac:dyDescent="0.25">
      <c r="A67" s="54"/>
      <c r="B67" s="124" t="s">
        <v>84</v>
      </c>
      <c r="C67" s="125"/>
      <c r="D67" s="125"/>
      <c r="E67" s="125" t="s">
        <v>34</v>
      </c>
      <c r="F67" s="126"/>
      <c r="G67" s="96"/>
    </row>
    <row r="68" spans="1:7" ht="18.75" x14ac:dyDescent="0.35">
      <c r="A68" s="54"/>
      <c r="B68" s="127" t="s">
        <v>80</v>
      </c>
      <c r="C68" s="128" t="s">
        <v>594</v>
      </c>
      <c r="D68" s="128">
        <f>ScenarioParameters!C23</f>
        <v>0</v>
      </c>
      <c r="E68" s="128"/>
      <c r="F68" s="129"/>
      <c r="G68" s="96"/>
    </row>
    <row r="69" spans="1:7" ht="18.75" x14ac:dyDescent="0.35">
      <c r="A69" s="54"/>
      <c r="B69" s="127" t="s">
        <v>81</v>
      </c>
      <c r="C69" s="128" t="s">
        <v>595</v>
      </c>
      <c r="D69" s="128">
        <f>ScenarioParameters!C24</f>
        <v>45</v>
      </c>
      <c r="E69" s="128"/>
      <c r="F69" s="129"/>
      <c r="G69" s="96"/>
    </row>
    <row r="70" spans="1:7" ht="18.75" x14ac:dyDescent="0.35">
      <c r="A70" s="54"/>
      <c r="B70" s="127" t="s">
        <v>82</v>
      </c>
      <c r="C70" s="128" t="s">
        <v>596</v>
      </c>
      <c r="D70" s="128">
        <f>ScenarioParameters!C25</f>
        <v>0</v>
      </c>
      <c r="E70" s="128"/>
      <c r="F70" s="129"/>
      <c r="G70" s="96"/>
    </row>
    <row r="71" spans="1:7" ht="18.75" x14ac:dyDescent="0.35">
      <c r="A71" s="54"/>
      <c r="B71" s="130" t="s">
        <v>83</v>
      </c>
      <c r="C71" s="131" t="s">
        <v>597</v>
      </c>
      <c r="D71" s="128">
        <f>ScenarioParameters!C26</f>
        <v>90</v>
      </c>
      <c r="E71" s="131"/>
      <c r="F71" s="132"/>
      <c r="G71" s="96"/>
    </row>
    <row r="72" spans="1:7" ht="33" x14ac:dyDescent="0.25">
      <c r="A72" s="54"/>
      <c r="B72" s="97" t="s">
        <v>85</v>
      </c>
      <c r="C72" s="98"/>
      <c r="D72" s="98"/>
      <c r="E72" s="98" t="s">
        <v>88</v>
      </c>
      <c r="F72" s="133" t="s">
        <v>598</v>
      </c>
      <c r="G72" s="96"/>
    </row>
    <row r="73" spans="1:7" ht="18.75" x14ac:dyDescent="0.35">
      <c r="A73" s="54"/>
      <c r="B73" s="127" t="s">
        <v>80</v>
      </c>
      <c r="C73" s="128" t="s">
        <v>599</v>
      </c>
      <c r="D73" s="128">
        <f>D15*D63/(D60*D61)*(1-EXP(-D60*D68))</f>
        <v>0</v>
      </c>
      <c r="E73" s="128"/>
      <c r="F73" s="129"/>
      <c r="G73" s="96"/>
    </row>
    <row r="74" spans="1:7" ht="18.75" x14ac:dyDescent="0.35">
      <c r="A74" s="54"/>
      <c r="B74" s="127" t="s">
        <v>81</v>
      </c>
      <c r="C74" s="128" t="s">
        <v>600</v>
      </c>
      <c r="D74" s="128">
        <f>D15*D64/(D60*D61)*(1-EXP(-D60*D69))</f>
        <v>1708.8036539819173</v>
      </c>
      <c r="E74" s="128"/>
      <c r="F74" s="129"/>
      <c r="G74" s="96"/>
    </row>
    <row r="75" spans="1:7" ht="18.75" x14ac:dyDescent="0.35">
      <c r="A75" s="54"/>
      <c r="B75" s="127" t="s">
        <v>82</v>
      </c>
      <c r="C75" s="128" t="s">
        <v>601</v>
      </c>
      <c r="D75" s="128">
        <f>D15*D65/(D60*D61)*(1-EXP(-D60*D70))</f>
        <v>0</v>
      </c>
      <c r="E75" s="128"/>
      <c r="F75" s="129"/>
      <c r="G75" s="96"/>
    </row>
    <row r="76" spans="1:7" ht="18.75" x14ac:dyDescent="0.35">
      <c r="A76" s="54"/>
      <c r="B76" s="130" t="s">
        <v>83</v>
      </c>
      <c r="C76" s="131" t="s">
        <v>602</v>
      </c>
      <c r="D76" s="131">
        <f>D15*D66/(D60*D61)*(1-EXP(-D60*D71))</f>
        <v>863.89337392926916</v>
      </c>
      <c r="E76" s="131"/>
      <c r="F76" s="132"/>
      <c r="G76" s="96"/>
    </row>
    <row r="77" spans="1:7" ht="15" x14ac:dyDescent="0.25">
      <c r="A77" s="54"/>
      <c r="B77" s="124" t="s">
        <v>86</v>
      </c>
      <c r="C77" s="125"/>
      <c r="D77" s="125"/>
      <c r="E77" s="125" t="s">
        <v>57</v>
      </c>
      <c r="F77" s="126"/>
      <c r="G77" s="96"/>
    </row>
    <row r="78" spans="1:7" ht="18.75" x14ac:dyDescent="0.35">
      <c r="A78" s="54"/>
      <c r="B78" s="127" t="s">
        <v>80</v>
      </c>
      <c r="C78" s="128" t="s">
        <v>603</v>
      </c>
      <c r="D78" s="128">
        <f>VLOOKUP(MPAFs!B4,ChemicalProperties!D:M,7,FALSE)</f>
        <v>8.0000000000000002E-3</v>
      </c>
      <c r="E78" s="128"/>
      <c r="F78" s="129"/>
      <c r="G78" s="96"/>
    </row>
    <row r="79" spans="1:7" ht="18.75" x14ac:dyDescent="0.35">
      <c r="A79" s="54"/>
      <c r="B79" s="127" t="s">
        <v>81</v>
      </c>
      <c r="C79" s="128" t="s">
        <v>604</v>
      </c>
      <c r="D79" s="128">
        <f>VLOOKUP(MPAFs!B4,ChemicalProperties!D:M,8,FALSE)</f>
        <v>0.01</v>
      </c>
      <c r="E79" s="128"/>
      <c r="F79" s="129"/>
      <c r="G79" s="96"/>
    </row>
    <row r="80" spans="1:7" ht="18.75" x14ac:dyDescent="0.35">
      <c r="A80" s="54"/>
      <c r="B80" s="127" t="s">
        <v>82</v>
      </c>
      <c r="C80" s="128" t="s">
        <v>605</v>
      </c>
      <c r="D80" s="128">
        <f>VLOOKUP(MPAFs!B4,ChemicalProperties!D:M,9,FALSE)</f>
        <v>7.0000000000000007E-2</v>
      </c>
      <c r="E80" s="128"/>
      <c r="F80" s="129"/>
      <c r="G80" s="96"/>
    </row>
    <row r="81" spans="1:7" ht="18.75" x14ac:dyDescent="0.35">
      <c r="A81" s="54"/>
      <c r="B81" s="130" t="s">
        <v>83</v>
      </c>
      <c r="C81" s="131" t="s">
        <v>606</v>
      </c>
      <c r="D81" s="131">
        <f>VLOOKUP(MPAFs!B4,ChemicalProperties!D:M,10,FALSE)</f>
        <v>0.02</v>
      </c>
      <c r="E81" s="131"/>
      <c r="F81" s="132"/>
      <c r="G81" s="96"/>
    </row>
    <row r="82" spans="1:7" ht="33" x14ac:dyDescent="0.35">
      <c r="A82" s="54"/>
      <c r="B82" s="124" t="s">
        <v>87</v>
      </c>
      <c r="C82" s="125"/>
      <c r="D82" s="125"/>
      <c r="E82" s="125" t="s">
        <v>88</v>
      </c>
      <c r="F82" s="134" t="s">
        <v>607</v>
      </c>
      <c r="G82" s="96"/>
    </row>
    <row r="83" spans="1:7" ht="18.75" x14ac:dyDescent="0.35">
      <c r="A83" s="54"/>
      <c r="B83" s="127" t="s">
        <v>80</v>
      </c>
      <c r="C83" s="128" t="s">
        <v>608</v>
      </c>
      <c r="D83" s="128">
        <f>D22*D78</f>
        <v>883.17667263787666</v>
      </c>
      <c r="E83" s="128"/>
      <c r="F83" s="129"/>
      <c r="G83" s="96"/>
    </row>
    <row r="84" spans="1:7" ht="18.75" x14ac:dyDescent="0.35">
      <c r="A84" s="54"/>
      <c r="B84" s="127" t="s">
        <v>81</v>
      </c>
      <c r="C84" s="128" t="s">
        <v>609</v>
      </c>
      <c r="D84" s="128">
        <f>D22*D79</f>
        <v>1103.9708407973458</v>
      </c>
      <c r="E84" s="128"/>
      <c r="F84" s="129"/>
      <c r="G84" s="96"/>
    </row>
    <row r="85" spans="1:7" ht="18.75" x14ac:dyDescent="0.35">
      <c r="A85" s="54"/>
      <c r="B85" s="127" t="s">
        <v>82</v>
      </c>
      <c r="C85" s="128" t="s">
        <v>610</v>
      </c>
      <c r="D85" s="128">
        <f>D22*D80</f>
        <v>7727.7958855814213</v>
      </c>
      <c r="E85" s="128"/>
      <c r="F85" s="129"/>
      <c r="G85" s="96"/>
    </row>
    <row r="86" spans="1:7" ht="18.75" x14ac:dyDescent="0.35">
      <c r="A86" s="54"/>
      <c r="B86" s="130" t="s">
        <v>83</v>
      </c>
      <c r="C86" s="131" t="s">
        <v>611</v>
      </c>
      <c r="D86" s="131">
        <f>D22*D81</f>
        <v>2207.9416815946915</v>
      </c>
      <c r="E86" s="131"/>
      <c r="F86" s="132"/>
      <c r="G86" s="96"/>
    </row>
    <row r="87" spans="1:7" ht="31.5" x14ac:dyDescent="0.25">
      <c r="A87" s="54"/>
      <c r="B87" s="106" t="s">
        <v>89</v>
      </c>
      <c r="C87" s="107"/>
      <c r="D87" s="107"/>
      <c r="E87" s="107" t="s">
        <v>88</v>
      </c>
      <c r="F87" s="118" t="s">
        <v>612</v>
      </c>
      <c r="G87" s="96"/>
    </row>
    <row r="88" spans="1:7" ht="16.5" x14ac:dyDescent="0.3">
      <c r="A88" s="54"/>
      <c r="B88" s="135" t="s">
        <v>80</v>
      </c>
      <c r="C88" s="136" t="s">
        <v>613</v>
      </c>
      <c r="D88" s="136">
        <f>D73+D83</f>
        <v>883.17667263787666</v>
      </c>
      <c r="E88" s="136"/>
      <c r="F88" s="137"/>
      <c r="G88" s="96"/>
    </row>
    <row r="89" spans="1:7" ht="16.5" x14ac:dyDescent="0.3">
      <c r="A89" s="54"/>
      <c r="B89" s="135" t="s">
        <v>81</v>
      </c>
      <c r="C89" s="136" t="s">
        <v>614</v>
      </c>
      <c r="D89" s="136">
        <f>D74+D84</f>
        <v>2812.774494779263</v>
      </c>
      <c r="E89" s="136"/>
      <c r="F89" s="137"/>
      <c r="G89" s="96"/>
    </row>
    <row r="90" spans="1:7" ht="16.5" x14ac:dyDescent="0.3">
      <c r="A90" s="54"/>
      <c r="B90" s="135" t="s">
        <v>82</v>
      </c>
      <c r="C90" s="136" t="s">
        <v>615</v>
      </c>
      <c r="D90" s="136">
        <f>D75+D85</f>
        <v>7727.7958855814213</v>
      </c>
      <c r="E90" s="136"/>
      <c r="F90" s="137"/>
      <c r="G90" s="96"/>
    </row>
    <row r="91" spans="1:7" ht="16.5" x14ac:dyDescent="0.3">
      <c r="A91" s="54"/>
      <c r="B91" s="138" t="s">
        <v>83</v>
      </c>
      <c r="C91" s="139" t="s">
        <v>616</v>
      </c>
      <c r="D91" s="139">
        <f>D76+D86</f>
        <v>3071.8350555239608</v>
      </c>
      <c r="E91" s="139"/>
      <c r="F91" s="140"/>
      <c r="G91" s="96"/>
    </row>
    <row r="92" spans="1:7" ht="15" x14ac:dyDescent="0.25">
      <c r="A92" s="141"/>
      <c r="B92" s="142"/>
      <c r="C92" s="142"/>
      <c r="D92" s="142"/>
      <c r="E92" s="142"/>
      <c r="F92" s="142"/>
      <c r="G92" s="58"/>
    </row>
    <row r="93" spans="1:7" s="47" customFormat="1" ht="16.5" x14ac:dyDescent="0.3">
      <c r="A93" s="44" t="s">
        <v>617</v>
      </c>
      <c r="B93" s="45"/>
      <c r="C93" s="45"/>
      <c r="D93" s="45"/>
      <c r="E93" s="45"/>
      <c r="F93" s="45"/>
      <c r="G93" s="46"/>
    </row>
    <row r="94" spans="1:7" s="53" customFormat="1" ht="15" x14ac:dyDescent="0.25">
      <c r="A94" s="48"/>
      <c r="B94" s="49" t="s">
        <v>26</v>
      </c>
      <c r="C94" s="50" t="s">
        <v>27</v>
      </c>
      <c r="D94" s="50" t="s">
        <v>28</v>
      </c>
      <c r="E94" s="50" t="s">
        <v>29</v>
      </c>
      <c r="F94" s="51" t="s">
        <v>30</v>
      </c>
      <c r="G94" s="52"/>
    </row>
    <row r="95" spans="1:7" s="146" customFormat="1" ht="28.5" x14ac:dyDescent="0.25">
      <c r="A95" s="143"/>
      <c r="B95" s="144" t="s">
        <v>90</v>
      </c>
      <c r="C95" s="62" t="s">
        <v>91</v>
      </c>
      <c r="D95" s="62">
        <f>ScenarioParameters!C27</f>
        <v>0.13700000000000001</v>
      </c>
      <c r="E95" s="62" t="s">
        <v>57</v>
      </c>
      <c r="F95" s="63"/>
      <c r="G95" s="145"/>
    </row>
    <row r="96" spans="1:7" ht="18" customHeight="1" x14ac:dyDescent="0.2">
      <c r="A96" s="18"/>
      <c r="B96" s="116" t="s">
        <v>92</v>
      </c>
      <c r="C96" s="147"/>
      <c r="D96" s="148"/>
      <c r="E96" s="147" t="s">
        <v>93</v>
      </c>
      <c r="F96" s="149"/>
      <c r="G96" s="58"/>
    </row>
    <row r="97" spans="1:7" ht="18" customHeight="1" x14ac:dyDescent="0.35">
      <c r="A97" s="18"/>
      <c r="B97" s="101" t="s">
        <v>562</v>
      </c>
      <c r="C97" s="128" t="s">
        <v>618</v>
      </c>
      <c r="D97" s="150">
        <f>VLOOKUP(TRIM(B97),ExposureGroupParameters!B:H,4,FALSE)</f>
        <v>2.2000000000000002</v>
      </c>
      <c r="E97" s="151"/>
      <c r="F97" s="152" t="s">
        <v>60</v>
      </c>
      <c r="G97" s="58"/>
    </row>
    <row r="98" spans="1:7" ht="18.75" x14ac:dyDescent="0.35">
      <c r="A98" s="18"/>
      <c r="B98" s="153" t="s">
        <v>61</v>
      </c>
      <c r="C98" s="128" t="s">
        <v>619</v>
      </c>
      <c r="D98" s="150">
        <f>VLOOKUP(TRIM(B98),ExposureGroupParameters!B:H,4,FALSE)</f>
        <v>8.1999999999999993</v>
      </c>
      <c r="E98" s="151"/>
      <c r="F98" s="154"/>
      <c r="G98" s="58"/>
    </row>
    <row r="99" spans="1:7" ht="18.75" x14ac:dyDescent="0.35">
      <c r="A99" s="18"/>
      <c r="B99" s="153" t="s">
        <v>62</v>
      </c>
      <c r="C99" s="128" t="s">
        <v>620</v>
      </c>
      <c r="D99" s="150">
        <f>VLOOKUP(TRIM(B99),ExposureGroupParameters!B:H,4,FALSE)</f>
        <v>3.9</v>
      </c>
      <c r="E99" s="151"/>
      <c r="F99" s="154"/>
      <c r="G99" s="58"/>
    </row>
    <row r="100" spans="1:7" ht="18.75" x14ac:dyDescent="0.35">
      <c r="A100" s="18"/>
      <c r="B100" s="153" t="s">
        <v>566</v>
      </c>
      <c r="C100" s="128" t="s">
        <v>621</v>
      </c>
      <c r="D100" s="150">
        <f>VLOOKUP(TRIM(B100),ExposureGroupParameters!B:H,4,FALSE)</f>
        <v>2.1</v>
      </c>
      <c r="E100" s="151"/>
      <c r="F100" s="154"/>
      <c r="G100" s="58"/>
    </row>
    <row r="101" spans="1:7" ht="18.75" x14ac:dyDescent="0.35">
      <c r="A101" s="18"/>
      <c r="B101" s="104" t="s">
        <v>63</v>
      </c>
      <c r="C101" s="128" t="s">
        <v>622</v>
      </c>
      <c r="D101" s="150">
        <f>VLOOKUP(TRIM(B101),ExposureGroupParameters!B:H,4,FALSE)</f>
        <v>2.2000000000000002</v>
      </c>
      <c r="E101" s="155"/>
      <c r="F101" s="156" t="s">
        <v>64</v>
      </c>
      <c r="G101" s="58"/>
    </row>
    <row r="102" spans="1:7" x14ac:dyDescent="0.2">
      <c r="A102" s="18"/>
      <c r="B102" s="116" t="s">
        <v>94</v>
      </c>
      <c r="C102" s="147"/>
      <c r="D102" s="148"/>
      <c r="E102" s="147" t="s">
        <v>93</v>
      </c>
      <c r="F102" s="149"/>
      <c r="G102" s="58"/>
    </row>
    <row r="103" spans="1:7" ht="18.75" x14ac:dyDescent="0.35">
      <c r="A103" s="18"/>
      <c r="B103" s="101" t="s">
        <v>562</v>
      </c>
      <c r="C103" s="128" t="s">
        <v>623</v>
      </c>
      <c r="D103" s="150">
        <f>VLOOKUP(TRIM(B103),ExposureGroupParameters!B:H,5,FALSE)</f>
        <v>1.3</v>
      </c>
      <c r="E103" s="151"/>
      <c r="F103" s="152" t="s">
        <v>60</v>
      </c>
      <c r="G103" s="58"/>
    </row>
    <row r="104" spans="1:7" ht="18.75" x14ac:dyDescent="0.35">
      <c r="A104" s="18"/>
      <c r="B104" s="153" t="s">
        <v>61</v>
      </c>
      <c r="C104" s="128" t="s">
        <v>624</v>
      </c>
      <c r="D104" s="150">
        <f>VLOOKUP(TRIM(B104),ExposureGroupParameters!B:H,5,FALSE)</f>
        <v>5.3</v>
      </c>
      <c r="E104" s="151"/>
      <c r="F104" s="154"/>
      <c r="G104" s="58"/>
    </row>
    <row r="105" spans="1:7" ht="18.75" x14ac:dyDescent="0.35">
      <c r="A105" s="18"/>
      <c r="B105" s="153" t="s">
        <v>62</v>
      </c>
      <c r="C105" s="128" t="s">
        <v>625</v>
      </c>
      <c r="D105" s="150">
        <f>VLOOKUP(TRIM(B105),ExposureGroupParameters!B:H,5,FALSE)</f>
        <v>2.2999999999999998</v>
      </c>
      <c r="E105" s="151"/>
      <c r="F105" s="154"/>
      <c r="G105" s="58"/>
    </row>
    <row r="106" spans="1:7" ht="18.75" x14ac:dyDescent="0.35">
      <c r="A106" s="18"/>
      <c r="B106" s="153" t="s">
        <v>566</v>
      </c>
      <c r="C106" s="128" t="s">
        <v>626</v>
      </c>
      <c r="D106" s="150">
        <f>VLOOKUP(TRIM(B106),ExposureGroupParameters!B:H,5,FALSE)</f>
        <v>1.5</v>
      </c>
      <c r="E106" s="151"/>
      <c r="F106" s="154"/>
      <c r="G106" s="58"/>
    </row>
    <row r="107" spans="1:7" ht="18.75" x14ac:dyDescent="0.35">
      <c r="A107" s="18"/>
      <c r="B107" s="104" t="s">
        <v>63</v>
      </c>
      <c r="C107" s="128" t="s">
        <v>627</v>
      </c>
      <c r="D107" s="150">
        <f>VLOOKUP(TRIM(B107),ExposureGroupParameters!B:H,5,FALSE)</f>
        <v>1.3</v>
      </c>
      <c r="E107" s="155"/>
      <c r="F107" s="156" t="s">
        <v>64</v>
      </c>
      <c r="G107" s="58"/>
    </row>
    <row r="108" spans="1:7" x14ac:dyDescent="0.2">
      <c r="A108" s="18"/>
      <c r="B108" s="116" t="s">
        <v>95</v>
      </c>
      <c r="C108" s="147"/>
      <c r="D108" s="148"/>
      <c r="E108" s="147" t="s">
        <v>93</v>
      </c>
      <c r="F108" s="149"/>
      <c r="G108" s="58"/>
    </row>
    <row r="109" spans="1:7" ht="18.75" x14ac:dyDescent="0.35">
      <c r="A109" s="18"/>
      <c r="B109" s="101" t="s">
        <v>562</v>
      </c>
      <c r="C109" s="128" t="s">
        <v>628</v>
      </c>
      <c r="D109" s="150">
        <f>VLOOKUP(TRIM(B109),ExposureGroupParameters!B:H,6,FALSE)</f>
        <v>2.1</v>
      </c>
      <c r="E109" s="151"/>
      <c r="F109" s="152" t="s">
        <v>60</v>
      </c>
      <c r="G109" s="58"/>
    </row>
    <row r="110" spans="1:7" ht="18.75" x14ac:dyDescent="0.35">
      <c r="A110" s="18"/>
      <c r="B110" s="153" t="s">
        <v>61</v>
      </c>
      <c r="C110" s="128" t="s">
        <v>629</v>
      </c>
      <c r="D110" s="150">
        <f>VLOOKUP(TRIM(B110),ExposureGroupParameters!B:H,6,FALSE)</f>
        <v>7.5</v>
      </c>
      <c r="E110" s="151"/>
      <c r="F110" s="154"/>
      <c r="G110" s="58"/>
    </row>
    <row r="111" spans="1:7" ht="18.75" x14ac:dyDescent="0.35">
      <c r="A111" s="18"/>
      <c r="B111" s="153" t="s">
        <v>62</v>
      </c>
      <c r="C111" s="128" t="s">
        <v>630</v>
      </c>
      <c r="D111" s="150">
        <f>VLOOKUP(TRIM(B111),ExposureGroupParameters!B:H,6,FALSE)</f>
        <v>4.9000000000000004</v>
      </c>
      <c r="E111" s="151"/>
      <c r="F111" s="154"/>
      <c r="G111" s="58"/>
    </row>
    <row r="112" spans="1:7" ht="18.75" x14ac:dyDescent="0.35">
      <c r="A112" s="18"/>
      <c r="B112" s="153" t="s">
        <v>566</v>
      </c>
      <c r="C112" s="128" t="s">
        <v>631</v>
      </c>
      <c r="D112" s="150">
        <f>VLOOKUP(TRIM(B112),ExposureGroupParameters!B:H,6,FALSE)</f>
        <v>2.1</v>
      </c>
      <c r="E112" s="151"/>
      <c r="F112" s="154"/>
      <c r="G112" s="58"/>
    </row>
    <row r="113" spans="1:7" ht="18.75" x14ac:dyDescent="0.35">
      <c r="A113" s="18"/>
      <c r="B113" s="104" t="s">
        <v>63</v>
      </c>
      <c r="C113" s="128" t="s">
        <v>632</v>
      </c>
      <c r="D113" s="150">
        <f>VLOOKUP(TRIM(B113),ExposureGroupParameters!B:H,6,FALSE)</f>
        <v>2.1</v>
      </c>
      <c r="E113" s="155"/>
      <c r="F113" s="156" t="s">
        <v>64</v>
      </c>
      <c r="G113" s="58"/>
    </row>
    <row r="114" spans="1:7" x14ac:dyDescent="0.2">
      <c r="A114" s="18"/>
      <c r="B114" s="116" t="s">
        <v>96</v>
      </c>
      <c r="C114" s="147"/>
      <c r="D114" s="148"/>
      <c r="E114" s="147" t="s">
        <v>93</v>
      </c>
      <c r="F114" s="149"/>
      <c r="G114" s="58"/>
    </row>
    <row r="115" spans="1:7" ht="18.75" x14ac:dyDescent="0.35">
      <c r="A115" s="18"/>
      <c r="B115" s="101" t="s">
        <v>562</v>
      </c>
      <c r="C115" s="128" t="s">
        <v>633</v>
      </c>
      <c r="D115" s="150">
        <f>VLOOKUP(TRIM(B115),ExposureGroupParameters!B:H,7,FALSE)</f>
        <v>2.6</v>
      </c>
      <c r="E115" s="151"/>
      <c r="F115" s="152" t="s">
        <v>60</v>
      </c>
      <c r="G115" s="58"/>
    </row>
    <row r="116" spans="1:7" ht="18.75" x14ac:dyDescent="0.35">
      <c r="A116" s="18"/>
      <c r="B116" s="153" t="s">
        <v>61</v>
      </c>
      <c r="C116" s="128" t="s">
        <v>634</v>
      </c>
      <c r="D116" s="150">
        <f>VLOOKUP(TRIM(B116),ExposureGroupParameters!B:H,7,FALSE)</f>
        <v>15.4</v>
      </c>
      <c r="E116" s="151"/>
      <c r="F116" s="154"/>
      <c r="G116" s="58"/>
    </row>
    <row r="117" spans="1:7" ht="18.75" x14ac:dyDescent="0.35">
      <c r="A117" s="18"/>
      <c r="B117" s="153" t="s">
        <v>62</v>
      </c>
      <c r="C117" s="128" t="s">
        <v>635</v>
      </c>
      <c r="D117" s="150">
        <f>VLOOKUP(TRIM(B117),ExposureGroupParameters!B:H,7,FALSE)</f>
        <v>7.3</v>
      </c>
      <c r="E117" s="151"/>
      <c r="F117" s="154"/>
      <c r="G117" s="58"/>
    </row>
    <row r="118" spans="1:7" ht="18.75" x14ac:dyDescent="0.35">
      <c r="A118" s="18"/>
      <c r="B118" s="153" t="s">
        <v>566</v>
      </c>
      <c r="C118" s="128" t="s">
        <v>636</v>
      </c>
      <c r="D118" s="150">
        <f>VLOOKUP(TRIM(B118),ExposureGroupParameters!B:H,7,FALSE)</f>
        <v>2.4</v>
      </c>
      <c r="E118" s="151"/>
      <c r="F118" s="154"/>
      <c r="G118" s="58"/>
    </row>
    <row r="119" spans="1:7" ht="18.75" x14ac:dyDescent="0.35">
      <c r="A119" s="18"/>
      <c r="B119" s="104" t="s">
        <v>63</v>
      </c>
      <c r="C119" s="128" t="s">
        <v>637</v>
      </c>
      <c r="D119" s="150">
        <f>VLOOKUP(TRIM(B119),ExposureGroupParameters!B:H,7,FALSE)</f>
        <v>2.6</v>
      </c>
      <c r="E119" s="155"/>
      <c r="F119" s="156" t="s">
        <v>64</v>
      </c>
      <c r="G119" s="58"/>
    </row>
    <row r="120" spans="1:7" ht="47.25" x14ac:dyDescent="0.2">
      <c r="A120" s="18"/>
      <c r="B120" s="157" t="s">
        <v>97</v>
      </c>
      <c r="C120" s="147"/>
      <c r="D120" s="148"/>
      <c r="E120" s="147" t="s">
        <v>59</v>
      </c>
      <c r="F120" s="149" t="s">
        <v>638</v>
      </c>
      <c r="G120" s="58"/>
    </row>
    <row r="121" spans="1:7" ht="18.75" x14ac:dyDescent="0.35">
      <c r="A121" s="18"/>
      <c r="B121" s="101" t="s">
        <v>562</v>
      </c>
      <c r="C121" s="128" t="s">
        <v>639</v>
      </c>
      <c r="D121" s="150">
        <f>D88*D97*D26*D95*D33*POWER(10,-6)</f>
        <v>1.5315009402175827E-4</v>
      </c>
      <c r="E121" s="151"/>
      <c r="F121" s="152"/>
      <c r="G121" s="58"/>
    </row>
    <row r="122" spans="1:7" ht="18.75" x14ac:dyDescent="0.35">
      <c r="A122" s="18"/>
      <c r="B122" s="153" t="s">
        <v>61</v>
      </c>
      <c r="C122" s="128" t="s">
        <v>640</v>
      </c>
      <c r="D122" s="150">
        <f>D88*D98*D26*D95*D33*POWER(10,-6)</f>
        <v>5.7083216862655354E-4</v>
      </c>
      <c r="E122" s="150"/>
      <c r="F122" s="152"/>
      <c r="G122" s="58"/>
    </row>
    <row r="123" spans="1:7" ht="18.75" x14ac:dyDescent="0.35">
      <c r="A123" s="18"/>
      <c r="B123" s="153" t="s">
        <v>62</v>
      </c>
      <c r="C123" s="128" t="s">
        <v>641</v>
      </c>
      <c r="D123" s="150">
        <f>D88*D99*D26*D95*D33*POWER(10,-6)</f>
        <v>2.7149334849311689E-4</v>
      </c>
      <c r="E123" s="150"/>
      <c r="F123" s="152"/>
      <c r="G123" s="58"/>
    </row>
    <row r="124" spans="1:7" ht="18.75" x14ac:dyDescent="0.35">
      <c r="A124" s="18"/>
      <c r="B124" s="153" t="s">
        <v>566</v>
      </c>
      <c r="C124" s="128" t="s">
        <v>642</v>
      </c>
      <c r="D124" s="150">
        <f>D88*D100*D26*D95*D33*POWER(10,-6)</f>
        <v>1.4618872611167836E-4</v>
      </c>
      <c r="E124" s="150"/>
      <c r="F124" s="152"/>
      <c r="G124" s="58"/>
    </row>
    <row r="125" spans="1:7" ht="18.75" x14ac:dyDescent="0.35">
      <c r="A125" s="18"/>
      <c r="B125" s="104" t="s">
        <v>63</v>
      </c>
      <c r="C125" s="128" t="s">
        <v>643</v>
      </c>
      <c r="D125" s="158">
        <f>D88*D101*D26*D95*D33*POWER(10,-6)</f>
        <v>1.5315009402175827E-4</v>
      </c>
      <c r="E125" s="158"/>
      <c r="F125" s="156"/>
      <c r="G125" s="58"/>
    </row>
    <row r="126" spans="1:7" ht="49.5" x14ac:dyDescent="0.2">
      <c r="A126" s="18"/>
      <c r="B126" s="157" t="s">
        <v>98</v>
      </c>
      <c r="C126" s="147"/>
      <c r="D126" s="148"/>
      <c r="E126" s="147" t="s">
        <v>59</v>
      </c>
      <c r="F126" s="149" t="s">
        <v>644</v>
      </c>
      <c r="G126" s="58"/>
    </row>
    <row r="127" spans="1:7" ht="18.75" x14ac:dyDescent="0.35">
      <c r="A127" s="18"/>
      <c r="B127" s="101" t="s">
        <v>562</v>
      </c>
      <c r="C127" s="128" t="s">
        <v>645</v>
      </c>
      <c r="D127" s="150">
        <f>D89*D103*D26*D95*D33*POWER(10,-6)</f>
        <v>2.8822076405271021E-4</v>
      </c>
      <c r="E127" s="151"/>
      <c r="F127" s="152"/>
      <c r="G127" s="58"/>
    </row>
    <row r="128" spans="1:7" ht="18.75" x14ac:dyDescent="0.35">
      <c r="A128" s="18"/>
      <c r="B128" s="153" t="s">
        <v>61</v>
      </c>
      <c r="C128" s="128" t="s">
        <v>646</v>
      </c>
      <c r="D128" s="150">
        <f>D89*D104*D26*D95*D33*POWER(10,-6)</f>
        <v>1.1750538842148952E-3</v>
      </c>
      <c r="E128" s="150"/>
      <c r="F128" s="152"/>
      <c r="G128" s="58"/>
    </row>
    <row r="129" spans="1:7" ht="18.75" x14ac:dyDescent="0.35">
      <c r="A129" s="18"/>
      <c r="B129" s="153" t="s">
        <v>62</v>
      </c>
      <c r="C129" s="128" t="s">
        <v>647</v>
      </c>
      <c r="D129" s="150">
        <f>D89*D105*D26*D95*D33*POWER(10,-6)</f>
        <v>5.099290440932565E-4</v>
      </c>
      <c r="E129" s="150"/>
      <c r="F129" s="152"/>
      <c r="G129" s="58"/>
    </row>
    <row r="130" spans="1:7" ht="18.75" x14ac:dyDescent="0.35">
      <c r="A130" s="18"/>
      <c r="B130" s="153" t="s">
        <v>566</v>
      </c>
      <c r="C130" s="128" t="s">
        <v>648</v>
      </c>
      <c r="D130" s="150">
        <f>D89*D106*D26*D95*D33*POWER(10,-6)</f>
        <v>3.3256242006081947E-4</v>
      </c>
      <c r="E130" s="150"/>
      <c r="F130" s="152"/>
      <c r="G130" s="58"/>
    </row>
    <row r="131" spans="1:7" ht="18.75" x14ac:dyDescent="0.35">
      <c r="A131" s="18"/>
      <c r="B131" s="104" t="s">
        <v>63</v>
      </c>
      <c r="C131" s="128" t="s">
        <v>649</v>
      </c>
      <c r="D131" s="158">
        <f>D89*D107*D26*D95*D33*POWER(10,-6)</f>
        <v>2.8822076405271021E-4</v>
      </c>
      <c r="E131" s="158"/>
      <c r="F131" s="156"/>
      <c r="G131" s="58"/>
    </row>
    <row r="132" spans="1:7" ht="49.5" x14ac:dyDescent="0.2">
      <c r="A132" s="18"/>
      <c r="B132" s="116" t="s">
        <v>99</v>
      </c>
      <c r="C132" s="147"/>
      <c r="D132" s="148"/>
      <c r="E132" s="147" t="s">
        <v>59</v>
      </c>
      <c r="F132" s="149" t="s">
        <v>650</v>
      </c>
      <c r="G132" s="58"/>
    </row>
    <row r="133" spans="1:7" ht="18.75" x14ac:dyDescent="0.35">
      <c r="A133" s="18"/>
      <c r="B133" s="101" t="s">
        <v>562</v>
      </c>
      <c r="C133" s="128" t="s">
        <v>651</v>
      </c>
      <c r="D133" s="150">
        <f>D90*D109*D26*D95*D33*POWER(10,-6)</f>
        <v>1.2791513534771855E-3</v>
      </c>
      <c r="E133" s="151"/>
      <c r="F133" s="152"/>
      <c r="G133" s="58"/>
    </row>
    <row r="134" spans="1:7" ht="18.75" x14ac:dyDescent="0.35">
      <c r="A134" s="18"/>
      <c r="B134" s="153" t="s">
        <v>61</v>
      </c>
      <c r="C134" s="128" t="s">
        <v>652</v>
      </c>
      <c r="D134" s="150">
        <f>D90*D110*D26*D95*D33*POWER(10,-6)</f>
        <v>4.5683976909899485E-3</v>
      </c>
      <c r="E134" s="150"/>
      <c r="F134" s="152"/>
      <c r="G134" s="58"/>
    </row>
    <row r="135" spans="1:7" ht="18.75" x14ac:dyDescent="0.35">
      <c r="A135" s="18"/>
      <c r="B135" s="153" t="s">
        <v>62</v>
      </c>
      <c r="C135" s="128" t="s">
        <v>653</v>
      </c>
      <c r="D135" s="150">
        <f>D90*D111*D26*D95*D33*POWER(10,-6)</f>
        <v>2.9846864914467668E-3</v>
      </c>
      <c r="E135" s="150"/>
      <c r="F135" s="152"/>
      <c r="G135" s="58"/>
    </row>
    <row r="136" spans="1:7" ht="18.75" x14ac:dyDescent="0.35">
      <c r="A136" s="18"/>
      <c r="B136" s="153" t="s">
        <v>566</v>
      </c>
      <c r="C136" s="128" t="s">
        <v>654</v>
      </c>
      <c r="D136" s="150">
        <f>D90*D112*D26*D95*D33*POWER(10,-6)</f>
        <v>1.2791513534771855E-3</v>
      </c>
      <c r="E136" s="150"/>
      <c r="F136" s="152"/>
      <c r="G136" s="58"/>
    </row>
    <row r="137" spans="1:7" ht="18.75" x14ac:dyDescent="0.35">
      <c r="A137" s="18"/>
      <c r="B137" s="104" t="s">
        <v>63</v>
      </c>
      <c r="C137" s="128" t="s">
        <v>655</v>
      </c>
      <c r="D137" s="158">
        <f>D90*D113*D26*D95*D33*POWER(10,-6)</f>
        <v>1.2791513534771855E-3</v>
      </c>
      <c r="E137" s="158"/>
      <c r="F137" s="156"/>
      <c r="G137" s="58"/>
    </row>
    <row r="138" spans="1:7" ht="49.5" x14ac:dyDescent="0.2">
      <c r="A138" s="18"/>
      <c r="B138" s="116" t="s">
        <v>100</v>
      </c>
      <c r="C138" s="147"/>
      <c r="D138" s="148"/>
      <c r="E138" s="147" t="s">
        <v>59</v>
      </c>
      <c r="F138" s="149" t="s">
        <v>656</v>
      </c>
      <c r="G138" s="58"/>
    </row>
    <row r="139" spans="1:7" ht="18.75" x14ac:dyDescent="0.35">
      <c r="A139" s="18"/>
      <c r="B139" s="101" t="s">
        <v>562</v>
      </c>
      <c r="C139" s="128" t="s">
        <v>657</v>
      </c>
      <c r="D139" s="150">
        <f>D91*D115*D26*D95*D33*POWER(10,-6)</f>
        <v>6.2953261869398171E-4</v>
      </c>
      <c r="E139" s="151"/>
      <c r="F139" s="152"/>
      <c r="G139" s="58"/>
    </row>
    <row r="140" spans="1:7" ht="18.75" x14ac:dyDescent="0.35">
      <c r="A140" s="18"/>
      <c r="B140" s="153" t="s">
        <v>61</v>
      </c>
      <c r="C140" s="128" t="s">
        <v>658</v>
      </c>
      <c r="D140" s="150">
        <f>D91*D116*D26*D95*D33*POWER(10,-6)</f>
        <v>3.7287701261105063E-3</v>
      </c>
      <c r="E140" s="150"/>
      <c r="F140" s="152"/>
      <c r="G140" s="58"/>
    </row>
    <row r="141" spans="1:7" ht="18.75" x14ac:dyDescent="0.35">
      <c r="A141" s="18"/>
      <c r="B141" s="153" t="s">
        <v>62</v>
      </c>
      <c r="C141" s="128" t="s">
        <v>659</v>
      </c>
      <c r="D141" s="150">
        <f>D91*D117*D26*D95*D33*POWER(10,-6)</f>
        <v>1.7675338909484868E-3</v>
      </c>
      <c r="E141" s="150"/>
      <c r="F141" s="152"/>
      <c r="G141" s="58"/>
    </row>
    <row r="142" spans="1:7" ht="18.75" x14ac:dyDescent="0.35">
      <c r="A142" s="18"/>
      <c r="B142" s="153" t="s">
        <v>566</v>
      </c>
      <c r="C142" s="128" t="s">
        <v>660</v>
      </c>
      <c r="D142" s="150">
        <f>D91*D118*D26*D95*D33*POWER(10,-6)</f>
        <v>5.8110703264059832E-4</v>
      </c>
      <c r="E142" s="150"/>
      <c r="F142" s="152"/>
      <c r="G142" s="58"/>
    </row>
    <row r="143" spans="1:7" ht="18.75" x14ac:dyDescent="0.35">
      <c r="A143" s="18"/>
      <c r="B143" s="104" t="s">
        <v>63</v>
      </c>
      <c r="C143" s="128" t="s">
        <v>661</v>
      </c>
      <c r="D143" s="158">
        <f>D91*D119*D26*D95*D33*POWER(10,-6)</f>
        <v>6.2953261869398171E-4</v>
      </c>
      <c r="E143" s="158"/>
      <c r="F143" s="156"/>
      <c r="G143" s="58"/>
    </row>
    <row r="144" spans="1:7" ht="33" x14ac:dyDescent="0.25">
      <c r="A144" s="18"/>
      <c r="B144" s="117" t="s">
        <v>101</v>
      </c>
      <c r="C144" s="159"/>
      <c r="D144" s="160"/>
      <c r="E144" s="159" t="s">
        <v>59</v>
      </c>
      <c r="F144" s="161" t="s">
        <v>662</v>
      </c>
      <c r="G144" s="58"/>
    </row>
    <row r="145" spans="1:7" ht="17.25" x14ac:dyDescent="0.3">
      <c r="A145" s="18"/>
      <c r="B145" s="110" t="s">
        <v>570</v>
      </c>
      <c r="C145" s="136" t="s">
        <v>663</v>
      </c>
      <c r="D145" s="162">
        <f>D121+D127+D133+D139</f>
        <v>2.3500548302456356E-3</v>
      </c>
      <c r="E145" s="163"/>
      <c r="F145" s="164"/>
      <c r="G145" s="58"/>
    </row>
    <row r="146" spans="1:7" ht="16.5" x14ac:dyDescent="0.3">
      <c r="A146" s="18"/>
      <c r="B146" s="165" t="s">
        <v>61</v>
      </c>
      <c r="C146" s="136" t="s">
        <v>664</v>
      </c>
      <c r="D146" s="162">
        <f>D122+D128+D134+D140</f>
        <v>1.0043053869941903E-2</v>
      </c>
      <c r="E146" s="162"/>
      <c r="F146" s="164"/>
      <c r="G146" s="58"/>
    </row>
    <row r="147" spans="1:7" ht="16.5" x14ac:dyDescent="0.3">
      <c r="A147" s="18"/>
      <c r="B147" s="165" t="s">
        <v>62</v>
      </c>
      <c r="C147" s="136" t="s">
        <v>665</v>
      </c>
      <c r="D147" s="162">
        <f>D123+D129+D135+D141</f>
        <v>5.5336427749816276E-3</v>
      </c>
      <c r="E147" s="162"/>
      <c r="F147" s="164"/>
      <c r="G147" s="58"/>
    </row>
    <row r="148" spans="1:7" ht="16.5" x14ac:dyDescent="0.3">
      <c r="A148" s="18"/>
      <c r="B148" s="165" t="s">
        <v>566</v>
      </c>
      <c r="C148" s="136" t="s">
        <v>666</v>
      </c>
      <c r="D148" s="162">
        <f>D124+D130+D136+D142</f>
        <v>2.3390095322902817E-3</v>
      </c>
      <c r="E148" s="162"/>
      <c r="F148" s="164"/>
      <c r="G148" s="58"/>
    </row>
    <row r="149" spans="1:7" ht="16.5" x14ac:dyDescent="0.3">
      <c r="A149" s="18"/>
      <c r="B149" s="166" t="s">
        <v>63</v>
      </c>
      <c r="C149" s="167" t="s">
        <v>667</v>
      </c>
      <c r="D149" s="168">
        <f>D125+D131+D137+D143</f>
        <v>2.3500548302456356E-3</v>
      </c>
      <c r="E149" s="168"/>
      <c r="F149" s="169"/>
      <c r="G149" s="58"/>
    </row>
    <row r="150" spans="1:7" x14ac:dyDescent="0.2">
      <c r="A150" s="18"/>
      <c r="B150" s="170"/>
      <c r="C150" s="171"/>
      <c r="D150" s="171"/>
      <c r="E150" s="171"/>
      <c r="F150" s="171"/>
      <c r="G150" s="58"/>
    </row>
    <row r="151" spans="1:7" s="47" customFormat="1" ht="16.5" x14ac:dyDescent="0.3">
      <c r="A151" s="44" t="s">
        <v>668</v>
      </c>
      <c r="B151" s="60"/>
      <c r="C151" s="60"/>
      <c r="D151" s="60"/>
      <c r="E151" s="60"/>
      <c r="F151" s="60"/>
      <c r="G151" s="46"/>
    </row>
    <row r="152" spans="1:7" s="53" customFormat="1" ht="15" x14ac:dyDescent="0.25">
      <c r="A152" s="48"/>
      <c r="B152" s="49" t="s">
        <v>26</v>
      </c>
      <c r="C152" s="50" t="s">
        <v>27</v>
      </c>
      <c r="D152" s="50" t="s">
        <v>28</v>
      </c>
      <c r="E152" s="50" t="s">
        <v>29</v>
      </c>
      <c r="F152" s="51" t="s">
        <v>30</v>
      </c>
      <c r="G152" s="52"/>
    </row>
    <row r="153" spans="1:7" ht="28.5" x14ac:dyDescent="0.25">
      <c r="A153" s="54"/>
      <c r="B153" s="115" t="s">
        <v>102</v>
      </c>
      <c r="C153" s="62"/>
      <c r="D153" s="172" t="str">
        <f>VLOOKUP(MPAFs!B4,ChemicalProperties!D:S,16,FALSE)</f>
        <v>No</v>
      </c>
      <c r="E153" s="62"/>
      <c r="F153" s="63"/>
      <c r="G153" s="58"/>
    </row>
    <row r="154" spans="1:7" ht="28.5" x14ac:dyDescent="0.25">
      <c r="A154" s="54"/>
      <c r="B154" s="115" t="s">
        <v>103</v>
      </c>
      <c r="C154" s="62" t="s">
        <v>104</v>
      </c>
      <c r="D154" s="172">
        <f>ScenarioParameters!C28</f>
        <v>240</v>
      </c>
      <c r="E154" s="62" t="s">
        <v>105</v>
      </c>
      <c r="F154" s="63"/>
      <c r="G154" s="58"/>
    </row>
    <row r="155" spans="1:7" ht="15" x14ac:dyDescent="0.25">
      <c r="A155" s="54"/>
      <c r="B155" s="64" t="s">
        <v>106</v>
      </c>
      <c r="C155" s="65" t="s">
        <v>107</v>
      </c>
      <c r="D155" s="65">
        <f>ScenarioParameters!C29</f>
        <v>1</v>
      </c>
      <c r="E155" s="65" t="s">
        <v>57</v>
      </c>
      <c r="F155" s="66"/>
      <c r="G155" s="58"/>
    </row>
    <row r="156" spans="1:7" ht="61.5" x14ac:dyDescent="0.25">
      <c r="A156" s="54"/>
      <c r="B156" s="64" t="s">
        <v>108</v>
      </c>
      <c r="C156" s="65" t="s">
        <v>669</v>
      </c>
      <c r="D156" s="65">
        <f>D4*D154*D155*POWER(10,-6)</f>
        <v>2.3999999999999998E-4</v>
      </c>
      <c r="E156" s="65" t="s">
        <v>59</v>
      </c>
      <c r="F156" s="66" t="s">
        <v>670</v>
      </c>
      <c r="G156" s="58"/>
    </row>
    <row r="157" spans="1:7" ht="28.5" x14ac:dyDescent="0.25">
      <c r="A157" s="54"/>
      <c r="B157" s="115" t="s">
        <v>109</v>
      </c>
      <c r="C157" s="65" t="s">
        <v>671</v>
      </c>
      <c r="D157" s="65" t="str">
        <f>VLOOKUP(MPAFs!B4,ChemicalProperties!D:Q,13,FALSE)</f>
        <v>NA</v>
      </c>
      <c r="E157" s="62" t="s">
        <v>110</v>
      </c>
      <c r="F157" s="63"/>
      <c r="G157" s="58"/>
    </row>
    <row r="158" spans="1:7" ht="18.75" x14ac:dyDescent="0.25">
      <c r="A158" s="54"/>
      <c r="B158" s="64" t="s">
        <v>111</v>
      </c>
      <c r="C158" s="65" t="s">
        <v>672</v>
      </c>
      <c r="D158" s="173" t="str">
        <f>VLOOKUP(MPAFs!B4,ChemicalProperties!D:Q,14,FALSE)</f>
        <v>NA</v>
      </c>
      <c r="E158" s="65" t="s">
        <v>110</v>
      </c>
      <c r="F158" s="66"/>
      <c r="G158" s="58"/>
    </row>
    <row r="159" spans="1:7" ht="15" x14ac:dyDescent="0.25">
      <c r="A159" s="54"/>
      <c r="B159" s="64" t="s">
        <v>112</v>
      </c>
      <c r="C159" s="65" t="s">
        <v>113</v>
      </c>
      <c r="D159" s="173">
        <f>ScenarioParameters!C30</f>
        <v>73</v>
      </c>
      <c r="E159" s="65" t="s">
        <v>114</v>
      </c>
      <c r="F159" s="66"/>
      <c r="G159" s="58"/>
    </row>
    <row r="160" spans="1:7" ht="18.75" x14ac:dyDescent="0.25">
      <c r="A160" s="54"/>
      <c r="B160" s="157" t="s">
        <v>115</v>
      </c>
      <c r="C160" s="65" t="s">
        <v>673</v>
      </c>
      <c r="D160" s="174">
        <f>D156+D55</f>
        <v>4.0332719288508674E-4</v>
      </c>
      <c r="E160" s="65" t="s">
        <v>59</v>
      </c>
      <c r="F160" s="65" t="s">
        <v>674</v>
      </c>
      <c r="G160" s="58"/>
    </row>
    <row r="161" spans="1:7" ht="18.75" x14ac:dyDescent="0.25">
      <c r="A161" s="54"/>
      <c r="B161" s="157" t="s">
        <v>116</v>
      </c>
      <c r="C161" s="65" t="s">
        <v>675</v>
      </c>
      <c r="D161" s="174">
        <f>D39+IF(D59="Yes",D149,0)</f>
        <v>4.0649903555390462E-3</v>
      </c>
      <c r="E161" s="65" t="s">
        <v>59</v>
      </c>
      <c r="F161" s="65" t="s">
        <v>676</v>
      </c>
      <c r="G161" s="58"/>
    </row>
    <row r="162" spans="1:7" ht="48" x14ac:dyDescent="0.25">
      <c r="A162" s="54"/>
      <c r="B162" s="175" t="s">
        <v>117</v>
      </c>
      <c r="C162" s="176" t="s">
        <v>677</v>
      </c>
      <c r="D162" s="176" t="e">
        <f>((D160*D157)+(D161*D158))*D159</f>
        <v>#VALUE!</v>
      </c>
      <c r="E162" s="176" t="s">
        <v>118</v>
      </c>
      <c r="F162" s="177" t="s">
        <v>678</v>
      </c>
      <c r="G162" s="58"/>
    </row>
    <row r="163" spans="1:7" x14ac:dyDescent="0.2">
      <c r="A163" s="18"/>
      <c r="B163" s="53"/>
      <c r="G163" s="58"/>
    </row>
    <row r="164" spans="1:7" s="47" customFormat="1" ht="16.5" x14ac:dyDescent="0.3">
      <c r="A164" s="44" t="s">
        <v>679</v>
      </c>
      <c r="B164" s="60"/>
      <c r="C164" s="60"/>
      <c r="D164" s="60"/>
      <c r="E164" s="60"/>
      <c r="F164" s="60"/>
      <c r="G164" s="46"/>
    </row>
    <row r="165" spans="1:7" s="53" customFormat="1" ht="15" x14ac:dyDescent="0.25">
      <c r="A165" s="48"/>
      <c r="B165" s="49" t="s">
        <v>26</v>
      </c>
      <c r="C165" s="50" t="s">
        <v>27</v>
      </c>
      <c r="D165" s="50" t="s">
        <v>28</v>
      </c>
      <c r="E165" s="50" t="s">
        <v>29</v>
      </c>
      <c r="F165" s="51" t="s">
        <v>30</v>
      </c>
      <c r="G165" s="52"/>
    </row>
    <row r="166" spans="1:7" ht="18.75" x14ac:dyDescent="0.25">
      <c r="A166" s="54"/>
      <c r="B166" s="64" t="s">
        <v>119</v>
      </c>
      <c r="C166" s="65" t="s">
        <v>680</v>
      </c>
      <c r="D166" s="65">
        <f>ScenarioParameters!C31</f>
        <v>101</v>
      </c>
      <c r="E166" s="65" t="s">
        <v>93</v>
      </c>
      <c r="F166" s="66"/>
      <c r="G166" s="58"/>
    </row>
    <row r="167" spans="1:7" ht="15" x14ac:dyDescent="0.25">
      <c r="A167" s="54"/>
      <c r="B167" s="157" t="s">
        <v>120</v>
      </c>
      <c r="C167" s="98" t="s">
        <v>121</v>
      </c>
      <c r="D167" s="98">
        <f>ScenarioParameters!C32</f>
        <v>1</v>
      </c>
      <c r="E167" s="98" t="s">
        <v>57</v>
      </c>
      <c r="F167" s="133"/>
      <c r="G167" s="58"/>
    </row>
    <row r="168" spans="1:7" ht="33" x14ac:dyDescent="0.25">
      <c r="A168" s="54"/>
      <c r="B168" s="175" t="s">
        <v>122</v>
      </c>
      <c r="C168" s="176" t="s">
        <v>681</v>
      </c>
      <c r="D168" s="176" t="e">
        <f>D162*D166*D167*POWER(10,-3)</f>
        <v>#VALUE!</v>
      </c>
      <c r="E168" s="176" t="s">
        <v>59</v>
      </c>
      <c r="F168" s="177" t="s">
        <v>682</v>
      </c>
      <c r="G168" s="58"/>
    </row>
    <row r="169" spans="1:7" x14ac:dyDescent="0.2">
      <c r="A169" s="18"/>
      <c r="B169" s="53"/>
      <c r="G169" s="58"/>
    </row>
    <row r="170" spans="1:7" s="47" customFormat="1" ht="15" x14ac:dyDescent="0.25">
      <c r="A170" s="44" t="s">
        <v>123</v>
      </c>
      <c r="B170" s="45"/>
      <c r="C170" s="45"/>
      <c r="D170" s="45"/>
      <c r="E170" s="45"/>
      <c r="F170" s="45"/>
      <c r="G170" s="46"/>
    </row>
    <row r="171" spans="1:7" s="53" customFormat="1" ht="15" x14ac:dyDescent="0.25">
      <c r="A171" s="48"/>
      <c r="B171" s="49" t="s">
        <v>26</v>
      </c>
      <c r="C171" s="50" t="s">
        <v>27</v>
      </c>
      <c r="D171" s="50" t="s">
        <v>28</v>
      </c>
      <c r="E171" s="50" t="s">
        <v>29</v>
      </c>
      <c r="F171" s="51" t="s">
        <v>30</v>
      </c>
      <c r="G171" s="52"/>
    </row>
    <row r="172" spans="1:7" ht="18.75" x14ac:dyDescent="0.35">
      <c r="A172" s="54"/>
      <c r="B172" s="178" t="s">
        <v>124</v>
      </c>
      <c r="C172" s="179" t="s">
        <v>683</v>
      </c>
      <c r="D172" s="180">
        <f>VLOOKUP(MPAFs!B4,ChemicalProperties!D:G,4,FALSE)</f>
        <v>2.3000000000000001E-4</v>
      </c>
      <c r="E172" s="180" t="s">
        <v>684</v>
      </c>
      <c r="F172" s="181"/>
      <c r="G172" s="58"/>
    </row>
    <row r="173" spans="1:7" ht="15" x14ac:dyDescent="0.25">
      <c r="A173" s="54"/>
      <c r="B173" s="182" t="s">
        <v>125</v>
      </c>
      <c r="C173" s="179"/>
      <c r="D173" s="131" t="str">
        <f>VLOOKUP(MPAFs!B4,ChemicalProperties!D:V,19,FALSE)</f>
        <v>No</v>
      </c>
      <c r="E173" s="131"/>
      <c r="F173" s="181"/>
      <c r="G173" s="58"/>
    </row>
    <row r="174" spans="1:7" ht="15" x14ac:dyDescent="0.25">
      <c r="A174" s="54"/>
      <c r="B174" s="178" t="s">
        <v>126</v>
      </c>
      <c r="C174" s="179" t="s">
        <v>127</v>
      </c>
      <c r="D174" s="131">
        <f>IF(D173="Yes",VLOOKUP(MPAFs!B4,ChemicalProperties!D:V,17,FALSE),1)</f>
        <v>1</v>
      </c>
      <c r="E174" s="131"/>
      <c r="F174" s="183" t="s">
        <v>128</v>
      </c>
      <c r="G174" s="58"/>
    </row>
    <row r="175" spans="1:7" ht="18.75" x14ac:dyDescent="0.35">
      <c r="A175" s="54"/>
      <c r="B175" s="178" t="s">
        <v>129</v>
      </c>
      <c r="C175" s="179" t="s">
        <v>685</v>
      </c>
      <c r="D175" s="179">
        <f>D4*D174/D172</f>
        <v>4347.826086956522</v>
      </c>
      <c r="E175" s="179" t="s">
        <v>57</v>
      </c>
      <c r="F175" s="183" t="s">
        <v>686</v>
      </c>
      <c r="G175" s="58"/>
    </row>
    <row r="176" spans="1:7" ht="18.75" x14ac:dyDescent="0.35">
      <c r="A176" s="18"/>
      <c r="B176" s="184" t="s">
        <v>130</v>
      </c>
      <c r="C176" s="179" t="s">
        <v>687</v>
      </c>
      <c r="D176" s="179">
        <f>VLOOKUP(MPAFs!B4,ChemicalProperties!D:O,5,FALSE)</f>
        <v>32</v>
      </c>
      <c r="E176" s="179" t="s">
        <v>688</v>
      </c>
      <c r="F176" s="185"/>
      <c r="G176" s="58"/>
    </row>
    <row r="177" spans="1:7" ht="18.75" x14ac:dyDescent="0.35">
      <c r="A177" s="18"/>
      <c r="B177" s="124" t="s">
        <v>131</v>
      </c>
      <c r="C177" s="125"/>
      <c r="D177" s="125"/>
      <c r="E177" s="125" t="s">
        <v>59</v>
      </c>
      <c r="F177" s="126" t="s">
        <v>689</v>
      </c>
      <c r="G177" s="96"/>
    </row>
    <row r="178" spans="1:7" ht="18.75" x14ac:dyDescent="0.35">
      <c r="A178" s="18"/>
      <c r="B178" s="101" t="s">
        <v>562</v>
      </c>
      <c r="C178" s="128" t="s">
        <v>690</v>
      </c>
      <c r="D178" s="128">
        <f>D35+D51+IF(D59="Yes",D145,0)</f>
        <v>4.228317548424133E-3</v>
      </c>
      <c r="E178" s="128"/>
      <c r="F178" s="129"/>
      <c r="G178" s="58"/>
    </row>
    <row r="179" spans="1:7" ht="18.75" x14ac:dyDescent="0.35">
      <c r="A179" s="18"/>
      <c r="B179" s="153" t="s">
        <v>61</v>
      </c>
      <c r="C179" s="128" t="s">
        <v>691</v>
      </c>
      <c r="D179" s="128">
        <f>D36+D52+IF(D59="Yes",D146,0)</f>
        <v>2.4995658378571595E-2</v>
      </c>
      <c r="E179" s="128"/>
      <c r="F179" s="129"/>
      <c r="G179" s="58"/>
    </row>
    <row r="180" spans="1:7" ht="18.75" x14ac:dyDescent="0.35">
      <c r="A180" s="18"/>
      <c r="B180" s="153" t="s">
        <v>62</v>
      </c>
      <c r="C180" s="128" t="s">
        <v>692</v>
      </c>
      <c r="D180" s="128">
        <f>D37+D53+IF(D59="Yes",D147,0)</f>
        <v>1.2873839035225567E-2</v>
      </c>
      <c r="E180" s="128"/>
      <c r="F180" s="129"/>
      <c r="G180" s="58"/>
    </row>
    <row r="181" spans="1:7" ht="18.75" x14ac:dyDescent="0.35">
      <c r="A181" s="18"/>
      <c r="B181" s="153" t="s">
        <v>566</v>
      </c>
      <c r="C181" s="186" t="s">
        <v>693</v>
      </c>
      <c r="D181" s="128">
        <f>D38+D54+IF(D59="Yes",D148,0)</f>
        <v>3.8266480474852798E-3</v>
      </c>
      <c r="E181" s="128"/>
      <c r="F181" s="129"/>
      <c r="G181" s="58"/>
    </row>
    <row r="182" spans="1:7" x14ac:dyDescent="0.2">
      <c r="A182" s="18"/>
      <c r="B182" s="124" t="s">
        <v>132</v>
      </c>
      <c r="C182" s="125"/>
      <c r="D182" s="125"/>
      <c r="E182" s="125" t="s">
        <v>57</v>
      </c>
      <c r="F182" s="187" t="s">
        <v>133</v>
      </c>
      <c r="G182" s="58"/>
    </row>
    <row r="183" spans="1:7" ht="18.75" x14ac:dyDescent="0.35">
      <c r="A183" s="18"/>
      <c r="B183" s="101" t="s">
        <v>562</v>
      </c>
      <c r="C183" s="128" t="s">
        <v>694</v>
      </c>
      <c r="D183" s="128">
        <f>IF(D173="Yes",VLOOKUP(TRIM(B183),ExposureGroupParameters!B:J,9,FALSE),1)</f>
        <v>1</v>
      </c>
      <c r="E183" s="128"/>
      <c r="F183" s="129"/>
      <c r="G183" s="58"/>
    </row>
    <row r="184" spans="1:7" ht="18.75" x14ac:dyDescent="0.35">
      <c r="A184" s="18"/>
      <c r="B184" s="153" t="s">
        <v>61</v>
      </c>
      <c r="C184" s="128" t="s">
        <v>695</v>
      </c>
      <c r="D184" s="128">
        <f>IF(D173="Yes",VLOOKUP(TRIM(B184),ExposureGroupParameters!B:J,9,FALSE),1)</f>
        <v>1</v>
      </c>
      <c r="E184" s="128"/>
      <c r="F184" s="129"/>
      <c r="G184" s="58"/>
    </row>
    <row r="185" spans="1:7" ht="18.75" x14ac:dyDescent="0.35">
      <c r="A185" s="18"/>
      <c r="B185" s="153" t="s">
        <v>62</v>
      </c>
      <c r="C185" s="128" t="s">
        <v>696</v>
      </c>
      <c r="D185" s="128">
        <f>IF(D173="Yes",VLOOKUP(TRIM(B185),ExposureGroupParameters!B:J,9,FALSE),1)</f>
        <v>1</v>
      </c>
      <c r="E185" s="128"/>
      <c r="F185" s="129"/>
      <c r="G185" s="58"/>
    </row>
    <row r="186" spans="1:7" ht="18.75" x14ac:dyDescent="0.35">
      <c r="A186" s="18"/>
      <c r="B186" s="188" t="s">
        <v>566</v>
      </c>
      <c r="C186" s="186" t="s">
        <v>697</v>
      </c>
      <c r="D186" s="128">
        <f>IF(D173="Yes",VLOOKUP(TRIM(B186),ExposureGroupParameters!B:J,9,FALSE),1)</f>
        <v>1</v>
      </c>
      <c r="E186" s="131"/>
      <c r="F186" s="132"/>
      <c r="G186" s="58"/>
    </row>
    <row r="187" spans="1:7" x14ac:dyDescent="0.2">
      <c r="A187" s="18"/>
      <c r="B187" s="124" t="s">
        <v>134</v>
      </c>
      <c r="C187" s="125"/>
      <c r="D187" s="125"/>
      <c r="E187" s="125" t="s">
        <v>135</v>
      </c>
      <c r="F187" s="126"/>
      <c r="G187" s="58"/>
    </row>
    <row r="188" spans="1:7" ht="18.75" x14ac:dyDescent="0.35">
      <c r="A188" s="18"/>
      <c r="B188" s="101" t="s">
        <v>562</v>
      </c>
      <c r="C188" s="128" t="s">
        <v>698</v>
      </c>
      <c r="D188" s="128">
        <f>VLOOKUP(TRIM(B188),ExposureGroupParameters!B:J,3,FALSE)</f>
        <v>0.25</v>
      </c>
      <c r="E188" s="128"/>
      <c r="F188" s="129"/>
      <c r="G188" s="58"/>
    </row>
    <row r="189" spans="1:7" ht="18.75" x14ac:dyDescent="0.35">
      <c r="A189" s="18"/>
      <c r="B189" s="153" t="s">
        <v>61</v>
      </c>
      <c r="C189" s="128" t="s">
        <v>699</v>
      </c>
      <c r="D189" s="128">
        <f>VLOOKUP(TRIM(B189),ExposureGroupParameters!B:J,3,FALSE)</f>
        <v>2</v>
      </c>
      <c r="E189" s="128"/>
      <c r="F189" s="129"/>
      <c r="G189" s="58"/>
    </row>
    <row r="190" spans="1:7" ht="18.75" x14ac:dyDescent="0.35">
      <c r="A190" s="18"/>
      <c r="B190" s="153" t="s">
        <v>62</v>
      </c>
      <c r="C190" s="128" t="s">
        <v>700</v>
      </c>
      <c r="D190" s="128">
        <f>VLOOKUP(TRIM(B190),ExposureGroupParameters!B:J,3,FALSE)</f>
        <v>14</v>
      </c>
      <c r="E190" s="128"/>
      <c r="F190" s="129"/>
      <c r="G190" s="58"/>
    </row>
    <row r="191" spans="1:7" ht="18.75" x14ac:dyDescent="0.35">
      <c r="A191" s="18"/>
      <c r="B191" s="188" t="s">
        <v>566</v>
      </c>
      <c r="C191" s="189" t="s">
        <v>701</v>
      </c>
      <c r="D191" s="186">
        <f>VLOOKUP(TRIM(B191),ExposureGroupParameters!B:J,3,FALSE)</f>
        <v>54</v>
      </c>
      <c r="E191" s="189"/>
      <c r="F191" s="190"/>
      <c r="G191" s="58"/>
    </row>
    <row r="192" spans="1:7" x14ac:dyDescent="0.2">
      <c r="A192" s="18"/>
      <c r="B192" s="178" t="s">
        <v>136</v>
      </c>
      <c r="C192" s="191" t="s">
        <v>137</v>
      </c>
      <c r="D192" s="191">
        <f>ScenarioParameters!C10</f>
        <v>70</v>
      </c>
      <c r="E192" s="191" t="s">
        <v>135</v>
      </c>
      <c r="F192" s="192"/>
      <c r="G192" s="58"/>
    </row>
    <row r="193" spans="1:7" ht="18.75" x14ac:dyDescent="0.35">
      <c r="A193" s="18"/>
      <c r="B193" s="124" t="s">
        <v>138</v>
      </c>
      <c r="C193" s="193"/>
      <c r="D193" s="193"/>
      <c r="E193" s="193" t="s">
        <v>57</v>
      </c>
      <c r="F193" s="194" t="s">
        <v>702</v>
      </c>
      <c r="G193" s="58"/>
    </row>
    <row r="194" spans="1:7" ht="18.75" x14ac:dyDescent="0.35">
      <c r="A194" s="18"/>
      <c r="B194" s="101" t="s">
        <v>562</v>
      </c>
      <c r="C194" s="186" t="s">
        <v>703</v>
      </c>
      <c r="D194" s="186">
        <f>D178*D176*D183*D188/D192*POWER(10,6)</f>
        <v>483.23629124847236</v>
      </c>
      <c r="E194" s="186"/>
      <c r="F194" s="195"/>
      <c r="G194" s="58"/>
    </row>
    <row r="195" spans="1:7" ht="18.75" x14ac:dyDescent="0.35">
      <c r="A195" s="18"/>
      <c r="B195" s="153" t="s">
        <v>61</v>
      </c>
      <c r="C195" s="186" t="s">
        <v>704</v>
      </c>
      <c r="D195" s="186">
        <f>D179*D176*D184*D189/D192*POWER(10,6)</f>
        <v>22853.17337469403</v>
      </c>
      <c r="E195" s="186"/>
      <c r="F195" s="195"/>
      <c r="G195" s="58"/>
    </row>
    <row r="196" spans="1:7" ht="18.75" x14ac:dyDescent="0.35">
      <c r="A196" s="18"/>
      <c r="B196" s="153" t="s">
        <v>62</v>
      </c>
      <c r="C196" s="186" t="s">
        <v>705</v>
      </c>
      <c r="D196" s="186">
        <f>D180*D176*D185*D190/D192*POWER(10,6)</f>
        <v>82392.569825443628</v>
      </c>
      <c r="E196" s="186"/>
      <c r="F196" s="195"/>
      <c r="G196" s="58"/>
    </row>
    <row r="197" spans="1:7" ht="18.75" x14ac:dyDescent="0.35">
      <c r="A197" s="18"/>
      <c r="B197" s="188" t="s">
        <v>566</v>
      </c>
      <c r="C197" s="189" t="s">
        <v>706</v>
      </c>
      <c r="D197" s="189">
        <f>D181*D176*D186*D191/D192*POWER(10,6)</f>
        <v>94463.540372208052</v>
      </c>
      <c r="E197" s="189"/>
      <c r="F197" s="190"/>
      <c r="G197" s="58"/>
    </row>
    <row r="198" spans="1:7" ht="18.75" x14ac:dyDescent="0.35">
      <c r="A198" s="18"/>
      <c r="B198" s="196" t="s">
        <v>139</v>
      </c>
      <c r="C198" s="191" t="s">
        <v>707</v>
      </c>
      <c r="D198" s="191">
        <f>ScenarioParameters!C33</f>
        <v>1</v>
      </c>
      <c r="E198" s="191"/>
      <c r="F198" s="192"/>
      <c r="G198" s="58"/>
    </row>
    <row r="199" spans="1:7" ht="18.75" x14ac:dyDescent="0.35">
      <c r="A199" s="18"/>
      <c r="B199" s="196" t="s">
        <v>140</v>
      </c>
      <c r="C199" s="191" t="s">
        <v>708</v>
      </c>
      <c r="D199" s="191">
        <f>IF(D173="Yes",ScenarioParameters!C34,1)</f>
        <v>1</v>
      </c>
      <c r="E199" s="191"/>
      <c r="F199" s="192" t="s">
        <v>128</v>
      </c>
      <c r="G199" s="58"/>
    </row>
    <row r="200" spans="1:7" ht="33" x14ac:dyDescent="0.35">
      <c r="A200" s="18"/>
      <c r="B200" s="196" t="s">
        <v>141</v>
      </c>
      <c r="C200" s="179" t="s">
        <v>709</v>
      </c>
      <c r="D200" s="179" t="str">
        <f>IF(D153="Yes",D168*D176*D199*D198/D192*POWER(10,6),"NA")</f>
        <v>NA</v>
      </c>
      <c r="E200" s="179" t="s">
        <v>57</v>
      </c>
      <c r="F200" s="134" t="s">
        <v>710</v>
      </c>
      <c r="G200" s="58"/>
    </row>
    <row r="201" spans="1:7" ht="18.75" x14ac:dyDescent="0.35">
      <c r="A201" s="18"/>
      <c r="B201" s="178" t="s">
        <v>142</v>
      </c>
      <c r="C201" s="179" t="s">
        <v>711</v>
      </c>
      <c r="D201" s="179">
        <f>SUM(D194:D197)+IF(D153="Yes",D200,0)</f>
        <v>200192.51986359418</v>
      </c>
      <c r="E201" s="179" t="s">
        <v>57</v>
      </c>
      <c r="F201" s="185" t="s">
        <v>712</v>
      </c>
      <c r="G201" s="58"/>
    </row>
    <row r="202" spans="1:7" ht="16.5" x14ac:dyDescent="0.3">
      <c r="A202" s="18"/>
      <c r="B202" s="197" t="s">
        <v>143</v>
      </c>
      <c r="C202" s="198" t="s">
        <v>123</v>
      </c>
      <c r="D202" s="198">
        <f>IFERROR((D175+D201)/D175, "NA")</f>
        <v>47.044279568626656</v>
      </c>
      <c r="E202" s="198" t="s">
        <v>57</v>
      </c>
      <c r="F202" s="199" t="s">
        <v>713</v>
      </c>
      <c r="G202" s="58"/>
    </row>
    <row r="203" spans="1:7" x14ac:dyDescent="0.2">
      <c r="A203" s="24"/>
      <c r="B203" s="142"/>
      <c r="C203" s="142"/>
      <c r="D203" s="142"/>
      <c r="E203" s="142"/>
      <c r="F203" s="142"/>
      <c r="G203" s="200"/>
    </row>
  </sheetData>
  <conditionalFormatting sqref="B60:F91">
    <cfRule type="expression" dxfId="16" priority="2">
      <formula>$D$59="No"</formula>
    </cfRule>
  </conditionalFormatting>
  <conditionalFormatting sqref="B95:F149">
    <cfRule type="expression" dxfId="15" priority="1">
      <formula>$D$59="No"</formula>
    </cfRule>
  </conditionalFormatting>
  <conditionalFormatting sqref="B154:F162">
    <cfRule type="expression" dxfId="14" priority="3">
      <formula>$D$153="No"</formula>
    </cfRule>
  </conditionalFormatting>
  <conditionalFormatting sqref="B166:F168">
    <cfRule type="expression" dxfId="13" priority="4">
      <formula>$D$153="No"</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3419-DC56-45A2-B044-70358605D5AD}">
  <sheetPr codeName="Sheet4">
    <tabColor theme="7" tint="0.59999389629810485"/>
  </sheetPr>
  <dimension ref="A1:G172"/>
  <sheetViews>
    <sheetView showGridLines="0" zoomScaleNormal="100" workbookViewId="0">
      <pane ySplit="1" topLeftCell="A2" activePane="bottomLeft" state="frozen"/>
      <selection pane="bottomLeft" sqref="A1:XFD1048576"/>
    </sheetView>
  </sheetViews>
  <sheetFormatPr defaultRowHeight="14.25" x14ac:dyDescent="0.2"/>
  <cols>
    <col min="1" max="1" width="2.28515625" style="2" customWidth="1"/>
    <col min="2" max="2" width="49" style="2" customWidth="1"/>
    <col min="3" max="3" width="21.7109375" style="2" customWidth="1"/>
    <col min="4" max="4" width="15.28515625" style="2" customWidth="1"/>
    <col min="5" max="5" width="13.7109375" style="2" customWidth="1"/>
    <col min="6" max="6" width="71" style="2" customWidth="1"/>
    <col min="7" max="7" width="2.7109375" style="201" customWidth="1"/>
    <col min="8" max="8" width="13.140625" style="2" customWidth="1"/>
    <col min="9" max="9" width="18.140625" style="2" customWidth="1"/>
    <col min="10" max="10" width="2.28515625" style="2" customWidth="1"/>
    <col min="11" max="11" width="21.42578125" style="2" customWidth="1"/>
    <col min="12" max="12" width="19.42578125" style="2" customWidth="1"/>
    <col min="13" max="16384" width="9.140625" style="2"/>
  </cols>
  <sheetData>
    <row r="1" spans="1:7" ht="20.25" x14ac:dyDescent="0.3">
      <c r="A1" s="41" t="str">
        <f>"Residential Noncancer Calculations: " &amp; MPAFs!B4</f>
        <v>Residential Noncancer Calculations: 7440-38-2 | Arsenic and inorganic compounds</v>
      </c>
      <c r="B1" s="42"/>
      <c r="C1" s="42"/>
      <c r="D1" s="42"/>
      <c r="E1" s="42"/>
      <c r="F1" s="42"/>
      <c r="G1" s="43"/>
    </row>
    <row r="2" spans="1:7" s="47" customFormat="1" ht="16.5" x14ac:dyDescent="0.3">
      <c r="A2" s="44" t="s">
        <v>540</v>
      </c>
      <c r="B2" s="45"/>
      <c r="C2" s="45"/>
      <c r="D2" s="45"/>
      <c r="E2" s="45"/>
      <c r="F2" s="45"/>
      <c r="G2" s="46"/>
    </row>
    <row r="3" spans="1:7" s="53" customFormat="1" ht="15" x14ac:dyDescent="0.25">
      <c r="A3" s="48"/>
      <c r="B3" s="49" t="s">
        <v>26</v>
      </c>
      <c r="C3" s="50" t="s">
        <v>27</v>
      </c>
      <c r="D3" s="50" t="s">
        <v>28</v>
      </c>
      <c r="E3" s="50" t="s">
        <v>29</v>
      </c>
      <c r="F3" s="51" t="s">
        <v>30</v>
      </c>
      <c r="G3" s="52"/>
    </row>
    <row r="4" spans="1:7" ht="17.25" x14ac:dyDescent="0.25">
      <c r="A4" s="54"/>
      <c r="B4" s="55" t="s">
        <v>31</v>
      </c>
      <c r="C4" s="56" t="s">
        <v>541</v>
      </c>
      <c r="D4" s="56">
        <f>ScenarioParameters!C2</f>
        <v>1</v>
      </c>
      <c r="E4" s="56" t="s">
        <v>542</v>
      </c>
      <c r="F4" s="57" t="s">
        <v>32</v>
      </c>
      <c r="G4" s="58"/>
    </row>
    <row r="5" spans="1:7" ht="15" x14ac:dyDescent="0.25">
      <c r="A5" s="54"/>
      <c r="B5" s="59"/>
      <c r="C5" s="59"/>
      <c r="D5" s="59"/>
      <c r="E5" s="59"/>
      <c r="F5" s="202"/>
      <c r="G5" s="58"/>
    </row>
    <row r="6" spans="1:7" s="47" customFormat="1" ht="16.5" x14ac:dyDescent="0.3">
      <c r="A6" s="44" t="s">
        <v>543</v>
      </c>
      <c r="B6" s="60"/>
      <c r="C6" s="60"/>
      <c r="D6" s="60"/>
      <c r="E6" s="60"/>
      <c r="F6" s="60"/>
      <c r="G6" s="46"/>
    </row>
    <row r="7" spans="1:7" s="53" customFormat="1" ht="15" x14ac:dyDescent="0.25">
      <c r="A7" s="48"/>
      <c r="B7" s="49" t="s">
        <v>26</v>
      </c>
      <c r="C7" s="50" t="s">
        <v>27</v>
      </c>
      <c r="D7" s="50" t="s">
        <v>28</v>
      </c>
      <c r="E7" s="50" t="s">
        <v>29</v>
      </c>
      <c r="F7" s="51" t="s">
        <v>30</v>
      </c>
      <c r="G7" s="52"/>
    </row>
    <row r="8" spans="1:7" ht="18.75" x14ac:dyDescent="0.25">
      <c r="A8" s="54"/>
      <c r="B8" s="61" t="s">
        <v>33</v>
      </c>
      <c r="C8" s="62" t="s">
        <v>544</v>
      </c>
      <c r="D8" s="62">
        <f>VLOOKUP(MPAFs!B4,ChemicalProperties!D:I,6,FALSE)</f>
        <v>100000000</v>
      </c>
      <c r="E8" s="62" t="s">
        <v>34</v>
      </c>
      <c r="F8" s="203"/>
      <c r="G8" s="58"/>
    </row>
    <row r="9" spans="1:7" ht="33" x14ac:dyDescent="0.25">
      <c r="A9" s="54"/>
      <c r="B9" s="64" t="s">
        <v>35</v>
      </c>
      <c r="C9" s="65" t="s">
        <v>545</v>
      </c>
      <c r="D9" s="65">
        <f>LN(2)/D8</f>
        <v>6.9314718055994528E-9</v>
      </c>
      <c r="E9" s="65" t="s">
        <v>546</v>
      </c>
      <c r="F9" s="204" t="s">
        <v>714</v>
      </c>
      <c r="G9" s="58"/>
    </row>
    <row r="10" spans="1:7" ht="18.75" x14ac:dyDescent="0.25">
      <c r="A10" s="54"/>
      <c r="B10" s="64" t="s">
        <v>36</v>
      </c>
      <c r="C10" s="65" t="s">
        <v>548</v>
      </c>
      <c r="D10" s="65">
        <f>ScenarioParameters!C3</f>
        <v>0</v>
      </c>
      <c r="E10" s="65" t="s">
        <v>34</v>
      </c>
      <c r="F10" s="204" t="s">
        <v>37</v>
      </c>
      <c r="G10" s="58"/>
    </row>
    <row r="11" spans="1:7" ht="18.75" x14ac:dyDescent="0.25">
      <c r="A11" s="54"/>
      <c r="B11" s="64" t="s">
        <v>38</v>
      </c>
      <c r="C11" s="65" t="s">
        <v>549</v>
      </c>
      <c r="D11" s="65">
        <f>ScenarioParameters!C4</f>
        <v>25550</v>
      </c>
      <c r="E11" s="65" t="s">
        <v>34</v>
      </c>
      <c r="F11" s="204" t="s">
        <v>39</v>
      </c>
      <c r="G11" s="58"/>
    </row>
    <row r="12" spans="1:7" ht="18.75" x14ac:dyDescent="0.25">
      <c r="A12" s="54"/>
      <c r="B12" s="64" t="s">
        <v>439</v>
      </c>
      <c r="C12" s="65" t="s">
        <v>550</v>
      </c>
      <c r="D12" s="65">
        <f>D11-D10</f>
        <v>25550</v>
      </c>
      <c r="E12" s="65" t="s">
        <v>34</v>
      </c>
      <c r="F12" s="205" t="s">
        <v>715</v>
      </c>
      <c r="G12" s="58"/>
    </row>
    <row r="13" spans="1:7" ht="30.75" x14ac:dyDescent="0.25">
      <c r="A13" s="54"/>
      <c r="B13" s="64" t="s">
        <v>40</v>
      </c>
      <c r="C13" s="65" t="s">
        <v>41</v>
      </c>
      <c r="D13" s="65">
        <f>((EXP(-D9*D11)-EXP(-D9*D10))/D9)+D12</f>
        <v>2.2623075160227017</v>
      </c>
      <c r="E13" s="65" t="s">
        <v>34</v>
      </c>
      <c r="F13" s="204" t="s">
        <v>716</v>
      </c>
      <c r="G13" s="58"/>
    </row>
    <row r="14" spans="1:7" ht="15" x14ac:dyDescent="0.25">
      <c r="A14" s="54"/>
      <c r="B14" s="64" t="s">
        <v>42</v>
      </c>
      <c r="C14" s="65" t="s">
        <v>43</v>
      </c>
      <c r="D14" s="65">
        <f>ScenarioParameters!C5</f>
        <v>0.02</v>
      </c>
      <c r="E14" s="65" t="s">
        <v>44</v>
      </c>
      <c r="F14" s="205" t="s">
        <v>45</v>
      </c>
      <c r="G14" s="58"/>
    </row>
    <row r="15" spans="1:7" ht="33" x14ac:dyDescent="0.25">
      <c r="A15" s="54"/>
      <c r="B15" s="64" t="s">
        <v>46</v>
      </c>
      <c r="C15" s="65" t="s">
        <v>47</v>
      </c>
      <c r="D15" s="65">
        <f>D4*D14*86400</f>
        <v>1728</v>
      </c>
      <c r="E15" s="65" t="s">
        <v>553</v>
      </c>
      <c r="F15" s="66" t="s">
        <v>554</v>
      </c>
      <c r="G15" s="58"/>
    </row>
    <row r="16" spans="1:7" ht="16.5" x14ac:dyDescent="0.25">
      <c r="A16" s="54"/>
      <c r="B16" s="64" t="s">
        <v>48</v>
      </c>
      <c r="C16" s="65" t="s">
        <v>49</v>
      </c>
      <c r="D16" s="65">
        <f>ScenarioParameters!C6</f>
        <v>1333</v>
      </c>
      <c r="E16" s="65" t="s">
        <v>555</v>
      </c>
      <c r="F16" s="67"/>
      <c r="G16" s="58"/>
    </row>
    <row r="17" spans="1:7" s="53" customFormat="1" ht="15" x14ac:dyDescent="0.25">
      <c r="A17" s="48"/>
      <c r="B17" s="68" t="s">
        <v>50</v>
      </c>
      <c r="C17" s="69"/>
      <c r="D17" s="70"/>
      <c r="E17" s="69" t="s">
        <v>51</v>
      </c>
      <c r="F17" s="71"/>
      <c r="G17" s="52"/>
    </row>
    <row r="18" spans="1:7" ht="15.6" customHeight="1" x14ac:dyDescent="0.25">
      <c r="A18" s="54"/>
      <c r="B18" s="72" t="s">
        <v>52</v>
      </c>
      <c r="C18" s="73" t="s">
        <v>556</v>
      </c>
      <c r="D18" s="73">
        <f>ScenarioParameters!C8</f>
        <v>0.01</v>
      </c>
      <c r="E18" s="73"/>
      <c r="F18" s="74"/>
      <c r="G18" s="58"/>
    </row>
    <row r="19" spans="1:7" ht="14.45" customHeight="1" x14ac:dyDescent="0.25">
      <c r="A19" s="54"/>
      <c r="B19" s="75" t="s">
        <v>53</v>
      </c>
      <c r="C19" s="73" t="s">
        <v>557</v>
      </c>
      <c r="D19" s="76">
        <f>ScenarioParameters!C9</f>
        <v>0.15</v>
      </c>
      <c r="E19" s="77"/>
      <c r="F19" s="78"/>
      <c r="G19" s="58"/>
    </row>
    <row r="20" spans="1:7" ht="31.5" x14ac:dyDescent="0.25">
      <c r="A20" s="54"/>
      <c r="B20" s="79" t="s">
        <v>54</v>
      </c>
      <c r="C20" s="80"/>
      <c r="D20" s="81"/>
      <c r="E20" s="82" t="s">
        <v>88</v>
      </c>
      <c r="F20" s="83" t="s">
        <v>558</v>
      </c>
      <c r="G20" s="58"/>
    </row>
    <row r="21" spans="1:7" ht="16.5" x14ac:dyDescent="0.25">
      <c r="A21" s="54"/>
      <c r="B21" s="84" t="s">
        <v>52</v>
      </c>
      <c r="C21" s="85" t="s">
        <v>559</v>
      </c>
      <c r="D21" s="82">
        <f>D15*D13/(D9*D18*D16*D12)</f>
        <v>1655956.2611960184</v>
      </c>
      <c r="E21" s="82"/>
      <c r="F21" s="86"/>
      <c r="G21" s="58"/>
    </row>
    <row r="22" spans="1:7" ht="16.5" x14ac:dyDescent="0.2">
      <c r="A22" s="87"/>
      <c r="B22" s="88" t="s">
        <v>53</v>
      </c>
      <c r="C22" s="89" t="s">
        <v>560</v>
      </c>
      <c r="D22" s="90">
        <f>D15*D13/(D9*D19*D16*D12)</f>
        <v>110397.08407973457</v>
      </c>
      <c r="E22" s="90"/>
      <c r="F22" s="91"/>
      <c r="G22" s="58"/>
    </row>
    <row r="23" spans="1:7" ht="15" x14ac:dyDescent="0.25">
      <c r="A23" s="54"/>
      <c r="G23" s="58"/>
    </row>
    <row r="24" spans="1:7" s="47" customFormat="1" ht="16.5" x14ac:dyDescent="0.3">
      <c r="A24" s="44" t="s">
        <v>561</v>
      </c>
      <c r="B24" s="45"/>
      <c r="C24" s="45"/>
      <c r="D24" s="45"/>
      <c r="E24" s="45"/>
      <c r="F24" s="45"/>
      <c r="G24" s="46"/>
    </row>
    <row r="25" spans="1:7" s="53" customFormat="1" ht="15" x14ac:dyDescent="0.25">
      <c r="A25" s="48"/>
      <c r="B25" s="49" t="s">
        <v>26</v>
      </c>
      <c r="C25" s="50" t="s">
        <v>27</v>
      </c>
      <c r="D25" s="50" t="s">
        <v>28</v>
      </c>
      <c r="E25" s="50" t="s">
        <v>29</v>
      </c>
      <c r="F25" s="51" t="s">
        <v>30</v>
      </c>
      <c r="G25" s="92"/>
    </row>
    <row r="26" spans="1:7" x14ac:dyDescent="0.2">
      <c r="A26" s="18"/>
      <c r="B26" s="93" t="s">
        <v>55</v>
      </c>
      <c r="C26" s="62" t="s">
        <v>56</v>
      </c>
      <c r="D26" s="62">
        <f>VLOOKUP(MPAFs!B4,ChemicalProperties!D:N,11,FALSE)</f>
        <v>0.6</v>
      </c>
      <c r="E26" s="94" t="s">
        <v>57</v>
      </c>
      <c r="F26" s="95"/>
      <c r="G26" s="96"/>
    </row>
    <row r="27" spans="1:7" x14ac:dyDescent="0.2">
      <c r="A27" s="18"/>
      <c r="B27" s="97" t="s">
        <v>58</v>
      </c>
      <c r="C27" s="98"/>
      <c r="D27" s="98"/>
      <c r="E27" s="99" t="s">
        <v>59</v>
      </c>
      <c r="F27" s="100"/>
      <c r="G27" s="96"/>
    </row>
    <row r="28" spans="1:7" ht="18.75" x14ac:dyDescent="0.2">
      <c r="A28" s="18"/>
      <c r="B28" s="206" t="s">
        <v>61</v>
      </c>
      <c r="C28" s="207" t="s">
        <v>717</v>
      </c>
      <c r="D28" s="207">
        <f>VLOOKUP(TRIM(B28),ExposureGroupParameters!B:D,2,FALSE)</f>
        <v>15.18</v>
      </c>
      <c r="E28" s="208"/>
      <c r="F28" s="209" t="s">
        <v>144</v>
      </c>
      <c r="G28" s="96"/>
    </row>
    <row r="29" spans="1:7" ht="18.75" x14ac:dyDescent="0.2">
      <c r="A29" s="18"/>
      <c r="B29" s="206" t="s">
        <v>62</v>
      </c>
      <c r="C29" s="207" t="s">
        <v>718</v>
      </c>
      <c r="D29" s="207">
        <f>VLOOKUP(TRIM(B29),ExposureGroupParameters!B:D,2,FALSE)</f>
        <v>6.79</v>
      </c>
      <c r="E29" s="208"/>
      <c r="F29" s="209"/>
      <c r="G29" s="96"/>
    </row>
    <row r="30" spans="1:7" ht="18.75" x14ac:dyDescent="0.2">
      <c r="A30" s="18"/>
      <c r="B30" s="206" t="s">
        <v>566</v>
      </c>
      <c r="C30" s="207" t="s">
        <v>719</v>
      </c>
      <c r="D30" s="207">
        <f>VLOOKUP(TRIM(B30),ExposureGroupParameters!B:D,2,FALSE)</f>
        <v>1.39</v>
      </c>
      <c r="E30" s="208"/>
      <c r="F30" s="209"/>
      <c r="G30" s="96"/>
    </row>
    <row r="31" spans="1:7" ht="18.75" x14ac:dyDescent="0.2">
      <c r="A31" s="18"/>
      <c r="B31" s="210" t="s">
        <v>63</v>
      </c>
      <c r="C31" s="207" t="s">
        <v>720</v>
      </c>
      <c r="D31" s="207">
        <f>VLOOKUP(TRIM(B31),ExposureGroupParameters!B:D,2,FALSE)</f>
        <v>1.8</v>
      </c>
      <c r="E31" s="211"/>
      <c r="F31" s="212" t="s">
        <v>64</v>
      </c>
      <c r="G31" s="96"/>
    </row>
    <row r="32" spans="1:7" x14ac:dyDescent="0.2">
      <c r="A32" s="18"/>
      <c r="B32" s="213" t="s">
        <v>134</v>
      </c>
      <c r="C32" s="174"/>
      <c r="D32" s="174"/>
      <c r="E32" s="214" t="s">
        <v>135</v>
      </c>
      <c r="F32" s="215"/>
      <c r="G32" s="96"/>
    </row>
    <row r="33" spans="1:7" ht="18.75" x14ac:dyDescent="0.2">
      <c r="A33" s="18"/>
      <c r="B33" s="206" t="s">
        <v>61</v>
      </c>
      <c r="C33" s="207" t="s">
        <v>721</v>
      </c>
      <c r="D33" s="207">
        <f>VLOOKUP(TRIM(B33),ExposureGroupParameters!B:D,3,FALSE)</f>
        <v>2</v>
      </c>
      <c r="E33" s="208"/>
      <c r="F33" s="209" t="s">
        <v>144</v>
      </c>
      <c r="G33" s="96"/>
    </row>
    <row r="34" spans="1:7" ht="18.75" x14ac:dyDescent="0.2">
      <c r="A34" s="18"/>
      <c r="B34" s="206" t="s">
        <v>62</v>
      </c>
      <c r="C34" s="207" t="s">
        <v>722</v>
      </c>
      <c r="D34" s="207">
        <f>VLOOKUP(TRIM(B34),ExposureGroupParameters!B:D,3,FALSE)</f>
        <v>14</v>
      </c>
      <c r="E34" s="208"/>
      <c r="F34" s="209"/>
      <c r="G34" s="96"/>
    </row>
    <row r="35" spans="1:7" ht="18.75" x14ac:dyDescent="0.2">
      <c r="A35" s="18"/>
      <c r="B35" s="206" t="s">
        <v>566</v>
      </c>
      <c r="C35" s="207" t="s">
        <v>701</v>
      </c>
      <c r="D35" s="207">
        <f>VLOOKUP(TRIM(B35),ExposureGroupParameters!B:D,3,FALSE)</f>
        <v>54</v>
      </c>
      <c r="E35" s="208"/>
      <c r="F35" s="209"/>
      <c r="G35" s="96"/>
    </row>
    <row r="36" spans="1:7" ht="18.75" x14ac:dyDescent="0.2">
      <c r="A36" s="18"/>
      <c r="B36" s="210" t="s">
        <v>63</v>
      </c>
      <c r="C36" s="207" t="s">
        <v>723</v>
      </c>
      <c r="D36" s="207">
        <f>VLOOKUP(TRIM(B36),ExposureGroupParameters!B:D,3,FALSE)</f>
        <v>1</v>
      </c>
      <c r="E36" s="211"/>
      <c r="F36" s="212"/>
      <c r="G36" s="96"/>
    </row>
    <row r="37" spans="1:7" x14ac:dyDescent="0.2">
      <c r="A37" s="18"/>
      <c r="B37" s="216" t="s">
        <v>145</v>
      </c>
      <c r="C37" s="173" t="s">
        <v>137</v>
      </c>
      <c r="D37" s="173">
        <f>ScenarioParameters!C11</f>
        <v>2</v>
      </c>
      <c r="E37" s="217" t="s">
        <v>135</v>
      </c>
      <c r="F37" s="218" t="s">
        <v>146</v>
      </c>
      <c r="G37" s="96"/>
    </row>
    <row r="38" spans="1:7" ht="47.25" x14ac:dyDescent="0.2">
      <c r="A38" s="18"/>
      <c r="B38" s="213" t="s">
        <v>67</v>
      </c>
      <c r="C38" s="174"/>
      <c r="D38" s="174"/>
      <c r="E38" s="214" t="s">
        <v>59</v>
      </c>
      <c r="F38" s="219" t="s">
        <v>724</v>
      </c>
      <c r="G38" s="96"/>
    </row>
    <row r="39" spans="1:7" ht="18.75" x14ac:dyDescent="0.2">
      <c r="A39" s="18"/>
      <c r="B39" s="206" t="s">
        <v>61</v>
      </c>
      <c r="C39" s="207" t="s">
        <v>725</v>
      </c>
      <c r="D39" s="207">
        <f>D21*D26*D28*D33/D37*POWER(10,-9)</f>
        <v>1.5082449626973336E-2</v>
      </c>
      <c r="E39" s="208"/>
      <c r="F39" s="209" t="s">
        <v>144</v>
      </c>
      <c r="G39" s="96"/>
    </row>
    <row r="40" spans="1:7" ht="18.75" x14ac:dyDescent="0.2">
      <c r="A40" s="18"/>
      <c r="B40" s="103" t="s">
        <v>62</v>
      </c>
      <c r="C40" s="73" t="s">
        <v>726</v>
      </c>
      <c r="D40" s="73">
        <f>D21*D26*D29*D34/D37*POWER(10,-9)</f>
        <v>4.7224560656788053E-2</v>
      </c>
      <c r="E40" s="102"/>
      <c r="F40" s="74"/>
      <c r="G40" s="96"/>
    </row>
    <row r="41" spans="1:7" ht="18.75" x14ac:dyDescent="0.2">
      <c r="A41" s="18"/>
      <c r="B41" s="101" t="s">
        <v>566</v>
      </c>
      <c r="C41" s="73" t="s">
        <v>727</v>
      </c>
      <c r="D41" s="73">
        <f>D21*D26*D30*D35/D37*POWER(10,-9)</f>
        <v>3.7288823089611942E-2</v>
      </c>
      <c r="E41" s="102"/>
      <c r="F41" s="74"/>
      <c r="G41" s="96"/>
    </row>
    <row r="42" spans="1:7" ht="18.75" x14ac:dyDescent="0.2">
      <c r="A42" s="18"/>
      <c r="B42" s="104" t="s">
        <v>63</v>
      </c>
      <c r="C42" s="73" t="s">
        <v>728</v>
      </c>
      <c r="D42" s="73">
        <f>D21*D26*D31*D36/D37*POWER(10,-9)</f>
        <v>8.9421638104584991E-4</v>
      </c>
      <c r="E42" s="102"/>
      <c r="F42" s="74"/>
      <c r="G42" s="96"/>
    </row>
    <row r="43" spans="1:7" ht="16.5" x14ac:dyDescent="0.2">
      <c r="A43" s="18"/>
      <c r="B43" s="220" t="s">
        <v>147</v>
      </c>
      <c r="C43" s="176" t="s">
        <v>729</v>
      </c>
      <c r="D43" s="176">
        <f>D39</f>
        <v>1.5082449626973336E-2</v>
      </c>
      <c r="E43" s="221" t="s">
        <v>59</v>
      </c>
      <c r="F43" s="222" t="s">
        <v>730</v>
      </c>
      <c r="G43" s="96"/>
    </row>
    <row r="44" spans="1:7" x14ac:dyDescent="0.2">
      <c r="A44" s="18"/>
      <c r="F44" s="47"/>
      <c r="G44" s="58"/>
    </row>
    <row r="45" spans="1:7" s="47" customFormat="1" ht="16.5" x14ac:dyDescent="0.3">
      <c r="A45" s="44" t="s">
        <v>576</v>
      </c>
      <c r="B45" s="45"/>
      <c r="C45" s="45"/>
      <c r="D45" s="45"/>
      <c r="E45" s="45"/>
      <c r="F45" s="45"/>
      <c r="G45" s="46"/>
    </row>
    <row r="46" spans="1:7" s="53" customFormat="1" ht="15" x14ac:dyDescent="0.25">
      <c r="A46" s="48"/>
      <c r="B46" s="49" t="s">
        <v>26</v>
      </c>
      <c r="C46" s="50" t="s">
        <v>27</v>
      </c>
      <c r="D46" s="50" t="s">
        <v>28</v>
      </c>
      <c r="E46" s="50" t="s">
        <v>29</v>
      </c>
      <c r="F46" s="51" t="s">
        <v>30</v>
      </c>
      <c r="G46" s="92"/>
    </row>
    <row r="47" spans="1:7" x14ac:dyDescent="0.2">
      <c r="A47" s="18"/>
      <c r="B47" s="115" t="s">
        <v>68</v>
      </c>
      <c r="C47" s="62" t="s">
        <v>69</v>
      </c>
      <c r="D47" s="62">
        <f>VLOOKUP(MPAFs!B4,ChemicalProperties!D:O,12,FALSE)</f>
        <v>0.03</v>
      </c>
      <c r="E47" s="62" t="s">
        <v>57</v>
      </c>
      <c r="F47" s="203" t="s">
        <v>70</v>
      </c>
      <c r="G47" s="96"/>
    </row>
    <row r="48" spans="1:7" x14ac:dyDescent="0.2">
      <c r="A48" s="18"/>
      <c r="B48" s="116" t="s">
        <v>71</v>
      </c>
      <c r="C48" s="98"/>
      <c r="D48" s="98"/>
      <c r="E48" s="98" t="s">
        <v>72</v>
      </c>
      <c r="F48" s="215"/>
      <c r="G48" s="96"/>
    </row>
    <row r="49" spans="1:7" ht="18.75" x14ac:dyDescent="0.2">
      <c r="A49" s="18"/>
      <c r="B49" s="103" t="s">
        <v>61</v>
      </c>
      <c r="C49" s="73" t="s">
        <v>578</v>
      </c>
      <c r="D49" s="73">
        <f>VLOOKUP(TRIM(B49),ExposureGroupParameters!B:I,8,FALSE)</f>
        <v>3600</v>
      </c>
      <c r="E49" s="73"/>
      <c r="F49" s="209" t="s">
        <v>144</v>
      </c>
      <c r="G49" s="96"/>
    </row>
    <row r="50" spans="1:7" ht="18.75" x14ac:dyDescent="0.2">
      <c r="A50" s="18"/>
      <c r="B50" s="103" t="s">
        <v>62</v>
      </c>
      <c r="C50" s="73" t="s">
        <v>579</v>
      </c>
      <c r="D50" s="73">
        <f>VLOOKUP(TRIM(B50),ExposureGroupParameters!B:I,8,FALSE)</f>
        <v>6400</v>
      </c>
      <c r="E50" s="73"/>
      <c r="F50" s="209"/>
      <c r="G50" s="96"/>
    </row>
    <row r="51" spans="1:7" ht="18.75" x14ac:dyDescent="0.2">
      <c r="A51" s="18"/>
      <c r="B51" s="103" t="s">
        <v>566</v>
      </c>
      <c r="C51" s="73" t="s">
        <v>580</v>
      </c>
      <c r="D51" s="73">
        <f>VLOOKUP(TRIM(B51),ExposureGroupParameters!B:I,8,FALSE)</f>
        <v>1200</v>
      </c>
      <c r="E51" s="73"/>
      <c r="F51" s="209"/>
      <c r="G51" s="96"/>
    </row>
    <row r="52" spans="1:7" ht="18.75" x14ac:dyDescent="0.2">
      <c r="A52" s="18"/>
      <c r="B52" s="104" t="s">
        <v>63</v>
      </c>
      <c r="C52" s="73" t="s">
        <v>581</v>
      </c>
      <c r="D52" s="73">
        <f>VLOOKUP(TRIM(B52),ExposureGroupParameters!B:I,8,FALSE)</f>
        <v>1200</v>
      </c>
      <c r="E52" s="76"/>
      <c r="F52" s="212" t="s">
        <v>64</v>
      </c>
      <c r="G52" s="96"/>
    </row>
    <row r="53" spans="1:7" ht="37.5" customHeight="1" x14ac:dyDescent="0.2">
      <c r="A53" s="18"/>
      <c r="B53" s="116" t="s">
        <v>148</v>
      </c>
      <c r="C53" s="98"/>
      <c r="D53" s="98"/>
      <c r="E53" s="98" t="s">
        <v>59</v>
      </c>
      <c r="F53" s="219" t="s">
        <v>731</v>
      </c>
      <c r="G53" s="96"/>
    </row>
    <row r="54" spans="1:7" ht="18.75" x14ac:dyDescent="0.2">
      <c r="A54" s="18"/>
      <c r="B54" s="103" t="s">
        <v>61</v>
      </c>
      <c r="C54" s="73" t="s">
        <v>732</v>
      </c>
      <c r="D54" s="73">
        <f>D49*D21*D47*D33/D37*1/350*POWER(10,-9)</f>
        <v>5.1098078916905711E-4</v>
      </c>
      <c r="E54" s="73"/>
      <c r="F54" s="209" t="s">
        <v>144</v>
      </c>
      <c r="G54" s="96"/>
    </row>
    <row r="55" spans="1:7" ht="18.75" x14ac:dyDescent="0.2">
      <c r="A55" s="18"/>
      <c r="B55" s="103" t="s">
        <v>62</v>
      </c>
      <c r="C55" s="73" t="s">
        <v>733</v>
      </c>
      <c r="D55" s="73">
        <f>D50*D21*D47*D34/D37*1/350*POWER(10,-9)</f>
        <v>6.3588720429927125E-3</v>
      </c>
      <c r="E55" s="73"/>
      <c r="F55" s="209"/>
      <c r="G55" s="96"/>
    </row>
    <row r="56" spans="1:7" ht="18.75" x14ac:dyDescent="0.2">
      <c r="A56" s="18"/>
      <c r="B56" s="103" t="s">
        <v>566</v>
      </c>
      <c r="C56" s="73" t="s">
        <v>734</v>
      </c>
      <c r="D56" s="73">
        <f>D51*D21*D47*D35/D37*1/350*POWER(10,-9)</f>
        <v>4.5988271025215136E-3</v>
      </c>
      <c r="E56" s="73"/>
      <c r="F56" s="209"/>
      <c r="G56" s="96"/>
    </row>
    <row r="57" spans="1:7" ht="18.75" x14ac:dyDescent="0.2">
      <c r="A57" s="18"/>
      <c r="B57" s="104" t="s">
        <v>63</v>
      </c>
      <c r="C57" s="73" t="s">
        <v>735</v>
      </c>
      <c r="D57" s="76">
        <f>D52*D21*D47*D36/D37*1/350*POWER(10,-9)</f>
        <v>8.5163464861509513E-5</v>
      </c>
      <c r="E57" s="76"/>
      <c r="F57" s="212"/>
      <c r="G57" s="96"/>
    </row>
    <row r="58" spans="1:7" ht="16.5" x14ac:dyDescent="0.2">
      <c r="A58" s="18"/>
      <c r="B58" s="223" t="s">
        <v>149</v>
      </c>
      <c r="C58" s="176" t="s">
        <v>736</v>
      </c>
      <c r="D58" s="176">
        <f>D54</f>
        <v>5.1098078916905711E-4</v>
      </c>
      <c r="E58" s="176" t="s">
        <v>59</v>
      </c>
      <c r="F58" s="222" t="s">
        <v>737</v>
      </c>
      <c r="G58" s="96"/>
    </row>
    <row r="59" spans="1:7" x14ac:dyDescent="0.2">
      <c r="A59" s="18"/>
      <c r="G59" s="58"/>
    </row>
    <row r="60" spans="1:7" s="47" customFormat="1" ht="16.5" x14ac:dyDescent="0.3">
      <c r="A60" s="44" t="s">
        <v>588</v>
      </c>
      <c r="B60" s="45"/>
      <c r="C60" s="45"/>
      <c r="D60" s="45"/>
      <c r="E60" s="45"/>
      <c r="F60" s="45"/>
      <c r="G60" s="46"/>
    </row>
    <row r="61" spans="1:7" s="53" customFormat="1" ht="15" x14ac:dyDescent="0.25">
      <c r="A61" s="48"/>
      <c r="B61" s="49" t="s">
        <v>26</v>
      </c>
      <c r="C61" s="50" t="s">
        <v>27</v>
      </c>
      <c r="D61" s="50" t="s">
        <v>28</v>
      </c>
      <c r="E61" s="50" t="s">
        <v>29</v>
      </c>
      <c r="F61" s="119" t="s">
        <v>30</v>
      </c>
      <c r="G61" s="92"/>
    </row>
    <row r="62" spans="1:7" ht="15" x14ac:dyDescent="0.25">
      <c r="A62" s="54"/>
      <c r="B62" s="61" t="s">
        <v>74</v>
      </c>
      <c r="C62" s="94"/>
      <c r="D62" s="62" t="str">
        <f>VLOOKUP(MPAFs!B4,ChemicalProperties!D:S,15,FALSE)</f>
        <v>Yes</v>
      </c>
      <c r="E62" s="94"/>
      <c r="F62" s="95"/>
      <c r="G62" s="96"/>
    </row>
    <row r="63" spans="1:7" ht="16.5" x14ac:dyDescent="0.25">
      <c r="A63" s="54"/>
      <c r="B63" s="61" t="s">
        <v>75</v>
      </c>
      <c r="C63" s="94" t="s">
        <v>76</v>
      </c>
      <c r="D63" s="120">
        <f>ScenarioParameters!C17</f>
        <v>0.1</v>
      </c>
      <c r="E63" s="94" t="s">
        <v>546</v>
      </c>
      <c r="F63" s="95"/>
      <c r="G63" s="96"/>
    </row>
    <row r="64" spans="1:7" ht="16.5" x14ac:dyDescent="0.25">
      <c r="A64" s="54"/>
      <c r="B64" s="64" t="s">
        <v>77</v>
      </c>
      <c r="C64" s="121" t="s">
        <v>78</v>
      </c>
      <c r="D64" s="122">
        <f>ScenarioParameters!C18</f>
        <v>2</v>
      </c>
      <c r="E64" s="121" t="s">
        <v>589</v>
      </c>
      <c r="F64" s="123"/>
      <c r="G64" s="96"/>
    </row>
    <row r="65" spans="1:7" ht="15" x14ac:dyDescent="0.25">
      <c r="A65" s="54"/>
      <c r="B65" s="124" t="s">
        <v>79</v>
      </c>
      <c r="C65" s="125"/>
      <c r="D65" s="125"/>
      <c r="E65" s="125" t="s">
        <v>57</v>
      </c>
      <c r="F65" s="126"/>
      <c r="G65" s="96"/>
    </row>
    <row r="66" spans="1:7" ht="18.75" x14ac:dyDescent="0.35">
      <c r="A66" s="54"/>
      <c r="B66" s="127" t="s">
        <v>80</v>
      </c>
      <c r="C66" s="128" t="s">
        <v>590</v>
      </c>
      <c r="D66" s="128">
        <f>ScenarioParameters!C19</f>
        <v>0</v>
      </c>
      <c r="E66" s="128"/>
      <c r="F66" s="129"/>
      <c r="G66" s="96"/>
    </row>
    <row r="67" spans="1:7" ht="18.75" x14ac:dyDescent="0.35">
      <c r="A67" s="54"/>
      <c r="B67" s="127" t="s">
        <v>81</v>
      </c>
      <c r="C67" s="128" t="s">
        <v>591</v>
      </c>
      <c r="D67" s="128">
        <f>ScenarioParameters!C20</f>
        <v>0.2</v>
      </c>
      <c r="E67" s="128"/>
      <c r="F67" s="129"/>
      <c r="G67" s="96"/>
    </row>
    <row r="68" spans="1:7" ht="18.75" x14ac:dyDescent="0.35">
      <c r="A68" s="54"/>
      <c r="B68" s="127" t="s">
        <v>82</v>
      </c>
      <c r="C68" s="128" t="s">
        <v>592</v>
      </c>
      <c r="D68" s="128">
        <f>ScenarioParameters!C21</f>
        <v>0</v>
      </c>
      <c r="E68" s="128"/>
      <c r="F68" s="129"/>
      <c r="G68" s="96"/>
    </row>
    <row r="69" spans="1:7" ht="18.75" x14ac:dyDescent="0.35">
      <c r="A69" s="54"/>
      <c r="B69" s="130" t="s">
        <v>83</v>
      </c>
      <c r="C69" s="131" t="s">
        <v>593</v>
      </c>
      <c r="D69" s="128">
        <f>ScenarioParameters!C22</f>
        <v>0.1</v>
      </c>
      <c r="E69" s="131"/>
      <c r="F69" s="132"/>
      <c r="G69" s="96"/>
    </row>
    <row r="70" spans="1:7" ht="15" x14ac:dyDescent="0.25">
      <c r="A70" s="54"/>
      <c r="B70" s="124" t="s">
        <v>84</v>
      </c>
      <c r="C70" s="125"/>
      <c r="D70" s="125"/>
      <c r="E70" s="125" t="s">
        <v>34</v>
      </c>
      <c r="F70" s="126"/>
      <c r="G70" s="96"/>
    </row>
    <row r="71" spans="1:7" ht="18.75" x14ac:dyDescent="0.35">
      <c r="A71" s="54"/>
      <c r="B71" s="127" t="s">
        <v>80</v>
      </c>
      <c r="C71" s="128" t="s">
        <v>594</v>
      </c>
      <c r="D71" s="128">
        <f>ScenarioParameters!C23</f>
        <v>0</v>
      </c>
      <c r="E71" s="128"/>
      <c r="F71" s="129"/>
      <c r="G71" s="96"/>
    </row>
    <row r="72" spans="1:7" ht="18.75" x14ac:dyDescent="0.35">
      <c r="A72" s="54"/>
      <c r="B72" s="127" t="s">
        <v>81</v>
      </c>
      <c r="C72" s="128" t="s">
        <v>595</v>
      </c>
      <c r="D72" s="128">
        <f>ScenarioParameters!C24</f>
        <v>45</v>
      </c>
      <c r="E72" s="128"/>
      <c r="F72" s="129"/>
      <c r="G72" s="96"/>
    </row>
    <row r="73" spans="1:7" ht="18.75" x14ac:dyDescent="0.35">
      <c r="A73" s="54"/>
      <c r="B73" s="127" t="s">
        <v>82</v>
      </c>
      <c r="C73" s="128" t="s">
        <v>596</v>
      </c>
      <c r="D73" s="128">
        <f>ScenarioParameters!C25</f>
        <v>0</v>
      </c>
      <c r="E73" s="128"/>
      <c r="F73" s="129"/>
      <c r="G73" s="96"/>
    </row>
    <row r="74" spans="1:7" ht="18.75" x14ac:dyDescent="0.35">
      <c r="A74" s="54"/>
      <c r="B74" s="130" t="s">
        <v>83</v>
      </c>
      <c r="C74" s="131" t="s">
        <v>597</v>
      </c>
      <c r="D74" s="128">
        <f>ScenarioParameters!C26</f>
        <v>90</v>
      </c>
      <c r="E74" s="131"/>
      <c r="F74" s="132"/>
      <c r="G74" s="96"/>
    </row>
    <row r="75" spans="1:7" ht="33" x14ac:dyDescent="0.25">
      <c r="A75" s="54"/>
      <c r="B75" s="97" t="s">
        <v>85</v>
      </c>
      <c r="C75" s="98"/>
      <c r="D75" s="98"/>
      <c r="E75" s="98" t="s">
        <v>88</v>
      </c>
      <c r="F75" s="133" t="s">
        <v>598</v>
      </c>
      <c r="G75" s="96"/>
    </row>
    <row r="76" spans="1:7" ht="18.75" x14ac:dyDescent="0.35">
      <c r="A76" s="54"/>
      <c r="B76" s="127" t="s">
        <v>80</v>
      </c>
      <c r="C76" s="128" t="s">
        <v>599</v>
      </c>
      <c r="D76" s="128">
        <f>D15*D66/(D63*D64)*(1-EXP(-D63*D71))</f>
        <v>0</v>
      </c>
      <c r="E76" s="128"/>
      <c r="F76" s="129"/>
      <c r="G76" s="96"/>
    </row>
    <row r="77" spans="1:7" ht="18.75" x14ac:dyDescent="0.35">
      <c r="A77" s="54"/>
      <c r="B77" s="127" t="s">
        <v>81</v>
      </c>
      <c r="C77" s="128" t="s">
        <v>600</v>
      </c>
      <c r="D77" s="128">
        <f>D15*D67/(D63*D64)*(1-EXP(-D63*D72))</f>
        <v>1708.8036539819173</v>
      </c>
      <c r="E77" s="128"/>
      <c r="F77" s="129"/>
      <c r="G77" s="96"/>
    </row>
    <row r="78" spans="1:7" ht="18.75" x14ac:dyDescent="0.35">
      <c r="A78" s="54"/>
      <c r="B78" s="127" t="s">
        <v>82</v>
      </c>
      <c r="C78" s="128" t="s">
        <v>601</v>
      </c>
      <c r="D78" s="128">
        <f>D15*D68/(D63*D64)*(1-EXP(-D63*D73))</f>
        <v>0</v>
      </c>
      <c r="E78" s="128"/>
      <c r="F78" s="129"/>
      <c r="G78" s="96"/>
    </row>
    <row r="79" spans="1:7" ht="18.75" x14ac:dyDescent="0.35">
      <c r="A79" s="54"/>
      <c r="B79" s="130" t="s">
        <v>83</v>
      </c>
      <c r="C79" s="131" t="s">
        <v>602</v>
      </c>
      <c r="D79" s="131">
        <f>D15*D69/(D63*D64)*(1-EXP(-D63*D74))</f>
        <v>863.89337392926916</v>
      </c>
      <c r="E79" s="131"/>
      <c r="F79" s="132"/>
      <c r="G79" s="96"/>
    </row>
    <row r="80" spans="1:7" ht="15" x14ac:dyDescent="0.25">
      <c r="A80" s="54"/>
      <c r="B80" s="124" t="s">
        <v>86</v>
      </c>
      <c r="C80" s="125"/>
      <c r="D80" s="125"/>
      <c r="E80" s="125" t="s">
        <v>57</v>
      </c>
      <c r="F80" s="126"/>
      <c r="G80" s="96"/>
    </row>
    <row r="81" spans="1:7" ht="18.75" x14ac:dyDescent="0.35">
      <c r="A81" s="54"/>
      <c r="B81" s="127" t="s">
        <v>80</v>
      </c>
      <c r="C81" s="128" t="s">
        <v>603</v>
      </c>
      <c r="D81" s="128">
        <f>VLOOKUP(MPAFs!B4,ChemicalProperties!D:M,7,FALSE)</f>
        <v>8.0000000000000002E-3</v>
      </c>
      <c r="E81" s="128"/>
      <c r="F81" s="129"/>
      <c r="G81" s="96"/>
    </row>
    <row r="82" spans="1:7" ht="18.75" x14ac:dyDescent="0.35">
      <c r="A82" s="54"/>
      <c r="B82" s="127" t="s">
        <v>81</v>
      </c>
      <c r="C82" s="128" t="s">
        <v>604</v>
      </c>
      <c r="D82" s="128">
        <f>VLOOKUP(MPAFs!B4,ChemicalProperties!D:M,8,FALSE)</f>
        <v>0.01</v>
      </c>
      <c r="E82" s="128"/>
      <c r="F82" s="129"/>
      <c r="G82" s="96"/>
    </row>
    <row r="83" spans="1:7" ht="18.75" x14ac:dyDescent="0.35">
      <c r="A83" s="54"/>
      <c r="B83" s="127" t="s">
        <v>82</v>
      </c>
      <c r="C83" s="128" t="s">
        <v>605</v>
      </c>
      <c r="D83" s="128">
        <f>VLOOKUP(MPAFs!B4,ChemicalProperties!D:M,9,FALSE)</f>
        <v>7.0000000000000007E-2</v>
      </c>
      <c r="E83" s="128"/>
      <c r="F83" s="129"/>
      <c r="G83" s="96"/>
    </row>
    <row r="84" spans="1:7" ht="18.75" x14ac:dyDescent="0.35">
      <c r="A84" s="54"/>
      <c r="B84" s="130" t="s">
        <v>83</v>
      </c>
      <c r="C84" s="131" t="s">
        <v>606</v>
      </c>
      <c r="D84" s="131">
        <f>VLOOKUP(MPAFs!B4,ChemicalProperties!D:M,10,FALSE)</f>
        <v>0.02</v>
      </c>
      <c r="E84" s="131"/>
      <c r="F84" s="132"/>
      <c r="G84" s="96"/>
    </row>
    <row r="85" spans="1:7" ht="33" x14ac:dyDescent="0.35">
      <c r="A85" s="54"/>
      <c r="B85" s="124" t="s">
        <v>87</v>
      </c>
      <c r="C85" s="125"/>
      <c r="D85" s="125"/>
      <c r="E85" s="125" t="s">
        <v>88</v>
      </c>
      <c r="F85" s="134" t="s">
        <v>607</v>
      </c>
      <c r="G85" s="96"/>
    </row>
    <row r="86" spans="1:7" ht="18.75" x14ac:dyDescent="0.35">
      <c r="A86" s="54"/>
      <c r="B86" s="127" t="s">
        <v>80</v>
      </c>
      <c r="C86" s="128" t="s">
        <v>608</v>
      </c>
      <c r="D86" s="128">
        <f>D22*D81</f>
        <v>883.17667263787666</v>
      </c>
      <c r="E86" s="128"/>
      <c r="F86" s="129"/>
      <c r="G86" s="96"/>
    </row>
    <row r="87" spans="1:7" ht="18.75" x14ac:dyDescent="0.35">
      <c r="A87" s="54"/>
      <c r="B87" s="127" t="s">
        <v>81</v>
      </c>
      <c r="C87" s="128" t="s">
        <v>609</v>
      </c>
      <c r="D87" s="128">
        <f>D22*D82</f>
        <v>1103.9708407973458</v>
      </c>
      <c r="E87" s="128"/>
      <c r="F87" s="129"/>
      <c r="G87" s="96"/>
    </row>
    <row r="88" spans="1:7" ht="18.75" x14ac:dyDescent="0.35">
      <c r="A88" s="54"/>
      <c r="B88" s="127" t="s">
        <v>82</v>
      </c>
      <c r="C88" s="128" t="s">
        <v>610</v>
      </c>
      <c r="D88" s="128">
        <f>D22*D83</f>
        <v>7727.7958855814213</v>
      </c>
      <c r="E88" s="128"/>
      <c r="F88" s="129"/>
      <c r="G88" s="96"/>
    </row>
    <row r="89" spans="1:7" ht="18.75" x14ac:dyDescent="0.35">
      <c r="A89" s="54"/>
      <c r="B89" s="130" t="s">
        <v>83</v>
      </c>
      <c r="C89" s="131" t="s">
        <v>611</v>
      </c>
      <c r="D89" s="131">
        <f>D22*D84</f>
        <v>2207.9416815946915</v>
      </c>
      <c r="E89" s="131"/>
      <c r="F89" s="132"/>
      <c r="G89" s="96"/>
    </row>
    <row r="90" spans="1:7" ht="31.5" x14ac:dyDescent="0.25">
      <c r="A90" s="54"/>
      <c r="B90" s="106" t="s">
        <v>89</v>
      </c>
      <c r="C90" s="107"/>
      <c r="D90" s="107"/>
      <c r="E90" s="107" t="s">
        <v>88</v>
      </c>
      <c r="F90" s="118" t="s">
        <v>612</v>
      </c>
      <c r="G90" s="96"/>
    </row>
    <row r="91" spans="1:7" ht="16.5" x14ac:dyDescent="0.3">
      <c r="A91" s="54"/>
      <c r="B91" s="135" t="s">
        <v>80</v>
      </c>
      <c r="C91" s="136" t="s">
        <v>613</v>
      </c>
      <c r="D91" s="136">
        <f>D76+D86</f>
        <v>883.17667263787666</v>
      </c>
      <c r="E91" s="136"/>
      <c r="F91" s="137"/>
      <c r="G91" s="96"/>
    </row>
    <row r="92" spans="1:7" ht="16.5" x14ac:dyDescent="0.3">
      <c r="A92" s="54"/>
      <c r="B92" s="135" t="s">
        <v>81</v>
      </c>
      <c r="C92" s="136" t="s">
        <v>614</v>
      </c>
      <c r="D92" s="136">
        <f>D77+D87</f>
        <v>2812.774494779263</v>
      </c>
      <c r="E92" s="136"/>
      <c r="F92" s="137"/>
      <c r="G92" s="96"/>
    </row>
    <row r="93" spans="1:7" ht="16.5" x14ac:dyDescent="0.3">
      <c r="A93" s="54"/>
      <c r="B93" s="135" t="s">
        <v>82</v>
      </c>
      <c r="C93" s="136" t="s">
        <v>615</v>
      </c>
      <c r="D93" s="136">
        <f>D78+D88</f>
        <v>7727.7958855814213</v>
      </c>
      <c r="E93" s="136"/>
      <c r="F93" s="137"/>
      <c r="G93" s="96"/>
    </row>
    <row r="94" spans="1:7" ht="16.5" x14ac:dyDescent="0.3">
      <c r="A94" s="54"/>
      <c r="B94" s="138" t="s">
        <v>83</v>
      </c>
      <c r="C94" s="139" t="s">
        <v>616</v>
      </c>
      <c r="D94" s="139">
        <f>D79+D89</f>
        <v>3071.8350555239608</v>
      </c>
      <c r="E94" s="139"/>
      <c r="F94" s="140"/>
      <c r="G94" s="96"/>
    </row>
    <row r="95" spans="1:7" ht="15" x14ac:dyDescent="0.25">
      <c r="A95" s="141"/>
      <c r="B95" s="142"/>
      <c r="C95" s="142"/>
      <c r="D95" s="142"/>
      <c r="E95" s="142"/>
      <c r="F95" s="142"/>
      <c r="G95" s="58"/>
    </row>
    <row r="96" spans="1:7" s="47" customFormat="1" ht="16.5" x14ac:dyDescent="0.3">
      <c r="A96" s="44" t="s">
        <v>617</v>
      </c>
      <c r="B96" s="45"/>
      <c r="C96" s="45"/>
      <c r="D96" s="45"/>
      <c r="E96" s="45"/>
      <c r="F96" s="45"/>
      <c r="G96" s="46"/>
    </row>
    <row r="97" spans="1:7" s="53" customFormat="1" ht="15" x14ac:dyDescent="0.25">
      <c r="A97" s="48"/>
      <c r="B97" s="49" t="s">
        <v>26</v>
      </c>
      <c r="C97" s="50" t="s">
        <v>27</v>
      </c>
      <c r="D97" s="50" t="s">
        <v>28</v>
      </c>
      <c r="E97" s="50" t="s">
        <v>29</v>
      </c>
      <c r="F97" s="51" t="s">
        <v>30</v>
      </c>
      <c r="G97" s="52"/>
    </row>
    <row r="98" spans="1:7" s="146" customFormat="1" ht="28.5" x14ac:dyDescent="0.25">
      <c r="A98" s="143"/>
      <c r="B98" s="144" t="s">
        <v>90</v>
      </c>
      <c r="C98" s="62" t="s">
        <v>91</v>
      </c>
      <c r="D98" s="62">
        <f>ScenarioParameters!C27</f>
        <v>0.13700000000000001</v>
      </c>
      <c r="E98" s="62" t="s">
        <v>57</v>
      </c>
      <c r="F98" s="63"/>
      <c r="G98" s="145"/>
    </row>
    <row r="99" spans="1:7" ht="18" customHeight="1" x14ac:dyDescent="0.2">
      <c r="A99" s="18"/>
      <c r="B99" s="116" t="s">
        <v>92</v>
      </c>
      <c r="C99" s="147"/>
      <c r="D99" s="148"/>
      <c r="E99" s="147" t="s">
        <v>93</v>
      </c>
      <c r="F99" s="149"/>
      <c r="G99" s="58"/>
    </row>
    <row r="100" spans="1:7" ht="18.75" x14ac:dyDescent="0.35">
      <c r="A100" s="18"/>
      <c r="B100" s="153" t="s">
        <v>61</v>
      </c>
      <c r="C100" s="128" t="s">
        <v>619</v>
      </c>
      <c r="D100" s="150">
        <f>VLOOKUP(TRIM(B100),ExposureGroupParameters!B:H,4,FALSE)</f>
        <v>8.1999999999999993</v>
      </c>
      <c r="E100" s="151"/>
      <c r="F100" s="152" t="s">
        <v>144</v>
      </c>
      <c r="G100" s="58"/>
    </row>
    <row r="101" spans="1:7" ht="18.75" x14ac:dyDescent="0.35">
      <c r="A101" s="18"/>
      <c r="B101" s="153" t="s">
        <v>62</v>
      </c>
      <c r="C101" s="128" t="s">
        <v>620</v>
      </c>
      <c r="D101" s="150">
        <f>VLOOKUP(TRIM(B101),ExposureGroupParameters!B:H,4,FALSE)</f>
        <v>3.9</v>
      </c>
      <c r="E101" s="151"/>
      <c r="F101" s="154"/>
      <c r="G101" s="58"/>
    </row>
    <row r="102" spans="1:7" ht="18.75" x14ac:dyDescent="0.35">
      <c r="A102" s="18"/>
      <c r="B102" s="153" t="s">
        <v>566</v>
      </c>
      <c r="C102" s="128" t="s">
        <v>621</v>
      </c>
      <c r="D102" s="150">
        <f>VLOOKUP(TRIM(B102),ExposureGroupParameters!B:H,4,FALSE)</f>
        <v>2.1</v>
      </c>
      <c r="E102" s="151"/>
      <c r="F102" s="154"/>
      <c r="G102" s="58"/>
    </row>
    <row r="103" spans="1:7" ht="18.75" x14ac:dyDescent="0.35">
      <c r="A103" s="18"/>
      <c r="B103" s="104" t="s">
        <v>63</v>
      </c>
      <c r="C103" s="128" t="s">
        <v>622</v>
      </c>
      <c r="D103" s="150">
        <f>VLOOKUP(TRIM(B103),ExposureGroupParameters!B:H,4,FALSE)</f>
        <v>2.2000000000000002</v>
      </c>
      <c r="E103" s="155"/>
      <c r="F103" s="156" t="s">
        <v>64</v>
      </c>
      <c r="G103" s="58"/>
    </row>
    <row r="104" spans="1:7" x14ac:dyDescent="0.2">
      <c r="A104" s="18"/>
      <c r="B104" s="116" t="s">
        <v>94</v>
      </c>
      <c r="C104" s="147"/>
      <c r="D104" s="148"/>
      <c r="E104" s="147" t="s">
        <v>93</v>
      </c>
      <c r="F104" s="149"/>
      <c r="G104" s="58"/>
    </row>
    <row r="105" spans="1:7" ht="18.75" x14ac:dyDescent="0.35">
      <c r="A105" s="18"/>
      <c r="B105" s="153" t="s">
        <v>61</v>
      </c>
      <c r="C105" s="128" t="s">
        <v>624</v>
      </c>
      <c r="D105" s="150">
        <f>VLOOKUP(TRIM(B105),ExposureGroupParameters!B:H,5,FALSE)</f>
        <v>5.3</v>
      </c>
      <c r="E105" s="151"/>
      <c r="F105" s="152" t="s">
        <v>144</v>
      </c>
      <c r="G105" s="58"/>
    </row>
    <row r="106" spans="1:7" ht="18.75" x14ac:dyDescent="0.35">
      <c r="A106" s="18"/>
      <c r="B106" s="153" t="s">
        <v>62</v>
      </c>
      <c r="C106" s="128" t="s">
        <v>625</v>
      </c>
      <c r="D106" s="150">
        <f>VLOOKUP(TRIM(B106),ExposureGroupParameters!B:H,5,FALSE)</f>
        <v>2.2999999999999998</v>
      </c>
      <c r="E106" s="151"/>
      <c r="F106" s="154"/>
      <c r="G106" s="58"/>
    </row>
    <row r="107" spans="1:7" ht="18.75" x14ac:dyDescent="0.35">
      <c r="A107" s="18"/>
      <c r="B107" s="153" t="s">
        <v>566</v>
      </c>
      <c r="C107" s="128" t="s">
        <v>626</v>
      </c>
      <c r="D107" s="150">
        <f>VLOOKUP(TRIM(B107),ExposureGroupParameters!B:H,5,FALSE)</f>
        <v>1.5</v>
      </c>
      <c r="E107" s="151"/>
      <c r="F107" s="154"/>
      <c r="G107" s="58"/>
    </row>
    <row r="108" spans="1:7" ht="18.75" x14ac:dyDescent="0.35">
      <c r="A108" s="18"/>
      <c r="B108" s="104" t="s">
        <v>63</v>
      </c>
      <c r="C108" s="128" t="s">
        <v>627</v>
      </c>
      <c r="D108" s="150">
        <f>VLOOKUP(TRIM(B108),ExposureGroupParameters!B:H,5,FALSE)</f>
        <v>1.3</v>
      </c>
      <c r="E108" s="155"/>
      <c r="F108" s="156" t="s">
        <v>64</v>
      </c>
      <c r="G108" s="58"/>
    </row>
    <row r="109" spans="1:7" x14ac:dyDescent="0.2">
      <c r="A109" s="18"/>
      <c r="B109" s="116" t="s">
        <v>95</v>
      </c>
      <c r="C109" s="147"/>
      <c r="D109" s="148"/>
      <c r="E109" s="147" t="s">
        <v>93</v>
      </c>
      <c r="F109" s="149"/>
      <c r="G109" s="58"/>
    </row>
    <row r="110" spans="1:7" ht="18.75" x14ac:dyDescent="0.35">
      <c r="A110" s="18"/>
      <c r="B110" s="153" t="s">
        <v>61</v>
      </c>
      <c r="C110" s="128" t="s">
        <v>629</v>
      </c>
      <c r="D110" s="150">
        <f>VLOOKUP(TRIM(B110),ExposureGroupParameters!B:H,6,FALSE)</f>
        <v>7.5</v>
      </c>
      <c r="E110" s="151"/>
      <c r="F110" s="152" t="s">
        <v>144</v>
      </c>
      <c r="G110" s="58"/>
    </row>
    <row r="111" spans="1:7" ht="18.75" x14ac:dyDescent="0.35">
      <c r="A111" s="18"/>
      <c r="B111" s="153" t="s">
        <v>62</v>
      </c>
      <c r="C111" s="128" t="s">
        <v>630</v>
      </c>
      <c r="D111" s="150">
        <f>VLOOKUP(TRIM(B111),ExposureGroupParameters!B:H,6,FALSE)</f>
        <v>4.9000000000000004</v>
      </c>
      <c r="E111" s="151"/>
      <c r="F111" s="154"/>
      <c r="G111" s="58"/>
    </row>
    <row r="112" spans="1:7" ht="18.75" x14ac:dyDescent="0.35">
      <c r="A112" s="18"/>
      <c r="B112" s="153" t="s">
        <v>566</v>
      </c>
      <c r="C112" s="128" t="s">
        <v>631</v>
      </c>
      <c r="D112" s="150">
        <f>VLOOKUP(TRIM(B112),ExposureGroupParameters!B:H,6,FALSE)</f>
        <v>2.1</v>
      </c>
      <c r="E112" s="151"/>
      <c r="F112" s="154"/>
      <c r="G112" s="58"/>
    </row>
    <row r="113" spans="1:7" ht="18.75" x14ac:dyDescent="0.35">
      <c r="A113" s="18"/>
      <c r="B113" s="104" t="s">
        <v>63</v>
      </c>
      <c r="C113" s="128" t="s">
        <v>632</v>
      </c>
      <c r="D113" s="150">
        <f>VLOOKUP(TRIM(B113),ExposureGroupParameters!B:H,6,FALSE)</f>
        <v>2.1</v>
      </c>
      <c r="E113" s="155"/>
      <c r="F113" s="156" t="s">
        <v>64</v>
      </c>
      <c r="G113" s="58"/>
    </row>
    <row r="114" spans="1:7" x14ac:dyDescent="0.2">
      <c r="A114" s="18"/>
      <c r="B114" s="116" t="s">
        <v>96</v>
      </c>
      <c r="C114" s="147"/>
      <c r="D114" s="148"/>
      <c r="E114" s="147" t="s">
        <v>93</v>
      </c>
      <c r="F114" s="149"/>
      <c r="G114" s="58"/>
    </row>
    <row r="115" spans="1:7" ht="18.75" x14ac:dyDescent="0.35">
      <c r="A115" s="18"/>
      <c r="B115" s="153" t="s">
        <v>61</v>
      </c>
      <c r="C115" s="128" t="s">
        <v>634</v>
      </c>
      <c r="D115" s="150">
        <f>VLOOKUP(TRIM(B115),ExposureGroupParameters!B:H,7,FALSE)</f>
        <v>15.4</v>
      </c>
      <c r="E115" s="151"/>
      <c r="F115" s="152" t="s">
        <v>144</v>
      </c>
      <c r="G115" s="58"/>
    </row>
    <row r="116" spans="1:7" ht="18.75" x14ac:dyDescent="0.35">
      <c r="A116" s="18"/>
      <c r="B116" s="153" t="s">
        <v>62</v>
      </c>
      <c r="C116" s="128" t="s">
        <v>635</v>
      </c>
      <c r="D116" s="150">
        <f>VLOOKUP(TRIM(B116),ExposureGroupParameters!B:H,7,FALSE)</f>
        <v>7.3</v>
      </c>
      <c r="E116" s="151"/>
      <c r="F116" s="154"/>
      <c r="G116" s="58"/>
    </row>
    <row r="117" spans="1:7" ht="18.75" x14ac:dyDescent="0.35">
      <c r="A117" s="18"/>
      <c r="B117" s="153" t="s">
        <v>566</v>
      </c>
      <c r="C117" s="128" t="s">
        <v>636</v>
      </c>
      <c r="D117" s="150">
        <f>VLOOKUP(TRIM(B117),ExposureGroupParameters!B:H,7,FALSE)</f>
        <v>2.4</v>
      </c>
      <c r="E117" s="151"/>
      <c r="F117" s="154"/>
      <c r="G117" s="58"/>
    </row>
    <row r="118" spans="1:7" ht="18.75" x14ac:dyDescent="0.35">
      <c r="A118" s="18"/>
      <c r="B118" s="104" t="s">
        <v>63</v>
      </c>
      <c r="C118" s="128" t="s">
        <v>637</v>
      </c>
      <c r="D118" s="150">
        <f>VLOOKUP(TRIM(B118),ExposureGroupParameters!B:H,7,FALSE)</f>
        <v>2.6</v>
      </c>
      <c r="E118" s="155"/>
      <c r="F118" s="156" t="s">
        <v>64</v>
      </c>
      <c r="G118" s="58"/>
    </row>
    <row r="119" spans="1:7" ht="47.25" x14ac:dyDescent="0.2">
      <c r="A119" s="18"/>
      <c r="B119" s="157" t="s">
        <v>97</v>
      </c>
      <c r="C119" s="147"/>
      <c r="D119" s="148"/>
      <c r="E119" s="147" t="s">
        <v>59</v>
      </c>
      <c r="F119" s="149" t="s">
        <v>738</v>
      </c>
      <c r="G119" s="58"/>
    </row>
    <row r="120" spans="1:7" ht="18.75" x14ac:dyDescent="0.35">
      <c r="A120" s="18"/>
      <c r="B120" s="153" t="s">
        <v>61</v>
      </c>
      <c r="C120" s="128" t="s">
        <v>640</v>
      </c>
      <c r="D120" s="150">
        <f>D91*D100*D26*D98*D33/D37*POWER(10,-6)</f>
        <v>5.9529640442483448E-4</v>
      </c>
      <c r="E120" s="150"/>
      <c r="F120" s="152" t="s">
        <v>144</v>
      </c>
      <c r="G120" s="58"/>
    </row>
    <row r="121" spans="1:7" ht="18.75" x14ac:dyDescent="0.35">
      <c r="A121" s="18"/>
      <c r="B121" s="153" t="s">
        <v>62</v>
      </c>
      <c r="C121" s="128" t="s">
        <v>641</v>
      </c>
      <c r="D121" s="150">
        <f>D91*D101*D26*D98*D34/D37*POWER(10,-6)</f>
        <v>1.9819014439997535E-3</v>
      </c>
      <c r="E121" s="150"/>
      <c r="F121" s="152"/>
      <c r="G121" s="58"/>
    </row>
    <row r="122" spans="1:7" ht="18.75" x14ac:dyDescent="0.35">
      <c r="A122" s="18"/>
      <c r="B122" s="153" t="s">
        <v>566</v>
      </c>
      <c r="C122" s="128" t="s">
        <v>642</v>
      </c>
      <c r="D122" s="150">
        <f>D91*D102*D26*D98*D35/D37*POWER(10,-6)</f>
        <v>4.1162568452302577E-3</v>
      </c>
      <c r="E122" s="150"/>
      <c r="F122" s="152"/>
      <c r="G122" s="58"/>
    </row>
    <row r="123" spans="1:7" ht="18.75" x14ac:dyDescent="0.35">
      <c r="A123" s="18"/>
      <c r="B123" s="104" t="s">
        <v>63</v>
      </c>
      <c r="C123" s="128" t="s">
        <v>643</v>
      </c>
      <c r="D123" s="158">
        <f>D91*D103*D26*D98*D36/D37*POWER(10,-6)</f>
        <v>7.9856834739916812E-5</v>
      </c>
      <c r="E123" s="158"/>
      <c r="F123" s="156"/>
      <c r="G123" s="58"/>
    </row>
    <row r="124" spans="1:7" ht="47.25" x14ac:dyDescent="0.2">
      <c r="A124" s="18"/>
      <c r="B124" s="157" t="s">
        <v>98</v>
      </c>
      <c r="C124" s="147"/>
      <c r="D124" s="148"/>
      <c r="E124" s="147" t="s">
        <v>59</v>
      </c>
      <c r="F124" s="149" t="s">
        <v>739</v>
      </c>
      <c r="G124" s="58"/>
    </row>
    <row r="125" spans="1:7" ht="18.75" x14ac:dyDescent="0.35">
      <c r="A125" s="18"/>
      <c r="B125" s="153" t="s">
        <v>61</v>
      </c>
      <c r="C125" s="128" t="s">
        <v>646</v>
      </c>
      <c r="D125" s="150">
        <f>D92*D105*D26*D98*D33/D37*POWER(10,-6)</f>
        <v>1.2254133363955339E-3</v>
      </c>
      <c r="E125" s="150"/>
      <c r="F125" s="152" t="s">
        <v>144</v>
      </c>
      <c r="G125" s="58"/>
    </row>
    <row r="126" spans="1:7" ht="18.75" x14ac:dyDescent="0.35">
      <c r="A126" s="18"/>
      <c r="B126" s="153" t="s">
        <v>62</v>
      </c>
      <c r="C126" s="128" t="s">
        <v>647</v>
      </c>
      <c r="D126" s="150">
        <f>D92*D106*D26*D98*D34/D37*POWER(10,-6)</f>
        <v>3.7224820218807724E-3</v>
      </c>
      <c r="E126" s="150"/>
      <c r="F126" s="152"/>
      <c r="G126" s="58"/>
    </row>
    <row r="127" spans="1:7" ht="18.75" x14ac:dyDescent="0.35">
      <c r="A127" s="18"/>
      <c r="B127" s="153" t="s">
        <v>566</v>
      </c>
      <c r="C127" s="128" t="s">
        <v>648</v>
      </c>
      <c r="D127" s="150">
        <f>D92*D107*D26*D98*D35/D37*POWER(10,-6)</f>
        <v>9.3640075705696442E-3</v>
      </c>
      <c r="E127" s="150"/>
      <c r="F127" s="152"/>
      <c r="G127" s="58"/>
    </row>
    <row r="128" spans="1:7" ht="18.75" x14ac:dyDescent="0.35">
      <c r="A128" s="18"/>
      <c r="B128" s="104" t="s">
        <v>63</v>
      </c>
      <c r="C128" s="128" t="s">
        <v>649</v>
      </c>
      <c r="D128" s="158">
        <f>D92*D108*D26*D98*D36/D37*POWER(10,-6)</f>
        <v>1.5028654125605602E-4</v>
      </c>
      <c r="E128" s="158"/>
      <c r="F128" s="156"/>
      <c r="G128" s="58"/>
    </row>
    <row r="129" spans="1:7" ht="49.5" x14ac:dyDescent="0.2">
      <c r="A129" s="18"/>
      <c r="B129" s="116" t="s">
        <v>99</v>
      </c>
      <c r="C129" s="147"/>
      <c r="D129" s="148"/>
      <c r="E129" s="147" t="s">
        <v>59</v>
      </c>
      <c r="F129" s="149" t="s">
        <v>740</v>
      </c>
      <c r="G129" s="58"/>
    </row>
    <row r="130" spans="1:7" ht="18.75" x14ac:dyDescent="0.35">
      <c r="A130" s="18"/>
      <c r="B130" s="153" t="s">
        <v>61</v>
      </c>
      <c r="C130" s="128" t="s">
        <v>652</v>
      </c>
      <c r="D130" s="150">
        <f>D93*D110*D26*D98*D33/D37*POWER(10,-6)</f>
        <v>4.7641861634609463E-3</v>
      </c>
      <c r="E130" s="150"/>
      <c r="F130" s="152" t="s">
        <v>144</v>
      </c>
      <c r="G130" s="58"/>
    </row>
    <row r="131" spans="1:7" ht="18.75" x14ac:dyDescent="0.35">
      <c r="A131" s="18"/>
      <c r="B131" s="153" t="s">
        <v>62</v>
      </c>
      <c r="C131" s="128" t="s">
        <v>653</v>
      </c>
      <c r="D131" s="150">
        <f>D93*D111*D26*D98*D34/D37*POWER(10,-6)</f>
        <v>2.1788211387561398E-2</v>
      </c>
      <c r="E131" s="150"/>
      <c r="F131" s="152"/>
      <c r="G131" s="58"/>
    </row>
    <row r="132" spans="1:7" ht="18.75" x14ac:dyDescent="0.35">
      <c r="A132" s="18"/>
      <c r="B132" s="153" t="s">
        <v>566</v>
      </c>
      <c r="C132" s="128" t="s">
        <v>654</v>
      </c>
      <c r="D132" s="150">
        <f>D93*D112*D26*D98*D35/D37*POWER(10,-6)</f>
        <v>3.6017247395764757E-2</v>
      </c>
      <c r="E132" s="150"/>
      <c r="F132" s="152"/>
      <c r="G132" s="58"/>
    </row>
    <row r="133" spans="1:7" ht="18.75" x14ac:dyDescent="0.35">
      <c r="A133" s="18"/>
      <c r="B133" s="104" t="s">
        <v>63</v>
      </c>
      <c r="C133" s="128" t="s">
        <v>655</v>
      </c>
      <c r="D133" s="158">
        <f>D93*D113*D26*D98*D36/D37*POWER(10,-6)</f>
        <v>6.6698606288453249E-4</v>
      </c>
      <c r="E133" s="158"/>
      <c r="F133" s="156"/>
      <c r="G133" s="58"/>
    </row>
    <row r="134" spans="1:7" ht="49.5" x14ac:dyDescent="0.2">
      <c r="A134" s="18"/>
      <c r="B134" s="116" t="s">
        <v>100</v>
      </c>
      <c r="C134" s="147"/>
      <c r="D134" s="148"/>
      <c r="E134" s="147" t="s">
        <v>59</v>
      </c>
      <c r="F134" s="149" t="s">
        <v>741</v>
      </c>
      <c r="G134" s="58"/>
    </row>
    <row r="135" spans="1:7" ht="18.75" x14ac:dyDescent="0.35">
      <c r="A135" s="18"/>
      <c r="B135" s="153" t="s">
        <v>61</v>
      </c>
      <c r="C135" s="128" t="s">
        <v>658</v>
      </c>
      <c r="D135" s="150">
        <f>D94*D115*D26*D98*D33/D37*POWER(10,-6)</f>
        <v>3.8885745600866716E-3</v>
      </c>
      <c r="E135" s="150"/>
      <c r="F135" s="152" t="s">
        <v>144</v>
      </c>
      <c r="G135" s="58"/>
    </row>
    <row r="136" spans="1:7" ht="18.75" x14ac:dyDescent="0.35">
      <c r="A136" s="18"/>
      <c r="B136" s="153" t="s">
        <v>62</v>
      </c>
      <c r="C136" s="128" t="s">
        <v>659</v>
      </c>
      <c r="D136" s="150">
        <f>D94*D116*D26*D98*D34/D37*POWER(10,-6)</f>
        <v>1.2902997403923954E-2</v>
      </c>
      <c r="E136" s="150"/>
      <c r="F136" s="152"/>
      <c r="G136" s="58"/>
    </row>
    <row r="137" spans="1:7" ht="18.75" x14ac:dyDescent="0.35">
      <c r="A137" s="18"/>
      <c r="B137" s="153" t="s">
        <v>566</v>
      </c>
      <c r="C137" s="128" t="s">
        <v>660</v>
      </c>
      <c r="D137" s="150">
        <f>D94*D117*D26*D98*D35/D37*POWER(10,-6)</f>
        <v>1.6362313733351706E-2</v>
      </c>
      <c r="E137" s="150"/>
      <c r="F137" s="152"/>
      <c r="G137" s="58"/>
    </row>
    <row r="138" spans="1:7" ht="18.75" x14ac:dyDescent="0.35">
      <c r="A138" s="18"/>
      <c r="B138" s="104" t="s">
        <v>63</v>
      </c>
      <c r="C138" s="128" t="s">
        <v>661</v>
      </c>
      <c r="D138" s="158">
        <f>D94*D118*D26*D98*D36/D37*POWER(10,-6)</f>
        <v>3.2825629403329047E-4</v>
      </c>
      <c r="E138" s="158"/>
      <c r="F138" s="156"/>
      <c r="G138" s="58"/>
    </row>
    <row r="139" spans="1:7" ht="30.6" customHeight="1" x14ac:dyDescent="0.2">
      <c r="A139" s="18"/>
      <c r="B139" s="116" t="s">
        <v>101</v>
      </c>
      <c r="C139" s="147"/>
      <c r="D139" s="224"/>
      <c r="E139" s="147" t="s">
        <v>59</v>
      </c>
      <c r="F139" s="149" t="s">
        <v>742</v>
      </c>
      <c r="G139" s="58"/>
    </row>
    <row r="140" spans="1:7" ht="18.75" x14ac:dyDescent="0.35">
      <c r="A140" s="18"/>
      <c r="B140" s="153" t="s">
        <v>61</v>
      </c>
      <c r="C140" s="128" t="s">
        <v>743</v>
      </c>
      <c r="D140" s="225">
        <f>D120+D125+D130+D135</f>
        <v>1.0473470464367987E-2</v>
      </c>
      <c r="E140" s="225"/>
      <c r="F140" s="152" t="s">
        <v>144</v>
      </c>
      <c r="G140" s="58"/>
    </row>
    <row r="141" spans="1:7" ht="18.75" x14ac:dyDescent="0.35">
      <c r="A141" s="18"/>
      <c r="B141" s="153" t="s">
        <v>62</v>
      </c>
      <c r="C141" s="128" t="s">
        <v>744</v>
      </c>
      <c r="D141" s="225">
        <f>D121+D126+D131+D136</f>
        <v>4.039559225736588E-2</v>
      </c>
      <c r="E141" s="225"/>
      <c r="F141" s="152"/>
      <c r="G141" s="58"/>
    </row>
    <row r="142" spans="1:7" ht="18.75" x14ac:dyDescent="0.35">
      <c r="A142" s="18"/>
      <c r="B142" s="153" t="s">
        <v>566</v>
      </c>
      <c r="C142" s="128" t="s">
        <v>745</v>
      </c>
      <c r="D142" s="225">
        <f>D122+D127+D132+D137</f>
        <v>6.5859825544916359E-2</v>
      </c>
      <c r="E142" s="225"/>
      <c r="F142" s="152"/>
      <c r="G142" s="58"/>
    </row>
    <row r="143" spans="1:7" ht="18.75" x14ac:dyDescent="0.35">
      <c r="A143" s="18"/>
      <c r="B143" s="104" t="s">
        <v>63</v>
      </c>
      <c r="C143" s="128" t="s">
        <v>746</v>
      </c>
      <c r="D143" s="225">
        <f>D123+D128+D133+D138</f>
        <v>1.2253857329137957E-3</v>
      </c>
      <c r="E143" s="226"/>
      <c r="F143" s="156"/>
      <c r="G143" s="58"/>
    </row>
    <row r="144" spans="1:7" ht="30" x14ac:dyDescent="0.2">
      <c r="A144" s="18"/>
      <c r="B144" s="227" t="s">
        <v>150</v>
      </c>
      <c r="C144" s="176" t="s">
        <v>747</v>
      </c>
      <c r="D144" s="228">
        <f>D140</f>
        <v>1.0473470464367987E-2</v>
      </c>
      <c r="E144" s="221" t="s">
        <v>59</v>
      </c>
      <c r="F144" s="229" t="s">
        <v>748</v>
      </c>
      <c r="G144" s="58"/>
    </row>
    <row r="145" spans="1:7" x14ac:dyDescent="0.2">
      <c r="A145" s="18"/>
      <c r="B145" s="53"/>
      <c r="G145" s="58"/>
    </row>
    <row r="146" spans="1:7" s="47" customFormat="1" ht="16.5" x14ac:dyDescent="0.3">
      <c r="A146" s="44" t="s">
        <v>668</v>
      </c>
      <c r="B146" s="60"/>
      <c r="C146" s="60"/>
      <c r="D146" s="60"/>
      <c r="E146" s="60"/>
      <c r="F146" s="60"/>
      <c r="G146" s="46"/>
    </row>
    <row r="147" spans="1:7" s="53" customFormat="1" ht="15" x14ac:dyDescent="0.25">
      <c r="A147" s="48"/>
      <c r="B147" s="49" t="s">
        <v>26</v>
      </c>
      <c r="C147" s="50" t="s">
        <v>27</v>
      </c>
      <c r="D147" s="50" t="s">
        <v>28</v>
      </c>
      <c r="E147" s="50" t="s">
        <v>29</v>
      </c>
      <c r="F147" s="51" t="s">
        <v>30</v>
      </c>
      <c r="G147" s="52"/>
    </row>
    <row r="148" spans="1:7" ht="28.5" x14ac:dyDescent="0.25">
      <c r="A148" s="54"/>
      <c r="B148" s="115" t="s">
        <v>102</v>
      </c>
      <c r="C148" s="62"/>
      <c r="D148" s="172" t="str">
        <f>VLOOKUP(MPAFs!B4,ChemicalProperties!D:S,16,FALSE)</f>
        <v>No</v>
      </c>
      <c r="E148" s="62"/>
      <c r="F148" s="63"/>
      <c r="G148" s="58"/>
    </row>
    <row r="149" spans="1:7" ht="28.5" x14ac:dyDescent="0.25">
      <c r="A149" s="54"/>
      <c r="B149" s="115" t="s">
        <v>103</v>
      </c>
      <c r="C149" s="62" t="s">
        <v>104</v>
      </c>
      <c r="D149" s="172">
        <f>ScenarioParameters!C28</f>
        <v>240</v>
      </c>
      <c r="E149" s="62" t="s">
        <v>105</v>
      </c>
      <c r="F149" s="63"/>
      <c r="G149" s="58"/>
    </row>
    <row r="150" spans="1:7" ht="15" x14ac:dyDescent="0.25">
      <c r="A150" s="54"/>
      <c r="B150" s="64" t="s">
        <v>106</v>
      </c>
      <c r="C150" s="65" t="s">
        <v>107</v>
      </c>
      <c r="D150" s="65">
        <f>ScenarioParameters!C29</f>
        <v>1</v>
      </c>
      <c r="E150" s="65" t="s">
        <v>57</v>
      </c>
      <c r="F150" s="66"/>
      <c r="G150" s="58"/>
    </row>
    <row r="151" spans="1:7" ht="47.25" x14ac:dyDescent="0.25">
      <c r="A151" s="54"/>
      <c r="B151" s="64" t="s">
        <v>108</v>
      </c>
      <c r="C151" s="65" t="s">
        <v>669</v>
      </c>
      <c r="D151" s="65">
        <f>D4*D149*D150*POWER(10,-6)</f>
        <v>2.3999999999999998E-4</v>
      </c>
      <c r="E151" s="65" t="s">
        <v>59</v>
      </c>
      <c r="F151" s="66" t="s">
        <v>670</v>
      </c>
      <c r="G151" s="58"/>
    </row>
    <row r="152" spans="1:7" ht="28.5" x14ac:dyDescent="0.25">
      <c r="A152" s="54"/>
      <c r="B152" s="115" t="s">
        <v>109</v>
      </c>
      <c r="C152" s="65" t="s">
        <v>671</v>
      </c>
      <c r="D152" s="65" t="str">
        <f>VLOOKUP(MPAFs!B4,ChemicalProperties!D:Q,13,FALSE)</f>
        <v>NA</v>
      </c>
      <c r="E152" s="62" t="s">
        <v>110</v>
      </c>
      <c r="F152" s="63"/>
      <c r="G152" s="58"/>
    </row>
    <row r="153" spans="1:7" ht="18.75" x14ac:dyDescent="0.25">
      <c r="A153" s="54"/>
      <c r="B153" s="64" t="s">
        <v>111</v>
      </c>
      <c r="C153" s="65" t="s">
        <v>672</v>
      </c>
      <c r="D153" s="173" t="str">
        <f>VLOOKUP(MPAFs!B4,ChemicalProperties!D:Q,14,FALSE)</f>
        <v>NA</v>
      </c>
      <c r="E153" s="65" t="s">
        <v>110</v>
      </c>
      <c r="F153" s="63"/>
      <c r="G153" s="58"/>
    </row>
    <row r="154" spans="1:7" ht="15" x14ac:dyDescent="0.25">
      <c r="A154" s="54"/>
      <c r="B154" s="64" t="s">
        <v>112</v>
      </c>
      <c r="C154" s="65" t="s">
        <v>113</v>
      </c>
      <c r="D154" s="173">
        <f>ScenarioParameters!C30</f>
        <v>73</v>
      </c>
      <c r="E154" s="65" t="s">
        <v>114</v>
      </c>
      <c r="F154" s="66"/>
      <c r="G154" s="58"/>
    </row>
    <row r="155" spans="1:7" ht="18.75" x14ac:dyDescent="0.25">
      <c r="A155" s="54"/>
      <c r="B155" s="157" t="s">
        <v>115</v>
      </c>
      <c r="C155" s="65" t="s">
        <v>673</v>
      </c>
      <c r="D155" s="174">
        <f>D151+D57</f>
        <v>3.2516346486150948E-4</v>
      </c>
      <c r="E155" s="65" t="s">
        <v>59</v>
      </c>
      <c r="F155" s="63" t="s">
        <v>674</v>
      </c>
      <c r="G155" s="58"/>
    </row>
    <row r="156" spans="1:7" ht="18.75" x14ac:dyDescent="0.25">
      <c r="A156" s="54"/>
      <c r="B156" s="157" t="s">
        <v>116</v>
      </c>
      <c r="C156" s="65" t="s">
        <v>675</v>
      </c>
      <c r="D156" s="174">
        <f>D42+IF(D62="Yes",D143,0)</f>
        <v>2.1196021139596455E-3</v>
      </c>
      <c r="E156" s="65" t="s">
        <v>59</v>
      </c>
      <c r="F156" s="66" t="s">
        <v>749</v>
      </c>
      <c r="G156" s="58"/>
    </row>
    <row r="157" spans="1:7" ht="48" x14ac:dyDescent="0.25">
      <c r="A157" s="54"/>
      <c r="B157" s="175" t="s">
        <v>117</v>
      </c>
      <c r="C157" s="176" t="s">
        <v>677</v>
      </c>
      <c r="D157" s="176" t="e">
        <f>((D155*D152)+(D156*D153))*D154</f>
        <v>#VALUE!</v>
      </c>
      <c r="E157" s="176" t="s">
        <v>118</v>
      </c>
      <c r="F157" s="177" t="s">
        <v>750</v>
      </c>
      <c r="G157" s="58"/>
    </row>
    <row r="158" spans="1:7" x14ac:dyDescent="0.2">
      <c r="A158" s="18"/>
      <c r="B158" s="53"/>
      <c r="G158" s="58"/>
    </row>
    <row r="159" spans="1:7" s="47" customFormat="1" ht="16.5" x14ac:dyDescent="0.3">
      <c r="A159" s="44" t="s">
        <v>679</v>
      </c>
      <c r="B159" s="60"/>
      <c r="C159" s="60"/>
      <c r="D159" s="60"/>
      <c r="E159" s="60"/>
      <c r="F159" s="60"/>
      <c r="G159" s="46"/>
    </row>
    <row r="160" spans="1:7" s="53" customFormat="1" ht="15" x14ac:dyDescent="0.25">
      <c r="A160" s="48"/>
      <c r="B160" s="49" t="s">
        <v>26</v>
      </c>
      <c r="C160" s="50" t="s">
        <v>27</v>
      </c>
      <c r="D160" s="50" t="s">
        <v>28</v>
      </c>
      <c r="E160" s="50" t="s">
        <v>29</v>
      </c>
      <c r="F160" s="51" t="s">
        <v>30</v>
      </c>
      <c r="G160" s="52"/>
    </row>
    <row r="161" spans="1:7" ht="18.75" x14ac:dyDescent="0.25">
      <c r="A161" s="54"/>
      <c r="B161" s="64" t="s">
        <v>119</v>
      </c>
      <c r="C161" s="65" t="s">
        <v>680</v>
      </c>
      <c r="D161" s="65">
        <f>ScenarioParameters!C31</f>
        <v>101</v>
      </c>
      <c r="E161" s="65" t="s">
        <v>93</v>
      </c>
      <c r="F161" s="66"/>
      <c r="G161" s="58"/>
    </row>
    <row r="162" spans="1:7" ht="33" x14ac:dyDescent="0.25">
      <c r="A162" s="54"/>
      <c r="B162" s="175" t="s">
        <v>122</v>
      </c>
      <c r="C162" s="176" t="s">
        <v>681</v>
      </c>
      <c r="D162" s="176" t="e">
        <f>D157*D161*POWER(10,-3)</f>
        <v>#VALUE!</v>
      </c>
      <c r="E162" s="176" t="s">
        <v>59</v>
      </c>
      <c r="F162" s="177" t="s">
        <v>751</v>
      </c>
      <c r="G162" s="58"/>
    </row>
    <row r="163" spans="1:7" x14ac:dyDescent="0.2">
      <c r="A163" s="18"/>
      <c r="B163" s="53"/>
      <c r="G163" s="58"/>
    </row>
    <row r="164" spans="1:7" s="47" customFormat="1" ht="15" x14ac:dyDescent="0.25">
      <c r="A164" s="44" t="s">
        <v>123</v>
      </c>
      <c r="B164" s="45"/>
      <c r="C164" s="45"/>
      <c r="D164" s="45"/>
      <c r="E164" s="45"/>
      <c r="F164" s="45"/>
      <c r="G164" s="46"/>
    </row>
    <row r="165" spans="1:7" s="53" customFormat="1" ht="15" x14ac:dyDescent="0.25">
      <c r="A165" s="48"/>
      <c r="B165" s="49" t="s">
        <v>26</v>
      </c>
      <c r="C165" s="50" t="s">
        <v>27</v>
      </c>
      <c r="D165" s="50" t="s">
        <v>28</v>
      </c>
      <c r="E165" s="50" t="s">
        <v>29</v>
      </c>
      <c r="F165" s="51" t="s">
        <v>30</v>
      </c>
      <c r="G165" s="52"/>
    </row>
    <row r="166" spans="1:7" ht="18.75" x14ac:dyDescent="0.35">
      <c r="A166" s="54"/>
      <c r="B166" s="230" t="s">
        <v>151</v>
      </c>
      <c r="C166" s="231" t="s">
        <v>752</v>
      </c>
      <c r="D166" s="180">
        <f>VLOOKUP(MPAFs!B4,ChemicalProperties!D:E,2,FALSE)</f>
        <v>1.4999999999999999E-2</v>
      </c>
      <c r="E166" s="180" t="s">
        <v>684</v>
      </c>
      <c r="F166" s="181"/>
      <c r="G166" s="58"/>
    </row>
    <row r="167" spans="1:7" ht="18.75" x14ac:dyDescent="0.35">
      <c r="A167" s="54"/>
      <c r="B167" s="178" t="s">
        <v>152</v>
      </c>
      <c r="C167" s="191" t="s">
        <v>753</v>
      </c>
      <c r="D167" s="179">
        <f>D4/D166</f>
        <v>66.666666666666671</v>
      </c>
      <c r="E167" s="179" t="s">
        <v>57</v>
      </c>
      <c r="F167" s="192" t="s">
        <v>754</v>
      </c>
      <c r="G167" s="58"/>
    </row>
    <row r="168" spans="1:7" ht="18.75" x14ac:dyDescent="0.35">
      <c r="A168" s="18"/>
      <c r="B168" s="178" t="s">
        <v>153</v>
      </c>
      <c r="C168" s="179" t="s">
        <v>755</v>
      </c>
      <c r="D168" s="179">
        <f>VLOOKUP(MPAFs!B4,ChemicalProperties!D:F,3,FALSE)</f>
        <v>6.0000000000000002E-5</v>
      </c>
      <c r="E168" s="179" t="s">
        <v>59</v>
      </c>
      <c r="F168" s="185"/>
      <c r="G168" s="58"/>
    </row>
    <row r="169" spans="1:7" ht="18.75" x14ac:dyDescent="0.35">
      <c r="A169" s="18"/>
      <c r="B169" s="178" t="s">
        <v>154</v>
      </c>
      <c r="C169" s="179" t="s">
        <v>756</v>
      </c>
      <c r="D169" s="179">
        <f>D43+IF(D62="Yes",D144,0)+D58+IF(D148="Yes",D162,0)</f>
        <v>2.606690088051038E-2</v>
      </c>
      <c r="E169" s="179" t="s">
        <v>59</v>
      </c>
      <c r="F169" s="185" t="s">
        <v>757</v>
      </c>
      <c r="G169" s="96"/>
    </row>
    <row r="170" spans="1:7" ht="18.75" x14ac:dyDescent="0.35">
      <c r="A170" s="18"/>
      <c r="B170" s="178" t="s">
        <v>155</v>
      </c>
      <c r="C170" s="179" t="s">
        <v>758</v>
      </c>
      <c r="D170" s="179">
        <f>D169/D168</f>
        <v>434.44834800850634</v>
      </c>
      <c r="E170" s="179" t="s">
        <v>57</v>
      </c>
      <c r="F170" s="185" t="s">
        <v>759</v>
      </c>
      <c r="G170" s="58"/>
    </row>
    <row r="171" spans="1:7" ht="16.5" x14ac:dyDescent="0.3">
      <c r="A171" s="18"/>
      <c r="B171" s="197" t="s">
        <v>143</v>
      </c>
      <c r="C171" s="198" t="s">
        <v>123</v>
      </c>
      <c r="D171" s="198">
        <f>IFERROR((D167+D170)/D167, "NA")</f>
        <v>7.5167252201275945</v>
      </c>
      <c r="E171" s="198" t="s">
        <v>57</v>
      </c>
      <c r="F171" s="199" t="s">
        <v>760</v>
      </c>
      <c r="G171" s="58"/>
    </row>
    <row r="172" spans="1:7" x14ac:dyDescent="0.2">
      <c r="A172" s="24"/>
      <c r="B172" s="142"/>
      <c r="C172" s="142"/>
      <c r="D172" s="142"/>
      <c r="E172" s="142"/>
      <c r="F172" s="142"/>
      <c r="G172" s="200"/>
    </row>
  </sheetData>
  <conditionalFormatting sqref="B63:F94">
    <cfRule type="expression" dxfId="12" priority="2">
      <formula>$D$62="No"</formula>
    </cfRule>
  </conditionalFormatting>
  <conditionalFormatting sqref="B98:F144">
    <cfRule type="expression" dxfId="11" priority="1">
      <formula>$D$62="No"</formula>
    </cfRule>
  </conditionalFormatting>
  <conditionalFormatting sqref="B149:F157">
    <cfRule type="expression" dxfId="10" priority="3">
      <formula>$D$148="No"</formula>
    </cfRule>
  </conditionalFormatting>
  <conditionalFormatting sqref="B161:F162">
    <cfRule type="expression" dxfId="9" priority="4">
      <formula>$D$148="No"</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E729-171E-41E9-A4FB-33BDC930C8C2}">
  <sheetPr codeName="Sheet7">
    <tabColor theme="8" tint="0.79998168889431442"/>
  </sheetPr>
  <dimension ref="A1:H64"/>
  <sheetViews>
    <sheetView showGridLines="0" workbookViewId="0">
      <pane ySplit="1" topLeftCell="A2" activePane="bottomLeft" state="frozen"/>
      <selection pane="bottomLeft" sqref="A1:XFD1048576"/>
    </sheetView>
  </sheetViews>
  <sheetFormatPr defaultRowHeight="14.25" x14ac:dyDescent="0.2"/>
  <cols>
    <col min="1" max="1" width="2.28515625" style="2" customWidth="1"/>
    <col min="2" max="2" width="47.85546875" style="311" customWidth="1"/>
    <col min="3" max="3" width="21.42578125" style="2" customWidth="1"/>
    <col min="4" max="4" width="13.28515625" style="2" customWidth="1"/>
    <col min="5" max="5" width="13.7109375" style="2" customWidth="1"/>
    <col min="6" max="6" width="78.28515625" style="2" customWidth="1"/>
    <col min="7" max="7" width="2.28515625" style="201" customWidth="1"/>
    <col min="8" max="8" width="21.42578125" style="2" customWidth="1"/>
    <col min="9" max="9" width="19.42578125" style="2" customWidth="1"/>
    <col min="10" max="16384" width="9.140625" style="2"/>
  </cols>
  <sheetData>
    <row r="1" spans="1:8" ht="20.25" x14ac:dyDescent="0.3">
      <c r="A1" s="41" t="str">
        <f>"Nonresident Child Cancer Calculations: " &amp; MPAFs!B4</f>
        <v>Nonresident Child Cancer Calculations: 7440-38-2 | Arsenic and inorganic compounds</v>
      </c>
      <c r="B1" s="232"/>
      <c r="C1" s="42"/>
      <c r="D1" s="42"/>
      <c r="E1" s="42"/>
      <c r="F1" s="42"/>
      <c r="G1" s="43"/>
    </row>
    <row r="2" spans="1:8" s="47" customFormat="1" ht="16.5" x14ac:dyDescent="0.3">
      <c r="A2" s="44" t="s">
        <v>540</v>
      </c>
      <c r="B2" s="45"/>
      <c r="C2" s="45"/>
      <c r="D2" s="45"/>
      <c r="E2" s="45"/>
      <c r="F2" s="45"/>
      <c r="G2" s="46"/>
      <c r="H2" s="233"/>
    </row>
    <row r="3" spans="1:8" s="53" customFormat="1" ht="15" x14ac:dyDescent="0.25">
      <c r="A3" s="48"/>
      <c r="B3" s="234" t="s">
        <v>26</v>
      </c>
      <c r="C3" s="235" t="s">
        <v>27</v>
      </c>
      <c r="D3" s="235" t="s">
        <v>28</v>
      </c>
      <c r="E3" s="235" t="s">
        <v>29</v>
      </c>
      <c r="F3" s="236" t="s">
        <v>30</v>
      </c>
      <c r="G3" s="52"/>
      <c r="H3" s="237"/>
    </row>
    <row r="4" spans="1:8" ht="18" x14ac:dyDescent="0.3">
      <c r="A4" s="54"/>
      <c r="B4" s="238" t="s">
        <v>31</v>
      </c>
      <c r="C4" s="239" t="s">
        <v>541</v>
      </c>
      <c r="D4" s="239">
        <f>ScenarioParameters!C2</f>
        <v>1</v>
      </c>
      <c r="E4" s="239" t="s">
        <v>542</v>
      </c>
      <c r="F4" s="240" t="s">
        <v>32</v>
      </c>
      <c r="G4" s="58"/>
      <c r="H4" s="18"/>
    </row>
    <row r="5" spans="1:8" ht="15" x14ac:dyDescent="0.25">
      <c r="A5" s="141"/>
      <c r="B5" s="142"/>
      <c r="C5" s="142"/>
      <c r="D5" s="142"/>
      <c r="E5" s="142"/>
      <c r="F5" s="142"/>
      <c r="G5" s="58"/>
      <c r="H5" s="18"/>
    </row>
    <row r="6" spans="1:8" s="47" customFormat="1" ht="16.5" x14ac:dyDescent="0.3">
      <c r="A6" s="44" t="s">
        <v>543</v>
      </c>
      <c r="B6" s="60"/>
      <c r="C6" s="60"/>
      <c r="D6" s="60"/>
      <c r="E6" s="60"/>
      <c r="F6" s="60"/>
      <c r="G6" s="46"/>
      <c r="H6" s="233"/>
    </row>
    <row r="7" spans="1:8" s="53" customFormat="1" ht="15" x14ac:dyDescent="0.25">
      <c r="A7" s="48"/>
      <c r="B7" s="234" t="s">
        <v>26</v>
      </c>
      <c r="C7" s="235" t="s">
        <v>27</v>
      </c>
      <c r="D7" s="235" t="s">
        <v>28</v>
      </c>
      <c r="E7" s="235" t="s">
        <v>29</v>
      </c>
      <c r="F7" s="236" t="s">
        <v>30</v>
      </c>
      <c r="G7" s="52"/>
      <c r="H7" s="237"/>
    </row>
    <row r="8" spans="1:8" ht="18.75" x14ac:dyDescent="0.25">
      <c r="A8" s="54"/>
      <c r="B8" s="241" t="s">
        <v>33</v>
      </c>
      <c r="C8" s="242" t="s">
        <v>544</v>
      </c>
      <c r="D8" s="242">
        <f>VLOOKUP(MPAFs!B4,ChemicalProperties!D:I,6,FALSE)</f>
        <v>100000000</v>
      </c>
      <c r="E8" s="242" t="s">
        <v>34</v>
      </c>
      <c r="F8" s="243"/>
      <c r="G8" s="58"/>
      <c r="H8" s="18"/>
    </row>
    <row r="9" spans="1:8" ht="33" x14ac:dyDescent="0.25">
      <c r="A9" s="54"/>
      <c r="B9" s="244" t="s">
        <v>35</v>
      </c>
      <c r="C9" s="245" t="s">
        <v>545</v>
      </c>
      <c r="D9" s="245">
        <f>LN(2)/D8</f>
        <v>6.9314718055994528E-9</v>
      </c>
      <c r="E9" s="245" t="s">
        <v>546</v>
      </c>
      <c r="F9" s="246" t="s">
        <v>547</v>
      </c>
      <c r="G9" s="58"/>
      <c r="H9" s="18"/>
    </row>
    <row r="10" spans="1:8" ht="18.75" x14ac:dyDescent="0.25">
      <c r="A10" s="54"/>
      <c r="B10" s="244" t="s">
        <v>36</v>
      </c>
      <c r="C10" s="245" t="s">
        <v>548</v>
      </c>
      <c r="D10" s="245">
        <f>ScenarioParameters!C3</f>
        <v>0</v>
      </c>
      <c r="E10" s="245" t="s">
        <v>34</v>
      </c>
      <c r="F10" s="246" t="s">
        <v>37</v>
      </c>
      <c r="G10" s="58"/>
      <c r="H10" s="18"/>
    </row>
    <row r="11" spans="1:8" ht="18.75" x14ac:dyDescent="0.25">
      <c r="A11" s="54"/>
      <c r="B11" s="244" t="s">
        <v>38</v>
      </c>
      <c r="C11" s="245" t="s">
        <v>549</v>
      </c>
      <c r="D11" s="245">
        <f>ScenarioParameters!C4</f>
        <v>25550</v>
      </c>
      <c r="E11" s="245" t="s">
        <v>34</v>
      </c>
      <c r="F11" s="246" t="s">
        <v>39</v>
      </c>
      <c r="G11" s="58"/>
      <c r="H11" s="18"/>
    </row>
    <row r="12" spans="1:8" ht="18.75" x14ac:dyDescent="0.25">
      <c r="A12" s="54"/>
      <c r="B12" s="244" t="s">
        <v>439</v>
      </c>
      <c r="C12" s="245" t="s">
        <v>550</v>
      </c>
      <c r="D12" s="245">
        <f>D11-D10</f>
        <v>25550</v>
      </c>
      <c r="E12" s="245" t="s">
        <v>34</v>
      </c>
      <c r="F12" s="247" t="s">
        <v>551</v>
      </c>
      <c r="G12" s="58"/>
      <c r="H12" s="18"/>
    </row>
    <row r="13" spans="1:8" ht="30.75" x14ac:dyDescent="0.25">
      <c r="A13" s="54"/>
      <c r="B13" s="244" t="s">
        <v>40</v>
      </c>
      <c r="C13" s="245" t="s">
        <v>41</v>
      </c>
      <c r="D13" s="245">
        <f>((EXP(-D9*D11)-EXP(-D9*D10))/D9)+D12</f>
        <v>2.2623075160227017</v>
      </c>
      <c r="E13" s="245" t="s">
        <v>34</v>
      </c>
      <c r="F13" s="246" t="s">
        <v>552</v>
      </c>
      <c r="G13" s="58"/>
      <c r="H13" s="18"/>
    </row>
    <row r="14" spans="1:8" ht="15" x14ac:dyDescent="0.25">
      <c r="A14" s="54"/>
      <c r="B14" s="244" t="s">
        <v>42</v>
      </c>
      <c r="C14" s="245" t="s">
        <v>43</v>
      </c>
      <c r="D14" s="245">
        <f>ScenarioParameters!C5</f>
        <v>0.02</v>
      </c>
      <c r="E14" s="245" t="s">
        <v>44</v>
      </c>
      <c r="F14" s="246" t="s">
        <v>45</v>
      </c>
      <c r="G14" s="58"/>
      <c r="H14" s="18"/>
    </row>
    <row r="15" spans="1:8" ht="33" x14ac:dyDescent="0.25">
      <c r="A15" s="54"/>
      <c r="B15" s="244" t="s">
        <v>46</v>
      </c>
      <c r="C15" s="245" t="s">
        <v>47</v>
      </c>
      <c r="D15" s="245">
        <f>D4*D14*86400</f>
        <v>1728</v>
      </c>
      <c r="E15" s="245" t="s">
        <v>553</v>
      </c>
      <c r="F15" s="246" t="s">
        <v>554</v>
      </c>
      <c r="G15" s="58"/>
      <c r="H15" s="18"/>
    </row>
    <row r="16" spans="1:8" ht="16.5" x14ac:dyDescent="0.25">
      <c r="A16" s="54"/>
      <c r="B16" s="244" t="s">
        <v>48</v>
      </c>
      <c r="C16" s="245" t="s">
        <v>49</v>
      </c>
      <c r="D16" s="245">
        <f>ScenarioParameters!C6</f>
        <v>1333</v>
      </c>
      <c r="E16" s="245" t="s">
        <v>555</v>
      </c>
      <c r="F16" s="247"/>
      <c r="G16" s="58"/>
      <c r="H16" s="18"/>
    </row>
    <row r="17" spans="1:8" ht="15" x14ac:dyDescent="0.25">
      <c r="A17" s="54"/>
      <c r="B17" s="248" t="s">
        <v>50</v>
      </c>
      <c r="C17" s="245" t="s">
        <v>156</v>
      </c>
      <c r="D17" s="245">
        <f>ScenarioParameters!C7</f>
        <v>0.01</v>
      </c>
      <c r="E17" s="245" t="s">
        <v>51</v>
      </c>
      <c r="F17" s="247"/>
      <c r="G17" s="58"/>
      <c r="H17" s="18"/>
    </row>
    <row r="18" spans="1:8" ht="31.5" x14ac:dyDescent="0.25">
      <c r="A18" s="54"/>
      <c r="B18" s="249" t="s">
        <v>54</v>
      </c>
      <c r="C18" s="250" t="s">
        <v>761</v>
      </c>
      <c r="D18" s="250">
        <f>D15*D13/(D9*D17*D16*D12)</f>
        <v>1655956.2611960184</v>
      </c>
      <c r="E18" s="250" t="s">
        <v>88</v>
      </c>
      <c r="F18" s="251" t="s">
        <v>558</v>
      </c>
      <c r="G18" s="58"/>
      <c r="H18" s="18"/>
    </row>
    <row r="19" spans="1:8" ht="15" x14ac:dyDescent="0.25">
      <c r="A19" s="141"/>
      <c r="B19" s="142"/>
      <c r="C19" s="142"/>
      <c r="D19" s="142"/>
      <c r="E19" s="142"/>
      <c r="F19" s="142"/>
      <c r="G19" s="58"/>
      <c r="H19" s="18"/>
    </row>
    <row r="20" spans="1:8" s="47" customFormat="1" ht="16.5" x14ac:dyDescent="0.3">
      <c r="A20" s="44" t="s">
        <v>561</v>
      </c>
      <c r="B20" s="252"/>
      <c r="C20" s="45"/>
      <c r="D20" s="45"/>
      <c r="E20" s="45"/>
      <c r="F20" s="45"/>
      <c r="G20" s="46"/>
    </row>
    <row r="21" spans="1:8" s="53" customFormat="1" ht="15" x14ac:dyDescent="0.25">
      <c r="A21" s="48"/>
      <c r="B21" s="234" t="s">
        <v>26</v>
      </c>
      <c r="C21" s="235" t="s">
        <v>27</v>
      </c>
      <c r="D21" s="235" t="s">
        <v>28</v>
      </c>
      <c r="E21" s="235" t="s">
        <v>29</v>
      </c>
      <c r="F21" s="236" t="s">
        <v>30</v>
      </c>
      <c r="G21" s="52"/>
    </row>
    <row r="22" spans="1:8" x14ac:dyDescent="0.2">
      <c r="A22" s="18"/>
      <c r="B22" s="253" t="s">
        <v>55</v>
      </c>
      <c r="C22" s="242" t="s">
        <v>56</v>
      </c>
      <c r="D22" s="254">
        <f>VLOOKUP(MPAFs!B4,ChemicalProperties!D:N,11,FALSE)</f>
        <v>0.6</v>
      </c>
      <c r="E22" s="255" t="s">
        <v>57</v>
      </c>
      <c r="F22" s="243"/>
      <c r="G22" s="58"/>
    </row>
    <row r="23" spans="1:8" x14ac:dyDescent="0.2">
      <c r="A23" s="18"/>
      <c r="B23" s="256" t="s">
        <v>58</v>
      </c>
      <c r="C23" s="257"/>
      <c r="D23" s="257"/>
      <c r="E23" s="258" t="s">
        <v>59</v>
      </c>
      <c r="F23" s="259"/>
      <c r="G23" s="58"/>
    </row>
    <row r="24" spans="1:8" ht="18.75" x14ac:dyDescent="0.2">
      <c r="A24" s="18"/>
      <c r="B24" s="260" t="s">
        <v>61</v>
      </c>
      <c r="C24" s="261" t="s">
        <v>564</v>
      </c>
      <c r="D24" s="261">
        <f>VLOOKUP(TRIM(B24),ExposureGroupParameters!B:D,2,FALSE)</f>
        <v>15.18</v>
      </c>
      <c r="E24" s="262"/>
      <c r="F24" s="263"/>
      <c r="G24" s="58"/>
    </row>
    <row r="25" spans="1:8" ht="18.75" x14ac:dyDescent="0.2">
      <c r="A25" s="18"/>
      <c r="B25" s="260" t="s">
        <v>157</v>
      </c>
      <c r="C25" s="261" t="s">
        <v>762</v>
      </c>
      <c r="D25" s="261">
        <f>VLOOKUP(TRIM(B25),ExposureGroupParameters!B:D,2,FALSE)</f>
        <v>6.79</v>
      </c>
      <c r="E25" s="262"/>
      <c r="F25" s="263"/>
      <c r="G25" s="58"/>
    </row>
    <row r="26" spans="1:8" x14ac:dyDescent="0.2">
      <c r="A26" s="18"/>
      <c r="B26" s="264" t="s">
        <v>65</v>
      </c>
      <c r="C26" s="257" t="s">
        <v>121</v>
      </c>
      <c r="D26" s="257">
        <f>ScenarioParameters!C16</f>
        <v>0.68493150684931503</v>
      </c>
      <c r="E26" s="265" t="s">
        <v>57</v>
      </c>
      <c r="F26" s="266" t="s">
        <v>158</v>
      </c>
      <c r="G26" s="58"/>
    </row>
    <row r="27" spans="1:8" ht="33" x14ac:dyDescent="0.2">
      <c r="A27" s="18"/>
      <c r="B27" s="267" t="s">
        <v>67</v>
      </c>
      <c r="C27" s="268"/>
      <c r="D27" s="268"/>
      <c r="E27" s="269" t="s">
        <v>59</v>
      </c>
      <c r="F27" s="270" t="s">
        <v>763</v>
      </c>
      <c r="G27" s="58"/>
    </row>
    <row r="28" spans="1:8" ht="16.5" x14ac:dyDescent="0.2">
      <c r="A28" s="18"/>
      <c r="B28" s="271" t="s">
        <v>61</v>
      </c>
      <c r="C28" s="272" t="s">
        <v>572</v>
      </c>
      <c r="D28" s="272">
        <f>D18*D22*D24*POWER(10,-9)*D26</f>
        <v>1.0330444949981737E-2</v>
      </c>
      <c r="E28" s="273"/>
      <c r="F28" s="274"/>
      <c r="G28" s="58"/>
    </row>
    <row r="29" spans="1:8" ht="16.5" x14ac:dyDescent="0.2">
      <c r="A29" s="18"/>
      <c r="B29" s="275" t="s">
        <v>157</v>
      </c>
      <c r="C29" s="276" t="s">
        <v>764</v>
      </c>
      <c r="D29" s="276">
        <f>D18*D22*D25*POWER(10,-9)*D26</f>
        <v>4.6207984987072463E-3</v>
      </c>
      <c r="E29" s="277"/>
      <c r="F29" s="278"/>
      <c r="G29" s="58"/>
    </row>
    <row r="30" spans="1:8" x14ac:dyDescent="0.2">
      <c r="A30" s="18"/>
      <c r="B30" s="279"/>
      <c r="C30" s="114"/>
      <c r="D30" s="114"/>
      <c r="E30" s="114"/>
      <c r="F30" s="114"/>
      <c r="G30" s="58"/>
    </row>
    <row r="31" spans="1:8" s="47" customFormat="1" ht="16.5" x14ac:dyDescent="0.3">
      <c r="A31" s="44" t="s">
        <v>576</v>
      </c>
      <c r="B31" s="252"/>
      <c r="C31" s="45"/>
      <c r="D31" s="45"/>
      <c r="E31" s="45"/>
      <c r="F31" s="45"/>
      <c r="G31" s="46"/>
    </row>
    <row r="32" spans="1:8" s="53" customFormat="1" ht="15" x14ac:dyDescent="0.25">
      <c r="A32" s="48"/>
      <c r="B32" s="234" t="s">
        <v>26</v>
      </c>
      <c r="C32" s="235" t="s">
        <v>27</v>
      </c>
      <c r="D32" s="235" t="s">
        <v>28</v>
      </c>
      <c r="E32" s="235" t="s">
        <v>29</v>
      </c>
      <c r="F32" s="236" t="s">
        <v>30</v>
      </c>
      <c r="G32" s="52"/>
    </row>
    <row r="33" spans="1:7" x14ac:dyDescent="0.2">
      <c r="A33" s="18"/>
      <c r="B33" s="280" t="s">
        <v>68</v>
      </c>
      <c r="C33" s="242" t="s">
        <v>69</v>
      </c>
      <c r="D33" s="242">
        <f>VLOOKUP(MPAFs!B4,ChemicalProperties!D:O,12,FALSE)</f>
        <v>0.03</v>
      </c>
      <c r="E33" s="242" t="s">
        <v>57</v>
      </c>
      <c r="F33" s="243" t="s">
        <v>70</v>
      </c>
      <c r="G33" s="58"/>
    </row>
    <row r="34" spans="1:7" x14ac:dyDescent="0.2">
      <c r="A34" s="18"/>
      <c r="B34" s="281" t="s">
        <v>71</v>
      </c>
      <c r="C34" s="257"/>
      <c r="D34" s="257"/>
      <c r="E34" s="257" t="s">
        <v>72</v>
      </c>
      <c r="F34" s="259"/>
      <c r="G34" s="58"/>
    </row>
    <row r="35" spans="1:7" ht="18.75" x14ac:dyDescent="0.2">
      <c r="A35" s="18"/>
      <c r="B35" s="260" t="s">
        <v>61</v>
      </c>
      <c r="C35" s="261" t="s">
        <v>578</v>
      </c>
      <c r="D35" s="261">
        <f>VLOOKUP(TRIM(B35),ExposureGroupParameters!B:I,8,FALSE)</f>
        <v>3600</v>
      </c>
      <c r="E35" s="261"/>
      <c r="F35" s="263"/>
      <c r="G35" s="58"/>
    </row>
    <row r="36" spans="1:7" ht="18.75" x14ac:dyDescent="0.2">
      <c r="A36" s="18"/>
      <c r="B36" s="260" t="s">
        <v>157</v>
      </c>
      <c r="C36" s="261" t="s">
        <v>765</v>
      </c>
      <c r="D36" s="261">
        <f>VLOOKUP(TRIM(B36),ExposureGroupParameters!B:I,8,FALSE)</f>
        <v>6400</v>
      </c>
      <c r="E36" s="261"/>
      <c r="F36" s="263"/>
      <c r="G36" s="58"/>
    </row>
    <row r="37" spans="1:7" ht="33" x14ac:dyDescent="0.2">
      <c r="A37" s="18"/>
      <c r="B37" s="282" t="s">
        <v>73</v>
      </c>
      <c r="C37" s="283"/>
      <c r="D37" s="268"/>
      <c r="E37" s="268" t="s">
        <v>59</v>
      </c>
      <c r="F37" s="270" t="s">
        <v>766</v>
      </c>
      <c r="G37" s="58"/>
    </row>
    <row r="38" spans="1:7" ht="16.5" x14ac:dyDescent="0.2">
      <c r="A38" s="18"/>
      <c r="B38" s="271" t="s">
        <v>61</v>
      </c>
      <c r="C38" s="272" t="s">
        <v>584</v>
      </c>
      <c r="D38" s="272">
        <f>D35*D18*D33*POWER(10,-9)/365</f>
        <v>4.8998157865526022E-4</v>
      </c>
      <c r="E38" s="272"/>
      <c r="F38" s="274"/>
      <c r="G38" s="58"/>
    </row>
    <row r="39" spans="1:7" ht="16.5" x14ac:dyDescent="0.2">
      <c r="A39" s="18"/>
      <c r="B39" s="275" t="s">
        <v>157</v>
      </c>
      <c r="C39" s="276" t="s">
        <v>767</v>
      </c>
      <c r="D39" s="276">
        <f>D36*D18*D33*POWER(10,-9)/365</f>
        <v>8.7107836205379608E-4</v>
      </c>
      <c r="E39" s="276"/>
      <c r="F39" s="284"/>
      <c r="G39" s="58"/>
    </row>
    <row r="40" spans="1:7" x14ac:dyDescent="0.2">
      <c r="A40" s="18"/>
      <c r="B40" s="285"/>
      <c r="C40" s="114"/>
      <c r="G40" s="58"/>
    </row>
    <row r="41" spans="1:7" s="47" customFormat="1" ht="15" x14ac:dyDescent="0.25">
      <c r="A41" s="44" t="s">
        <v>123</v>
      </c>
      <c r="B41" s="252"/>
      <c r="C41" s="45"/>
      <c r="D41" s="45"/>
      <c r="E41" s="45"/>
      <c r="F41" s="45"/>
      <c r="G41" s="46"/>
    </row>
    <row r="42" spans="1:7" s="53" customFormat="1" ht="15" x14ac:dyDescent="0.25">
      <c r="A42" s="48"/>
      <c r="B42" s="234" t="s">
        <v>26</v>
      </c>
      <c r="C42" s="235" t="s">
        <v>27</v>
      </c>
      <c r="D42" s="235" t="s">
        <v>28</v>
      </c>
      <c r="E42" s="235" t="s">
        <v>29</v>
      </c>
      <c r="F42" s="236" t="s">
        <v>30</v>
      </c>
      <c r="G42" s="52"/>
    </row>
    <row r="43" spans="1:7" ht="18.75" x14ac:dyDescent="0.35">
      <c r="A43" s="18"/>
      <c r="B43" s="286" t="s">
        <v>124</v>
      </c>
      <c r="C43" s="287" t="s">
        <v>683</v>
      </c>
      <c r="D43" s="287">
        <f>VLOOKUP(MPAFs!B4,ChemicalProperties!D:G,4,FALSE)</f>
        <v>2.3000000000000001E-4</v>
      </c>
      <c r="E43" s="287" t="s">
        <v>684</v>
      </c>
      <c r="F43" s="288"/>
      <c r="G43" s="58"/>
    </row>
    <row r="44" spans="1:7" x14ac:dyDescent="0.2">
      <c r="A44" s="18"/>
      <c r="B44" s="289" t="s">
        <v>125</v>
      </c>
      <c r="C44" s="290"/>
      <c r="D44" s="290" t="str">
        <f>VLOOKUP(MPAFs!B4,ChemicalProperties!D:V,19,FALSE)</f>
        <v>No</v>
      </c>
      <c r="E44" s="290"/>
      <c r="F44" s="291"/>
      <c r="G44" s="58"/>
    </row>
    <row r="45" spans="1:7" ht="28.5" x14ac:dyDescent="0.2">
      <c r="A45" s="18"/>
      <c r="B45" s="289" t="s">
        <v>159</v>
      </c>
      <c r="C45" s="290" t="s">
        <v>127</v>
      </c>
      <c r="D45" s="290">
        <f>IF(D44="Yes",VLOOKUP(MPAFs!B4,ChemicalProperties!D:V,18,FALSE),1)</f>
        <v>1</v>
      </c>
      <c r="E45" s="290"/>
      <c r="F45" s="292" t="s">
        <v>128</v>
      </c>
      <c r="G45" s="58"/>
    </row>
    <row r="46" spans="1:7" x14ac:dyDescent="0.2">
      <c r="A46" s="18"/>
      <c r="B46" s="289" t="s">
        <v>160</v>
      </c>
      <c r="C46" s="290" t="s">
        <v>161</v>
      </c>
      <c r="D46" s="290">
        <f>ScenarioParameters!C38</f>
        <v>26</v>
      </c>
      <c r="E46" s="290" t="s">
        <v>57</v>
      </c>
      <c r="F46" s="292"/>
      <c r="G46" s="58"/>
    </row>
    <row r="47" spans="1:7" ht="28.5" x14ac:dyDescent="0.2">
      <c r="A47" s="18"/>
      <c r="B47" s="293" t="s">
        <v>129</v>
      </c>
      <c r="C47" s="294" t="s">
        <v>685</v>
      </c>
      <c r="D47" s="245">
        <f>D4*D45/(D43*D46)</f>
        <v>167.22408026755852</v>
      </c>
      <c r="E47" s="294" t="s">
        <v>57</v>
      </c>
      <c r="F47" s="295" t="s">
        <v>768</v>
      </c>
      <c r="G47" s="58"/>
    </row>
    <row r="48" spans="1:7" ht="18.75" x14ac:dyDescent="0.35">
      <c r="A48" s="18"/>
      <c r="B48" s="296" t="s">
        <v>130</v>
      </c>
      <c r="C48" s="297" t="s">
        <v>687</v>
      </c>
      <c r="D48" s="297">
        <f>VLOOKUP(MPAFs!B4,ChemicalProperties!D:O,5,FALSE)</f>
        <v>32</v>
      </c>
      <c r="E48" s="297" t="s">
        <v>688</v>
      </c>
      <c r="F48" s="266"/>
      <c r="G48" s="58"/>
    </row>
    <row r="49" spans="1:7" ht="18.75" x14ac:dyDescent="0.35">
      <c r="A49" s="18"/>
      <c r="B49" s="298" t="s">
        <v>131</v>
      </c>
      <c r="C49" s="299"/>
      <c r="D49" s="299"/>
      <c r="E49" s="299" t="s">
        <v>59</v>
      </c>
      <c r="F49" s="300" t="s">
        <v>769</v>
      </c>
      <c r="G49" s="58"/>
    </row>
    <row r="50" spans="1:7" ht="18.75" x14ac:dyDescent="0.35">
      <c r="A50" s="18"/>
      <c r="B50" s="301" t="s">
        <v>61</v>
      </c>
      <c r="C50" s="302" t="s">
        <v>691</v>
      </c>
      <c r="D50" s="302">
        <f>D28+D38</f>
        <v>1.0820426528636996E-2</v>
      </c>
      <c r="E50" s="302"/>
      <c r="F50" s="303"/>
      <c r="G50" s="58"/>
    </row>
    <row r="51" spans="1:7" ht="18.75" x14ac:dyDescent="0.35">
      <c r="A51" s="18"/>
      <c r="B51" s="301" t="s">
        <v>157</v>
      </c>
      <c r="C51" s="302" t="s">
        <v>770</v>
      </c>
      <c r="D51" s="302">
        <f>D29+D39</f>
        <v>5.491876860761042E-3</v>
      </c>
      <c r="E51" s="302"/>
      <c r="F51" s="303"/>
      <c r="G51" s="58"/>
    </row>
    <row r="52" spans="1:7" x14ac:dyDescent="0.2">
      <c r="A52" s="18"/>
      <c r="B52" s="298" t="s">
        <v>132</v>
      </c>
      <c r="C52" s="299"/>
      <c r="D52" s="299"/>
      <c r="E52" s="299" t="s">
        <v>57</v>
      </c>
      <c r="F52" s="300" t="s">
        <v>133</v>
      </c>
      <c r="G52" s="58"/>
    </row>
    <row r="53" spans="1:7" ht="18.75" x14ac:dyDescent="0.35">
      <c r="A53" s="18"/>
      <c r="B53" s="301" t="s">
        <v>61</v>
      </c>
      <c r="C53" s="302" t="s">
        <v>695</v>
      </c>
      <c r="D53" s="302">
        <f>IF(D44="Yes",VLOOKUP(TRIM(B53),ExposureGroupParameters!B:J,9,FALSE),1)</f>
        <v>1</v>
      </c>
      <c r="E53" s="302"/>
      <c r="F53" s="304"/>
      <c r="G53" s="58"/>
    </row>
    <row r="54" spans="1:7" ht="18.75" x14ac:dyDescent="0.35">
      <c r="A54" s="18"/>
      <c r="B54" s="301" t="s">
        <v>157</v>
      </c>
      <c r="C54" s="302" t="s">
        <v>771</v>
      </c>
      <c r="D54" s="302">
        <f>IF(D44="Yes",VLOOKUP(TRIM(B54),ExposureGroupParameters!B:J,9,FALSE),1)</f>
        <v>1</v>
      </c>
      <c r="E54" s="302"/>
      <c r="F54" s="304"/>
      <c r="G54" s="58"/>
    </row>
    <row r="55" spans="1:7" x14ac:dyDescent="0.2">
      <c r="A55" s="18"/>
      <c r="B55" s="298" t="s">
        <v>134</v>
      </c>
      <c r="C55" s="299"/>
      <c r="D55" s="299"/>
      <c r="E55" s="299" t="s">
        <v>135</v>
      </c>
      <c r="F55" s="305"/>
      <c r="G55" s="58"/>
    </row>
    <row r="56" spans="1:7" ht="18.75" x14ac:dyDescent="0.35">
      <c r="A56" s="18"/>
      <c r="B56" s="301" t="s">
        <v>61</v>
      </c>
      <c r="C56" s="302" t="s">
        <v>699</v>
      </c>
      <c r="D56" s="302">
        <f>VLOOKUP(TRIM(B56),ExposureGroupParameters!B:J,3,FALSE)</f>
        <v>2</v>
      </c>
      <c r="E56" s="302"/>
      <c r="F56" s="304"/>
      <c r="G56" s="58"/>
    </row>
    <row r="57" spans="1:7" ht="18.75" x14ac:dyDescent="0.35">
      <c r="A57" s="18"/>
      <c r="B57" s="301" t="s">
        <v>157</v>
      </c>
      <c r="C57" s="302" t="s">
        <v>772</v>
      </c>
      <c r="D57" s="302">
        <f>VLOOKUP(TRIM(B57),ExposureGroupParameters!B:J,3,FALSE)</f>
        <v>10</v>
      </c>
      <c r="E57" s="302"/>
      <c r="F57" s="304"/>
      <c r="G57" s="58"/>
    </row>
    <row r="58" spans="1:7" x14ac:dyDescent="0.2">
      <c r="A58" s="18"/>
      <c r="B58" s="296" t="s">
        <v>136</v>
      </c>
      <c r="C58" s="297" t="s">
        <v>137</v>
      </c>
      <c r="D58" s="297">
        <f>ScenarioParameters!C10</f>
        <v>70</v>
      </c>
      <c r="E58" s="297" t="s">
        <v>135</v>
      </c>
      <c r="F58" s="306"/>
      <c r="G58" s="58"/>
    </row>
    <row r="59" spans="1:7" ht="18.75" x14ac:dyDescent="0.35">
      <c r="A59" s="18"/>
      <c r="B59" s="298" t="s">
        <v>138</v>
      </c>
      <c r="C59" s="299"/>
      <c r="D59" s="299"/>
      <c r="E59" s="299" t="s">
        <v>57</v>
      </c>
      <c r="F59" s="305" t="s">
        <v>773</v>
      </c>
      <c r="G59" s="58"/>
    </row>
    <row r="60" spans="1:7" ht="18.75" x14ac:dyDescent="0.35">
      <c r="A60" s="18"/>
      <c r="B60" s="301" t="s">
        <v>61</v>
      </c>
      <c r="C60" s="302" t="s">
        <v>774</v>
      </c>
      <c r="D60" s="302">
        <f>D50*D48*D53*D56/D58*POWER(10,6)</f>
        <v>9892.9613976109686</v>
      </c>
      <c r="E60" s="302"/>
      <c r="F60" s="304"/>
      <c r="G60" s="58"/>
    </row>
    <row r="61" spans="1:7" ht="18.75" x14ac:dyDescent="0.35">
      <c r="A61" s="18"/>
      <c r="B61" s="301" t="s">
        <v>157</v>
      </c>
      <c r="C61" s="302" t="s">
        <v>775</v>
      </c>
      <c r="D61" s="302">
        <f>D51*D48*D54*D57/D58*POWER(10,6)</f>
        <v>25105.722792050477</v>
      </c>
      <c r="E61" s="302"/>
      <c r="F61" s="304"/>
      <c r="G61" s="58"/>
    </row>
    <row r="62" spans="1:7" ht="18.75" x14ac:dyDescent="0.35">
      <c r="A62" s="18"/>
      <c r="B62" s="307" t="s">
        <v>142</v>
      </c>
      <c r="C62" s="297" t="s">
        <v>711</v>
      </c>
      <c r="D62" s="297">
        <f>D60+D61</f>
        <v>34998.68418966145</v>
      </c>
      <c r="E62" s="297" t="s">
        <v>57</v>
      </c>
      <c r="F62" s="306" t="s">
        <v>776</v>
      </c>
      <c r="G62" s="58"/>
    </row>
    <row r="63" spans="1:7" ht="16.5" x14ac:dyDescent="0.3">
      <c r="A63" s="18"/>
      <c r="B63" s="308" t="s">
        <v>143</v>
      </c>
      <c r="C63" s="309" t="s">
        <v>123</v>
      </c>
      <c r="D63" s="309">
        <f>IFERROR((D47+D62)/D47, "NA")</f>
        <v>210.29213145417549</v>
      </c>
      <c r="E63" s="309" t="s">
        <v>57</v>
      </c>
      <c r="F63" s="310" t="s">
        <v>713</v>
      </c>
      <c r="G63" s="58"/>
    </row>
    <row r="64" spans="1:7" x14ac:dyDescent="0.2">
      <c r="A64" s="24"/>
      <c r="B64" s="142"/>
      <c r="C64" s="142"/>
      <c r="D64" s="142"/>
      <c r="E64" s="142"/>
      <c r="F64" s="142"/>
      <c r="G64" s="20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4E53A-32A6-48DC-85FE-72B77540CE30}">
  <sheetPr codeName="Sheet8">
    <tabColor theme="8" tint="0.79998168889431442"/>
  </sheetPr>
  <dimension ref="A1:G55"/>
  <sheetViews>
    <sheetView showGridLines="0" workbookViewId="0">
      <pane ySplit="1" topLeftCell="A2" activePane="bottomLeft" state="frozen"/>
      <selection pane="bottomLeft" sqref="A1:XFD1048576"/>
    </sheetView>
  </sheetViews>
  <sheetFormatPr defaultRowHeight="14.25" x14ac:dyDescent="0.2"/>
  <cols>
    <col min="1" max="1" width="2.28515625" style="2" customWidth="1"/>
    <col min="2" max="2" width="47.7109375" style="2" customWidth="1"/>
    <col min="3" max="3" width="17.28515625" style="2" customWidth="1"/>
    <col min="4" max="4" width="13.28515625" style="2" customWidth="1"/>
    <col min="5" max="5" width="13.7109375" style="2" customWidth="1"/>
    <col min="6" max="6" width="88.140625" style="2" customWidth="1"/>
    <col min="7" max="7" width="2.28515625" style="201" customWidth="1"/>
    <col min="8" max="16384" width="9.140625" style="2"/>
  </cols>
  <sheetData>
    <row r="1" spans="1:7" ht="20.25" x14ac:dyDescent="0.3">
      <c r="A1" s="41" t="str">
        <f>"Nonresident Child Noncancer Calculations: " &amp; MPAFs!B4</f>
        <v>Nonresident Child Noncancer Calculations: 7440-38-2 | Arsenic and inorganic compounds</v>
      </c>
      <c r="B1" s="42"/>
      <c r="C1" s="42"/>
      <c r="D1" s="42"/>
      <c r="E1" s="42"/>
      <c r="F1" s="42"/>
      <c r="G1" s="43"/>
    </row>
    <row r="2" spans="1:7" s="47" customFormat="1" ht="16.5" x14ac:dyDescent="0.3">
      <c r="A2" s="44" t="s">
        <v>540</v>
      </c>
      <c r="B2" s="45"/>
      <c r="C2" s="45"/>
      <c r="D2" s="45"/>
      <c r="E2" s="45"/>
      <c r="F2" s="45"/>
      <c r="G2" s="46"/>
    </row>
    <row r="3" spans="1:7" s="53" customFormat="1" ht="15" x14ac:dyDescent="0.25">
      <c r="A3" s="48"/>
      <c r="B3" s="234" t="s">
        <v>26</v>
      </c>
      <c r="C3" s="235" t="s">
        <v>27</v>
      </c>
      <c r="D3" s="235" t="s">
        <v>28</v>
      </c>
      <c r="E3" s="235" t="s">
        <v>29</v>
      </c>
      <c r="F3" s="236" t="s">
        <v>30</v>
      </c>
      <c r="G3" s="312"/>
    </row>
    <row r="4" spans="1:7" ht="18" x14ac:dyDescent="0.3">
      <c r="A4" s="54"/>
      <c r="B4" s="238" t="s">
        <v>31</v>
      </c>
      <c r="C4" s="239" t="s">
        <v>541</v>
      </c>
      <c r="D4" s="239">
        <f>ScenarioParameters!C2</f>
        <v>1</v>
      </c>
      <c r="E4" s="239" t="s">
        <v>542</v>
      </c>
      <c r="F4" s="240" t="s">
        <v>32</v>
      </c>
      <c r="G4" s="58"/>
    </row>
    <row r="5" spans="1:7" ht="15" x14ac:dyDescent="0.25">
      <c r="A5" s="141"/>
      <c r="B5" s="142"/>
      <c r="C5" s="142"/>
      <c r="D5" s="142"/>
      <c r="E5" s="142"/>
      <c r="F5" s="142"/>
      <c r="G5" s="200"/>
    </row>
    <row r="6" spans="1:7" s="47" customFormat="1" ht="16.5" x14ac:dyDescent="0.3">
      <c r="A6" s="44" t="s">
        <v>543</v>
      </c>
      <c r="B6" s="60"/>
      <c r="C6" s="60"/>
      <c r="D6" s="60"/>
      <c r="E6" s="60"/>
      <c r="F6" s="60"/>
      <c r="G6" s="46"/>
    </row>
    <row r="7" spans="1:7" s="53" customFormat="1" ht="15" x14ac:dyDescent="0.25">
      <c r="A7" s="48"/>
      <c r="B7" s="234" t="s">
        <v>26</v>
      </c>
      <c r="C7" s="235" t="s">
        <v>27</v>
      </c>
      <c r="D7" s="235" t="s">
        <v>28</v>
      </c>
      <c r="E7" s="235" t="s">
        <v>29</v>
      </c>
      <c r="F7" s="236" t="s">
        <v>30</v>
      </c>
      <c r="G7" s="312"/>
    </row>
    <row r="8" spans="1:7" ht="18.75" x14ac:dyDescent="0.25">
      <c r="A8" s="54"/>
      <c r="B8" s="241" t="s">
        <v>33</v>
      </c>
      <c r="C8" s="242" t="s">
        <v>544</v>
      </c>
      <c r="D8" s="242">
        <f>VLOOKUP(MPAFs!B4,ChemicalProperties!D:I,6,FALSE)</f>
        <v>100000000</v>
      </c>
      <c r="E8" s="242" t="s">
        <v>34</v>
      </c>
      <c r="F8" s="243"/>
      <c r="G8" s="58"/>
    </row>
    <row r="9" spans="1:7" ht="33" x14ac:dyDescent="0.25">
      <c r="A9" s="54"/>
      <c r="B9" s="244" t="s">
        <v>35</v>
      </c>
      <c r="C9" s="245" t="s">
        <v>545</v>
      </c>
      <c r="D9" s="245">
        <f>LN(2)/D8</f>
        <v>6.9314718055994528E-9</v>
      </c>
      <c r="E9" s="245" t="s">
        <v>546</v>
      </c>
      <c r="F9" s="246" t="s">
        <v>547</v>
      </c>
      <c r="G9" s="58"/>
    </row>
    <row r="10" spans="1:7" ht="18.75" x14ac:dyDescent="0.25">
      <c r="A10" s="54"/>
      <c r="B10" s="244" t="s">
        <v>36</v>
      </c>
      <c r="C10" s="245" t="s">
        <v>548</v>
      </c>
      <c r="D10" s="245">
        <f>ScenarioParameters!C3</f>
        <v>0</v>
      </c>
      <c r="E10" s="245" t="s">
        <v>34</v>
      </c>
      <c r="F10" s="246" t="s">
        <v>37</v>
      </c>
      <c r="G10" s="58"/>
    </row>
    <row r="11" spans="1:7" ht="18.75" x14ac:dyDescent="0.25">
      <c r="A11" s="54"/>
      <c r="B11" s="244" t="s">
        <v>38</v>
      </c>
      <c r="C11" s="245" t="s">
        <v>549</v>
      </c>
      <c r="D11" s="245">
        <f>ScenarioParameters!C4</f>
        <v>25550</v>
      </c>
      <c r="E11" s="245" t="s">
        <v>34</v>
      </c>
      <c r="F11" s="246" t="s">
        <v>39</v>
      </c>
      <c r="G11" s="58"/>
    </row>
    <row r="12" spans="1:7" ht="18.75" x14ac:dyDescent="0.25">
      <c r="A12" s="54"/>
      <c r="B12" s="244" t="s">
        <v>439</v>
      </c>
      <c r="C12" s="245" t="s">
        <v>550</v>
      </c>
      <c r="D12" s="245">
        <f>D11-D10</f>
        <v>25550</v>
      </c>
      <c r="E12" s="245" t="s">
        <v>34</v>
      </c>
      <c r="F12" s="247" t="s">
        <v>551</v>
      </c>
      <c r="G12" s="58"/>
    </row>
    <row r="13" spans="1:7" ht="30.75" x14ac:dyDescent="0.25">
      <c r="A13" s="54"/>
      <c r="B13" s="244" t="s">
        <v>40</v>
      </c>
      <c r="C13" s="245" t="s">
        <v>41</v>
      </c>
      <c r="D13" s="245">
        <f>((EXP(-D9*D11)-EXP(-D9*D10))/D9)+D12</f>
        <v>2.2623075160227017</v>
      </c>
      <c r="E13" s="245" t="s">
        <v>34</v>
      </c>
      <c r="F13" s="246" t="s">
        <v>552</v>
      </c>
      <c r="G13" s="58"/>
    </row>
    <row r="14" spans="1:7" ht="15" x14ac:dyDescent="0.25">
      <c r="A14" s="54"/>
      <c r="B14" s="244" t="s">
        <v>42</v>
      </c>
      <c r="C14" s="245" t="s">
        <v>43</v>
      </c>
      <c r="D14" s="245">
        <f>ScenarioParameters!C5</f>
        <v>0.02</v>
      </c>
      <c r="E14" s="245" t="s">
        <v>44</v>
      </c>
      <c r="F14" s="246" t="s">
        <v>45</v>
      </c>
      <c r="G14" s="58"/>
    </row>
    <row r="15" spans="1:7" ht="33" x14ac:dyDescent="0.25">
      <c r="A15" s="54"/>
      <c r="B15" s="244" t="s">
        <v>46</v>
      </c>
      <c r="C15" s="245" t="s">
        <v>47</v>
      </c>
      <c r="D15" s="245">
        <f>D4*D14*86400</f>
        <v>1728</v>
      </c>
      <c r="E15" s="245" t="s">
        <v>553</v>
      </c>
      <c r="F15" s="246" t="s">
        <v>554</v>
      </c>
      <c r="G15" s="58"/>
    </row>
    <row r="16" spans="1:7" ht="16.5" x14ac:dyDescent="0.25">
      <c r="A16" s="54"/>
      <c r="B16" s="244" t="s">
        <v>48</v>
      </c>
      <c r="C16" s="245" t="s">
        <v>49</v>
      </c>
      <c r="D16" s="245">
        <f>ScenarioParameters!C6</f>
        <v>1333</v>
      </c>
      <c r="E16" s="245" t="s">
        <v>555</v>
      </c>
      <c r="F16" s="247"/>
      <c r="G16" s="58"/>
    </row>
    <row r="17" spans="1:7" ht="15" x14ac:dyDescent="0.25">
      <c r="A17" s="54"/>
      <c r="B17" s="248" t="s">
        <v>50</v>
      </c>
      <c r="C17" s="245" t="s">
        <v>156</v>
      </c>
      <c r="D17" s="245">
        <f>ScenarioParameters!C7</f>
        <v>0.01</v>
      </c>
      <c r="E17" s="245" t="s">
        <v>51</v>
      </c>
      <c r="F17" s="247"/>
      <c r="G17" s="58"/>
    </row>
    <row r="18" spans="1:7" ht="31.5" x14ac:dyDescent="0.25">
      <c r="A18" s="54"/>
      <c r="B18" s="313" t="s">
        <v>54</v>
      </c>
      <c r="C18" s="250" t="s">
        <v>761</v>
      </c>
      <c r="D18" s="250">
        <f>D15*D13/(D9*D17*D16*D12)</f>
        <v>1655956.2611960184</v>
      </c>
      <c r="E18" s="250" t="s">
        <v>88</v>
      </c>
      <c r="F18" s="251" t="s">
        <v>558</v>
      </c>
      <c r="G18" s="58"/>
    </row>
    <row r="19" spans="1:7" ht="15" x14ac:dyDescent="0.25">
      <c r="A19" s="141"/>
      <c r="B19" s="142"/>
      <c r="C19" s="142"/>
      <c r="D19" s="142"/>
      <c r="E19" s="142"/>
      <c r="F19" s="142"/>
      <c r="G19" s="200"/>
    </row>
    <row r="20" spans="1:7" s="47" customFormat="1" ht="16.5" x14ac:dyDescent="0.3">
      <c r="A20" s="44" t="s">
        <v>561</v>
      </c>
      <c r="B20" s="45"/>
      <c r="C20" s="45"/>
      <c r="D20" s="45"/>
      <c r="E20" s="45"/>
      <c r="F20" s="45"/>
      <c r="G20" s="46"/>
    </row>
    <row r="21" spans="1:7" s="53" customFormat="1" ht="15" x14ac:dyDescent="0.25">
      <c r="A21" s="48"/>
      <c r="B21" s="234" t="s">
        <v>26</v>
      </c>
      <c r="C21" s="235" t="s">
        <v>27</v>
      </c>
      <c r="D21" s="235" t="s">
        <v>28</v>
      </c>
      <c r="E21" s="235" t="s">
        <v>29</v>
      </c>
      <c r="F21" s="236" t="s">
        <v>30</v>
      </c>
      <c r="G21" s="52"/>
    </row>
    <row r="22" spans="1:7" x14ac:dyDescent="0.2">
      <c r="A22" s="18"/>
      <c r="B22" s="314" t="s">
        <v>55</v>
      </c>
      <c r="C22" s="242" t="s">
        <v>56</v>
      </c>
      <c r="D22" s="254">
        <f>VLOOKUP(MPAFs!B4,ChemicalProperties!D:N,11,FALSE)</f>
        <v>0.6</v>
      </c>
      <c r="E22" s="255" t="s">
        <v>57</v>
      </c>
      <c r="F22" s="243"/>
      <c r="G22" s="58"/>
    </row>
    <row r="23" spans="1:7" x14ac:dyDescent="0.2">
      <c r="A23" s="18"/>
      <c r="B23" s="256" t="s">
        <v>58</v>
      </c>
      <c r="C23" s="257"/>
      <c r="D23" s="257"/>
      <c r="E23" s="258" t="s">
        <v>59</v>
      </c>
      <c r="F23" s="259"/>
      <c r="G23" s="58"/>
    </row>
    <row r="24" spans="1:7" ht="18.75" x14ac:dyDescent="0.2">
      <c r="A24" s="18"/>
      <c r="B24" s="260" t="s">
        <v>61</v>
      </c>
      <c r="C24" s="315" t="s">
        <v>717</v>
      </c>
      <c r="D24" s="315">
        <f>VLOOKUP(TRIM(B24),ExposureGroupParameters!B:D,2,FALSE)</f>
        <v>15.18</v>
      </c>
      <c r="E24" s="316"/>
      <c r="F24" s="317" t="s">
        <v>144</v>
      </c>
      <c r="G24" s="58"/>
    </row>
    <row r="25" spans="1:7" ht="18.75" x14ac:dyDescent="0.2">
      <c r="A25" s="18"/>
      <c r="B25" s="260" t="s">
        <v>157</v>
      </c>
      <c r="C25" s="315" t="s">
        <v>777</v>
      </c>
      <c r="D25" s="315">
        <f>VLOOKUP(TRIM(B25),ExposureGroupParameters!B:D,2,FALSE)</f>
        <v>6.79</v>
      </c>
      <c r="E25" s="316"/>
      <c r="F25" s="317"/>
      <c r="G25" s="58"/>
    </row>
    <row r="26" spans="1:7" x14ac:dyDescent="0.2">
      <c r="A26" s="18"/>
      <c r="B26" s="256" t="s">
        <v>134</v>
      </c>
      <c r="C26" s="318"/>
      <c r="D26" s="318"/>
      <c r="E26" s="319" t="s">
        <v>135</v>
      </c>
      <c r="F26" s="320"/>
      <c r="G26" s="58"/>
    </row>
    <row r="27" spans="1:7" ht="18.75" x14ac:dyDescent="0.2">
      <c r="A27" s="18"/>
      <c r="B27" s="260" t="s">
        <v>61</v>
      </c>
      <c r="C27" s="315" t="s">
        <v>721</v>
      </c>
      <c r="D27" s="315">
        <f>VLOOKUP(TRIM(B27),ExposureGroupParameters!B:D,3,FALSE)</f>
        <v>2</v>
      </c>
      <c r="E27" s="316"/>
      <c r="F27" s="317" t="s">
        <v>144</v>
      </c>
      <c r="G27" s="58"/>
    </row>
    <row r="28" spans="1:7" ht="18.75" x14ac:dyDescent="0.2">
      <c r="A28" s="18"/>
      <c r="B28" s="260" t="s">
        <v>157</v>
      </c>
      <c r="C28" s="315" t="s">
        <v>778</v>
      </c>
      <c r="D28" s="315">
        <f>VLOOKUP(TRIM(B28),ExposureGroupParameters!B:D,3,FALSE)</f>
        <v>10</v>
      </c>
      <c r="E28" s="316"/>
      <c r="F28" s="317"/>
      <c r="G28" s="58"/>
    </row>
    <row r="29" spans="1:7" x14ac:dyDescent="0.2">
      <c r="A29" s="18"/>
      <c r="B29" s="248" t="s">
        <v>162</v>
      </c>
      <c r="C29" s="321" t="s">
        <v>137</v>
      </c>
      <c r="D29" s="321">
        <f>ScenarioParameters!C13</f>
        <v>2</v>
      </c>
      <c r="E29" s="322" t="s">
        <v>135</v>
      </c>
      <c r="F29" s="323" t="s">
        <v>146</v>
      </c>
      <c r="G29" s="58"/>
    </row>
    <row r="30" spans="1:7" ht="33" x14ac:dyDescent="0.2">
      <c r="A30" s="18"/>
      <c r="B30" s="256" t="s">
        <v>67</v>
      </c>
      <c r="C30" s="318"/>
      <c r="D30" s="318"/>
      <c r="E30" s="319" t="s">
        <v>59</v>
      </c>
      <c r="F30" s="324" t="s">
        <v>779</v>
      </c>
      <c r="G30" s="58"/>
    </row>
    <row r="31" spans="1:7" ht="18.75" x14ac:dyDescent="0.2">
      <c r="A31" s="18"/>
      <c r="B31" s="260" t="s">
        <v>61</v>
      </c>
      <c r="C31" s="315" t="s">
        <v>725</v>
      </c>
      <c r="D31" s="315">
        <f>D18*D22*D24*D27/D29*POWER(10,-9)</f>
        <v>1.5082449626973336E-2</v>
      </c>
      <c r="E31" s="316"/>
      <c r="F31" s="317" t="s">
        <v>144</v>
      </c>
      <c r="G31" s="58"/>
    </row>
    <row r="32" spans="1:7" ht="18.75" x14ac:dyDescent="0.2">
      <c r="A32" s="18"/>
      <c r="B32" s="260" t="s">
        <v>157</v>
      </c>
      <c r="C32" s="315" t="s">
        <v>780</v>
      </c>
      <c r="D32" s="315">
        <f>D18*D22*D25*D28/D29*POWER(10,-9)</f>
        <v>3.3731829040562891E-2</v>
      </c>
      <c r="E32" s="316"/>
      <c r="F32" s="317"/>
      <c r="G32" s="58"/>
    </row>
    <row r="33" spans="1:7" ht="16.5" x14ac:dyDescent="0.2">
      <c r="A33" s="18"/>
      <c r="B33" s="249" t="s">
        <v>163</v>
      </c>
      <c r="C33" s="325" t="s">
        <v>561</v>
      </c>
      <c r="D33" s="325">
        <f>D31</f>
        <v>1.5082449626973336E-2</v>
      </c>
      <c r="E33" s="326" t="s">
        <v>59</v>
      </c>
      <c r="F33" s="327" t="s">
        <v>730</v>
      </c>
      <c r="G33" s="58"/>
    </row>
    <row r="34" spans="1:7" x14ac:dyDescent="0.2">
      <c r="A34" s="18"/>
      <c r="C34" s="47"/>
      <c r="D34" s="47"/>
      <c r="E34" s="47"/>
      <c r="F34" s="47"/>
      <c r="G34" s="58"/>
    </row>
    <row r="35" spans="1:7" s="47" customFormat="1" ht="16.5" x14ac:dyDescent="0.3">
      <c r="A35" s="44" t="s">
        <v>576</v>
      </c>
      <c r="B35" s="45"/>
      <c r="C35" s="45"/>
      <c r="D35" s="45"/>
      <c r="E35" s="45"/>
      <c r="F35" s="45"/>
      <c r="G35" s="46"/>
    </row>
    <row r="36" spans="1:7" s="53" customFormat="1" ht="15" x14ac:dyDescent="0.25">
      <c r="A36" s="48"/>
      <c r="B36" s="234" t="s">
        <v>26</v>
      </c>
      <c r="C36" s="235" t="s">
        <v>27</v>
      </c>
      <c r="D36" s="235" t="s">
        <v>28</v>
      </c>
      <c r="E36" s="235" t="s">
        <v>29</v>
      </c>
      <c r="F36" s="236" t="s">
        <v>30</v>
      </c>
      <c r="G36" s="52"/>
    </row>
    <row r="37" spans="1:7" x14ac:dyDescent="0.2">
      <c r="A37" s="18"/>
      <c r="B37" s="280" t="s">
        <v>68</v>
      </c>
      <c r="C37" s="328" t="s">
        <v>69</v>
      </c>
      <c r="D37" s="328">
        <f>VLOOKUP(MPAFs!B4,ChemicalProperties!D:O,12,FALSE)</f>
        <v>0.03</v>
      </c>
      <c r="E37" s="328" t="s">
        <v>57</v>
      </c>
      <c r="F37" s="329" t="s">
        <v>70</v>
      </c>
      <c r="G37" s="58"/>
    </row>
    <row r="38" spans="1:7" x14ac:dyDescent="0.2">
      <c r="A38" s="18"/>
      <c r="B38" s="281" t="s">
        <v>71</v>
      </c>
      <c r="C38" s="318"/>
      <c r="D38" s="318"/>
      <c r="E38" s="318" t="s">
        <v>72</v>
      </c>
      <c r="F38" s="320"/>
      <c r="G38" s="58"/>
    </row>
    <row r="39" spans="1:7" ht="18.75" x14ac:dyDescent="0.2">
      <c r="A39" s="18"/>
      <c r="B39" s="260" t="s">
        <v>61</v>
      </c>
      <c r="C39" s="315" t="s">
        <v>781</v>
      </c>
      <c r="D39" s="315">
        <f>VLOOKUP(TRIM(B39),ExposureGroupParameters!B:I,8,FALSE)</f>
        <v>3600</v>
      </c>
      <c r="E39" s="315"/>
      <c r="F39" s="317" t="s">
        <v>144</v>
      </c>
      <c r="G39" s="58"/>
    </row>
    <row r="40" spans="1:7" ht="18.75" x14ac:dyDescent="0.2">
      <c r="A40" s="18"/>
      <c r="B40" s="260" t="s">
        <v>157</v>
      </c>
      <c r="C40" s="315" t="s">
        <v>782</v>
      </c>
      <c r="D40" s="315">
        <f>VLOOKUP(TRIM(B40),ExposureGroupParameters!B:I,8,FALSE)</f>
        <v>6400</v>
      </c>
      <c r="E40" s="315"/>
      <c r="F40" s="317" t="s">
        <v>164</v>
      </c>
      <c r="G40" s="58"/>
    </row>
    <row r="41" spans="1:7" ht="33" x14ac:dyDescent="0.2">
      <c r="A41" s="18"/>
      <c r="B41" s="281" t="s">
        <v>165</v>
      </c>
      <c r="C41" s="257"/>
      <c r="D41" s="257"/>
      <c r="E41" s="257" t="s">
        <v>59</v>
      </c>
      <c r="F41" s="330" t="s">
        <v>783</v>
      </c>
      <c r="G41" s="58"/>
    </row>
    <row r="42" spans="1:7" ht="18.75" x14ac:dyDescent="0.2">
      <c r="A42" s="18"/>
      <c r="B42" s="260" t="s">
        <v>61</v>
      </c>
      <c r="C42" s="261" t="s">
        <v>732</v>
      </c>
      <c r="D42" s="261">
        <f>D39*D18*D37*D27/D29*(1/350)*POWER(10,-9)</f>
        <v>5.1098078916905711E-4</v>
      </c>
      <c r="E42" s="261"/>
      <c r="F42" s="317" t="s">
        <v>144</v>
      </c>
      <c r="G42" s="58"/>
    </row>
    <row r="43" spans="1:7" ht="18.75" x14ac:dyDescent="0.2">
      <c r="A43" s="18"/>
      <c r="B43" s="260" t="s">
        <v>157</v>
      </c>
      <c r="C43" s="261" t="s">
        <v>784</v>
      </c>
      <c r="D43" s="261">
        <f>D40*D18*D37*D28/D29*(1/350)*POWER(10,-9)</f>
        <v>4.5420514592805078E-3</v>
      </c>
      <c r="E43" s="261"/>
      <c r="F43" s="317"/>
      <c r="G43" s="58"/>
    </row>
    <row r="44" spans="1:7" ht="16.5" x14ac:dyDescent="0.2">
      <c r="A44" s="18"/>
      <c r="B44" s="331" t="s">
        <v>148</v>
      </c>
      <c r="C44" s="332" t="s">
        <v>736</v>
      </c>
      <c r="D44" s="250">
        <f>D42</f>
        <v>5.1098078916905711E-4</v>
      </c>
      <c r="E44" s="250" t="s">
        <v>59</v>
      </c>
      <c r="F44" s="327" t="s">
        <v>737</v>
      </c>
      <c r="G44" s="58"/>
    </row>
    <row r="45" spans="1:7" x14ac:dyDescent="0.2">
      <c r="A45" s="18"/>
      <c r="B45" s="53"/>
      <c r="F45" s="47"/>
      <c r="G45" s="58"/>
    </row>
    <row r="46" spans="1:7" s="47" customFormat="1" ht="15" x14ac:dyDescent="0.25">
      <c r="A46" s="44" t="s">
        <v>123</v>
      </c>
      <c r="B46" s="45"/>
      <c r="C46" s="45"/>
      <c r="D46" s="45"/>
      <c r="E46" s="45"/>
      <c r="F46" s="45"/>
      <c r="G46" s="46"/>
    </row>
    <row r="47" spans="1:7" s="53" customFormat="1" ht="15" x14ac:dyDescent="0.25">
      <c r="A47" s="48"/>
      <c r="B47" s="234" t="s">
        <v>26</v>
      </c>
      <c r="C47" s="235" t="s">
        <v>27</v>
      </c>
      <c r="D47" s="235" t="s">
        <v>28</v>
      </c>
      <c r="E47" s="235" t="s">
        <v>29</v>
      </c>
      <c r="F47" s="236" t="s">
        <v>30</v>
      </c>
      <c r="G47" s="312"/>
    </row>
    <row r="48" spans="1:7" ht="18.75" x14ac:dyDescent="0.35">
      <c r="A48" s="54"/>
      <c r="B48" s="307" t="s">
        <v>151</v>
      </c>
      <c r="C48" s="333" t="s">
        <v>752</v>
      </c>
      <c r="D48" s="287">
        <f>VLOOKUP(MPAFs!B4,ChemicalProperties!D:E,2,FALSE)</f>
        <v>1.4999999999999999E-2</v>
      </c>
      <c r="E48" s="287" t="s">
        <v>684</v>
      </c>
      <c r="F48" s="329"/>
      <c r="G48" s="58"/>
    </row>
    <row r="49" spans="1:7" ht="15" x14ac:dyDescent="0.25">
      <c r="A49" s="54"/>
      <c r="B49" s="307" t="s">
        <v>166</v>
      </c>
      <c r="C49" s="333" t="s">
        <v>167</v>
      </c>
      <c r="D49" s="290">
        <f>ScenarioParameters!C39</f>
        <v>4.4000000000000004</v>
      </c>
      <c r="E49" s="290" t="s">
        <v>57</v>
      </c>
      <c r="F49" s="292"/>
      <c r="G49" s="58"/>
    </row>
    <row r="50" spans="1:7" ht="18.75" x14ac:dyDescent="0.35">
      <c r="A50" s="54"/>
      <c r="B50" s="307" t="s">
        <v>152</v>
      </c>
      <c r="C50" s="333" t="s">
        <v>753</v>
      </c>
      <c r="D50" s="297">
        <f>D4/(D48*D49)</f>
        <v>15.15151515151515</v>
      </c>
      <c r="E50" s="297" t="s">
        <v>57</v>
      </c>
      <c r="F50" s="266" t="s">
        <v>785</v>
      </c>
      <c r="G50" s="58"/>
    </row>
    <row r="51" spans="1:7" ht="18.75" x14ac:dyDescent="0.35">
      <c r="A51" s="18"/>
      <c r="B51" s="307" t="s">
        <v>153</v>
      </c>
      <c r="C51" s="297" t="s">
        <v>755</v>
      </c>
      <c r="D51" s="297">
        <f>VLOOKUP(MPAFs!B4,ChemicalProperties!D:F,3,FALSE)</f>
        <v>6.0000000000000002E-5</v>
      </c>
      <c r="E51" s="297" t="s">
        <v>59</v>
      </c>
      <c r="F51" s="306"/>
      <c r="G51" s="58"/>
    </row>
    <row r="52" spans="1:7" ht="18.75" x14ac:dyDescent="0.35">
      <c r="A52" s="18"/>
      <c r="B52" s="307" t="s">
        <v>154</v>
      </c>
      <c r="C52" s="297" t="s">
        <v>756</v>
      </c>
      <c r="D52" s="297">
        <f>D33+D44</f>
        <v>1.5593430416142393E-2</v>
      </c>
      <c r="E52" s="297" t="s">
        <v>59</v>
      </c>
      <c r="F52" s="306" t="s">
        <v>786</v>
      </c>
      <c r="G52" s="58"/>
    </row>
    <row r="53" spans="1:7" ht="18.75" x14ac:dyDescent="0.35">
      <c r="A53" s="18"/>
      <c r="B53" s="307" t="s">
        <v>155</v>
      </c>
      <c r="C53" s="297" t="s">
        <v>758</v>
      </c>
      <c r="D53" s="297">
        <f>D52/D51</f>
        <v>259.89050693570653</v>
      </c>
      <c r="E53" s="297" t="s">
        <v>57</v>
      </c>
      <c r="F53" s="306" t="s">
        <v>759</v>
      </c>
      <c r="G53" s="58"/>
    </row>
    <row r="54" spans="1:7" ht="16.5" x14ac:dyDescent="0.3">
      <c r="A54" s="18"/>
      <c r="B54" s="308" t="s">
        <v>143</v>
      </c>
      <c r="C54" s="309" t="s">
        <v>123</v>
      </c>
      <c r="D54" s="309">
        <f>IFERROR((D50+D53)/D50, "NA")</f>
        <v>18.152773457756631</v>
      </c>
      <c r="E54" s="309" t="s">
        <v>57</v>
      </c>
      <c r="F54" s="310" t="s">
        <v>760</v>
      </c>
      <c r="G54" s="58"/>
    </row>
    <row r="55" spans="1:7" x14ac:dyDescent="0.2">
      <c r="A55" s="24"/>
      <c r="B55" s="142"/>
      <c r="C55" s="142"/>
      <c r="D55" s="142"/>
      <c r="E55" s="142"/>
      <c r="F55" s="142"/>
      <c r="G55" s="20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FDB-96BE-4EB0-A738-049CBE78BE72}">
  <sheetPr codeName="Sheet5">
    <tabColor theme="9" tint="0.59999389629810485"/>
  </sheetPr>
  <dimension ref="A1:H47"/>
  <sheetViews>
    <sheetView showGridLines="0" workbookViewId="0">
      <pane ySplit="1" topLeftCell="A2" activePane="bottomLeft" state="frozen"/>
      <selection pane="bottomLeft" sqref="A1:XFD1048576"/>
    </sheetView>
  </sheetViews>
  <sheetFormatPr defaultRowHeight="14.25" x14ac:dyDescent="0.2"/>
  <cols>
    <col min="1" max="1" width="2.28515625" style="2" customWidth="1"/>
    <col min="2" max="2" width="44.42578125" style="311" customWidth="1"/>
    <col min="3" max="3" width="17.5703125" style="2" customWidth="1"/>
    <col min="4" max="4" width="13.28515625" style="2" customWidth="1"/>
    <col min="5" max="5" width="13.7109375" style="2" customWidth="1"/>
    <col min="6" max="6" width="72.140625" style="2" customWidth="1"/>
    <col min="7" max="7" width="2.28515625" style="201" customWidth="1"/>
    <col min="8" max="8" width="21.42578125" style="2" customWidth="1"/>
    <col min="9" max="9" width="19.42578125" style="2" customWidth="1"/>
    <col min="10" max="16384" width="9.140625" style="2"/>
  </cols>
  <sheetData>
    <row r="1" spans="1:8" ht="20.25" x14ac:dyDescent="0.3">
      <c r="A1" s="41" t="str">
        <f>"Worker Cancer Calculations: " &amp; MPAFs!B4</f>
        <v>Worker Cancer Calculations: 7440-38-2 | Arsenic and inorganic compounds</v>
      </c>
      <c r="B1" s="232"/>
      <c r="C1" s="42"/>
      <c r="D1" s="42"/>
      <c r="E1" s="42"/>
      <c r="F1" s="42"/>
      <c r="G1" s="43"/>
    </row>
    <row r="2" spans="1:8" s="47" customFormat="1" ht="16.5" x14ac:dyDescent="0.3">
      <c r="A2" s="44" t="s">
        <v>540</v>
      </c>
      <c r="B2" s="45"/>
      <c r="C2" s="45"/>
      <c r="D2" s="45"/>
      <c r="E2" s="45"/>
      <c r="F2" s="45"/>
      <c r="G2" s="46"/>
      <c r="H2" s="233"/>
    </row>
    <row r="3" spans="1:8" s="53" customFormat="1" ht="15" x14ac:dyDescent="0.25">
      <c r="A3" s="48"/>
      <c r="B3" s="334" t="s">
        <v>26</v>
      </c>
      <c r="C3" s="335" t="s">
        <v>27</v>
      </c>
      <c r="D3" s="335" t="s">
        <v>28</v>
      </c>
      <c r="E3" s="335" t="s">
        <v>29</v>
      </c>
      <c r="F3" s="336" t="s">
        <v>30</v>
      </c>
      <c r="G3" s="52"/>
      <c r="H3" s="237"/>
    </row>
    <row r="4" spans="1:8" ht="18" x14ac:dyDescent="0.3">
      <c r="A4" s="54"/>
      <c r="B4" s="337" t="s">
        <v>31</v>
      </c>
      <c r="C4" s="338" t="s">
        <v>541</v>
      </c>
      <c r="D4" s="338">
        <f>ScenarioParameters!C2</f>
        <v>1</v>
      </c>
      <c r="E4" s="338" t="s">
        <v>542</v>
      </c>
      <c r="F4" s="339" t="s">
        <v>32</v>
      </c>
      <c r="G4" s="58"/>
      <c r="H4" s="18"/>
    </row>
    <row r="5" spans="1:8" ht="15" x14ac:dyDescent="0.25">
      <c r="A5" s="141"/>
      <c r="B5" s="142"/>
      <c r="C5" s="142"/>
      <c r="D5" s="142"/>
      <c r="E5" s="142"/>
      <c r="F5" s="142"/>
      <c r="G5" s="58"/>
      <c r="H5" s="18"/>
    </row>
    <row r="6" spans="1:8" s="47" customFormat="1" ht="16.5" x14ac:dyDescent="0.3">
      <c r="A6" s="44" t="s">
        <v>543</v>
      </c>
      <c r="B6" s="60"/>
      <c r="C6" s="60"/>
      <c r="D6" s="60"/>
      <c r="E6" s="60"/>
      <c r="F6" s="60"/>
      <c r="G6" s="46"/>
      <c r="H6" s="233"/>
    </row>
    <row r="7" spans="1:8" s="53" customFormat="1" ht="15" x14ac:dyDescent="0.25">
      <c r="A7" s="48"/>
      <c r="B7" s="334" t="s">
        <v>26</v>
      </c>
      <c r="C7" s="335" t="s">
        <v>27</v>
      </c>
      <c r="D7" s="335" t="s">
        <v>28</v>
      </c>
      <c r="E7" s="335" t="s">
        <v>29</v>
      </c>
      <c r="F7" s="336" t="s">
        <v>30</v>
      </c>
      <c r="G7" s="52"/>
      <c r="H7" s="237"/>
    </row>
    <row r="8" spans="1:8" ht="18.75" x14ac:dyDescent="0.25">
      <c r="A8" s="54"/>
      <c r="B8" s="340" t="s">
        <v>33</v>
      </c>
      <c r="C8" s="341" t="s">
        <v>544</v>
      </c>
      <c r="D8" s="341">
        <f>VLOOKUP(MPAFs!B4,ChemicalProperties!D:I,6,FALSE)</f>
        <v>100000000</v>
      </c>
      <c r="E8" s="341" t="s">
        <v>34</v>
      </c>
      <c r="F8" s="342"/>
      <c r="G8" s="58"/>
      <c r="H8" s="18"/>
    </row>
    <row r="9" spans="1:8" ht="33" x14ac:dyDescent="0.25">
      <c r="A9" s="54"/>
      <c r="B9" s="343" t="s">
        <v>35</v>
      </c>
      <c r="C9" s="344" t="s">
        <v>545</v>
      </c>
      <c r="D9" s="344">
        <f>LN(2)/D8</f>
        <v>6.9314718055994528E-9</v>
      </c>
      <c r="E9" s="344" t="s">
        <v>546</v>
      </c>
      <c r="F9" s="345" t="s">
        <v>547</v>
      </c>
      <c r="G9" s="58"/>
      <c r="H9" s="18"/>
    </row>
    <row r="10" spans="1:8" ht="18.75" x14ac:dyDescent="0.25">
      <c r="A10" s="54"/>
      <c r="B10" s="343" t="s">
        <v>36</v>
      </c>
      <c r="C10" s="344" t="s">
        <v>548</v>
      </c>
      <c r="D10" s="344">
        <f>ScenarioParameters!C3</f>
        <v>0</v>
      </c>
      <c r="E10" s="344" t="s">
        <v>34</v>
      </c>
      <c r="F10" s="345" t="s">
        <v>37</v>
      </c>
      <c r="G10" s="58"/>
      <c r="H10" s="18"/>
    </row>
    <row r="11" spans="1:8" ht="18.75" x14ac:dyDescent="0.25">
      <c r="A11" s="54"/>
      <c r="B11" s="343" t="s">
        <v>38</v>
      </c>
      <c r="C11" s="344" t="s">
        <v>549</v>
      </c>
      <c r="D11" s="344">
        <f>ScenarioParameters!C4</f>
        <v>25550</v>
      </c>
      <c r="E11" s="344" t="s">
        <v>34</v>
      </c>
      <c r="F11" s="345" t="s">
        <v>39</v>
      </c>
      <c r="G11" s="58"/>
      <c r="H11" s="18"/>
    </row>
    <row r="12" spans="1:8" ht="18.75" x14ac:dyDescent="0.25">
      <c r="A12" s="54"/>
      <c r="B12" s="343" t="s">
        <v>439</v>
      </c>
      <c r="C12" s="344" t="s">
        <v>550</v>
      </c>
      <c r="D12" s="344">
        <f>D11-D10</f>
        <v>25550</v>
      </c>
      <c r="E12" s="344" t="s">
        <v>34</v>
      </c>
      <c r="F12" s="346" t="s">
        <v>551</v>
      </c>
      <c r="G12" s="58"/>
      <c r="H12" s="18"/>
    </row>
    <row r="13" spans="1:8" ht="30.75" x14ac:dyDescent="0.25">
      <c r="A13" s="54"/>
      <c r="B13" s="343" t="s">
        <v>40</v>
      </c>
      <c r="C13" s="344" t="s">
        <v>41</v>
      </c>
      <c r="D13" s="344">
        <f>((EXP(-D9*D11)-EXP(-D9*D10))/D9)+D12</f>
        <v>2.2623075160227017</v>
      </c>
      <c r="E13" s="344" t="s">
        <v>34</v>
      </c>
      <c r="F13" s="345" t="s">
        <v>552</v>
      </c>
      <c r="G13" s="58"/>
      <c r="H13" s="18"/>
    </row>
    <row r="14" spans="1:8" ht="15" x14ac:dyDescent="0.25">
      <c r="A14" s="54"/>
      <c r="B14" s="343" t="s">
        <v>42</v>
      </c>
      <c r="C14" s="344" t="s">
        <v>43</v>
      </c>
      <c r="D14" s="344">
        <f>ScenarioParameters!C5</f>
        <v>0.02</v>
      </c>
      <c r="E14" s="344" t="s">
        <v>44</v>
      </c>
      <c r="F14" s="345" t="s">
        <v>45</v>
      </c>
      <c r="G14" s="58"/>
      <c r="H14" s="18"/>
    </row>
    <row r="15" spans="1:8" ht="33" x14ac:dyDescent="0.25">
      <c r="A15" s="54"/>
      <c r="B15" s="343" t="s">
        <v>46</v>
      </c>
      <c r="C15" s="344" t="s">
        <v>47</v>
      </c>
      <c r="D15" s="344">
        <f>D4*D14*86400</f>
        <v>1728</v>
      </c>
      <c r="E15" s="344" t="s">
        <v>553</v>
      </c>
      <c r="F15" s="345" t="s">
        <v>554</v>
      </c>
      <c r="G15" s="58"/>
      <c r="H15" s="18"/>
    </row>
    <row r="16" spans="1:8" ht="16.5" x14ac:dyDescent="0.25">
      <c r="A16" s="54"/>
      <c r="B16" s="343" t="s">
        <v>48</v>
      </c>
      <c r="C16" s="344" t="s">
        <v>49</v>
      </c>
      <c r="D16" s="344">
        <f>ScenarioParameters!C6</f>
        <v>1333</v>
      </c>
      <c r="E16" s="344" t="s">
        <v>555</v>
      </c>
      <c r="F16" s="346"/>
      <c r="G16" s="58"/>
      <c r="H16" s="18"/>
    </row>
    <row r="17" spans="1:8" ht="15" x14ac:dyDescent="0.25">
      <c r="A17" s="54"/>
      <c r="B17" s="347" t="s">
        <v>50</v>
      </c>
      <c r="C17" s="344" t="s">
        <v>156</v>
      </c>
      <c r="D17" s="344">
        <f>ScenarioParameters!C7</f>
        <v>0.01</v>
      </c>
      <c r="E17" s="344" t="s">
        <v>51</v>
      </c>
      <c r="F17" s="346"/>
      <c r="G17" s="58"/>
      <c r="H17" s="18"/>
    </row>
    <row r="18" spans="1:8" ht="31.5" x14ac:dyDescent="0.25">
      <c r="A18" s="54"/>
      <c r="B18" s="348" t="s">
        <v>54</v>
      </c>
      <c r="C18" s="349" t="s">
        <v>761</v>
      </c>
      <c r="D18" s="349">
        <f>D15*D13/(D9*D17*D16*D12)</f>
        <v>1655956.2611960184</v>
      </c>
      <c r="E18" s="349" t="s">
        <v>88</v>
      </c>
      <c r="F18" s="350" t="s">
        <v>558</v>
      </c>
      <c r="G18" s="58"/>
      <c r="H18" s="18"/>
    </row>
    <row r="19" spans="1:8" ht="15" x14ac:dyDescent="0.25">
      <c r="A19" s="141"/>
      <c r="B19" s="142"/>
      <c r="C19" s="142"/>
      <c r="D19" s="142"/>
      <c r="E19" s="142"/>
      <c r="F19" s="142"/>
      <c r="G19" s="58"/>
      <c r="H19" s="18"/>
    </row>
    <row r="20" spans="1:8" s="47" customFormat="1" ht="16.5" x14ac:dyDescent="0.3">
      <c r="A20" s="44" t="s">
        <v>561</v>
      </c>
      <c r="B20" s="252"/>
      <c r="C20" s="45"/>
      <c r="D20" s="45"/>
      <c r="E20" s="45"/>
      <c r="F20" s="45"/>
      <c r="G20" s="46"/>
    </row>
    <row r="21" spans="1:8" s="53" customFormat="1" ht="15" x14ac:dyDescent="0.25">
      <c r="A21" s="48"/>
      <c r="B21" s="334" t="s">
        <v>26</v>
      </c>
      <c r="C21" s="335" t="s">
        <v>27</v>
      </c>
      <c r="D21" s="335" t="s">
        <v>28</v>
      </c>
      <c r="E21" s="335" t="s">
        <v>29</v>
      </c>
      <c r="F21" s="336" t="s">
        <v>30</v>
      </c>
      <c r="G21" s="52"/>
    </row>
    <row r="22" spans="1:8" x14ac:dyDescent="0.2">
      <c r="A22" s="18"/>
      <c r="B22" s="351" t="s">
        <v>55</v>
      </c>
      <c r="C22" s="341" t="s">
        <v>56</v>
      </c>
      <c r="D22" s="352">
        <f>VLOOKUP(MPAFs!B4,ChemicalProperties!D:N,11,FALSE)</f>
        <v>0.6</v>
      </c>
      <c r="E22" s="353" t="s">
        <v>57</v>
      </c>
      <c r="F22" s="342"/>
      <c r="G22" s="58"/>
    </row>
    <row r="23" spans="1:8" x14ac:dyDescent="0.2">
      <c r="A23" s="18"/>
      <c r="B23" s="354" t="s">
        <v>168</v>
      </c>
      <c r="C23" s="344" t="s">
        <v>169</v>
      </c>
      <c r="D23" s="344">
        <f>VLOOKUP("Worker",ExposureGroupParameters!B:D,2,FALSE)</f>
        <v>1.39</v>
      </c>
      <c r="E23" s="355" t="s">
        <v>59</v>
      </c>
      <c r="F23" s="346"/>
      <c r="G23" s="58"/>
    </row>
    <row r="24" spans="1:8" x14ac:dyDescent="0.2">
      <c r="A24" s="18"/>
      <c r="B24" s="356" t="s">
        <v>170</v>
      </c>
      <c r="C24" s="357" t="s">
        <v>121</v>
      </c>
      <c r="D24" s="357">
        <f>ScenarioParameters!C15</f>
        <v>0.68493150684931503</v>
      </c>
      <c r="E24" s="358" t="s">
        <v>57</v>
      </c>
      <c r="F24" s="359" t="s">
        <v>158</v>
      </c>
      <c r="G24" s="58"/>
    </row>
    <row r="25" spans="1:8" ht="33" x14ac:dyDescent="0.2">
      <c r="A25" s="18"/>
      <c r="B25" s="360" t="s">
        <v>171</v>
      </c>
      <c r="C25" s="361" t="s">
        <v>729</v>
      </c>
      <c r="D25" s="349">
        <f>D18*D22*D23*POWER(10,-9)*D24</f>
        <v>9.4593665879279395E-4</v>
      </c>
      <c r="E25" s="362" t="s">
        <v>59</v>
      </c>
      <c r="F25" s="350" t="s">
        <v>763</v>
      </c>
      <c r="G25" s="58"/>
    </row>
    <row r="26" spans="1:8" x14ac:dyDescent="0.2">
      <c r="A26" s="18"/>
      <c r="G26" s="58"/>
    </row>
    <row r="27" spans="1:8" s="47" customFormat="1" ht="16.5" x14ac:dyDescent="0.3">
      <c r="A27" s="44" t="s">
        <v>576</v>
      </c>
      <c r="B27" s="252"/>
      <c r="C27" s="45"/>
      <c r="D27" s="45"/>
      <c r="E27" s="45"/>
      <c r="F27" s="45"/>
      <c r="G27" s="46"/>
    </row>
    <row r="28" spans="1:8" s="53" customFormat="1" ht="15" x14ac:dyDescent="0.25">
      <c r="A28" s="48"/>
      <c r="B28" s="334" t="s">
        <v>26</v>
      </c>
      <c r="C28" s="335" t="s">
        <v>27</v>
      </c>
      <c r="D28" s="335" t="s">
        <v>28</v>
      </c>
      <c r="E28" s="335" t="s">
        <v>29</v>
      </c>
      <c r="F28" s="336" t="s">
        <v>30</v>
      </c>
      <c r="G28" s="52"/>
    </row>
    <row r="29" spans="1:8" x14ac:dyDescent="0.2">
      <c r="A29" s="18"/>
      <c r="B29" s="363" t="s">
        <v>68</v>
      </c>
      <c r="C29" s="341" t="s">
        <v>69</v>
      </c>
      <c r="D29" s="341">
        <f>VLOOKUP(MPAFs!B4,ChemicalProperties!D:O,12,FALSE)</f>
        <v>0.03</v>
      </c>
      <c r="E29" s="341" t="s">
        <v>57</v>
      </c>
      <c r="F29" s="342" t="s">
        <v>70</v>
      </c>
      <c r="G29" s="58"/>
    </row>
    <row r="30" spans="1:8" x14ac:dyDescent="0.2">
      <c r="A30" s="18"/>
      <c r="B30" s="364" t="s">
        <v>172</v>
      </c>
      <c r="C30" s="344" t="s">
        <v>173</v>
      </c>
      <c r="D30" s="344">
        <f>VLOOKUP("Worker",ExposureGroupParameters!B:I,8,FALSE)</f>
        <v>2600</v>
      </c>
      <c r="E30" s="344" t="s">
        <v>72</v>
      </c>
      <c r="F30" s="346"/>
      <c r="G30" s="58"/>
    </row>
    <row r="31" spans="1:8" ht="33" x14ac:dyDescent="0.2">
      <c r="A31" s="18"/>
      <c r="B31" s="365" t="s">
        <v>174</v>
      </c>
      <c r="C31" s="361" t="s">
        <v>736</v>
      </c>
      <c r="D31" s="349">
        <f>D30*D18*D29*POWER(10,-9)/365</f>
        <v>3.5387558458435458E-4</v>
      </c>
      <c r="E31" s="349" t="s">
        <v>59</v>
      </c>
      <c r="F31" s="350" t="s">
        <v>766</v>
      </c>
      <c r="G31" s="58"/>
    </row>
    <row r="32" spans="1:8" x14ac:dyDescent="0.2">
      <c r="A32" s="18"/>
      <c r="B32" s="53"/>
      <c r="G32" s="58"/>
    </row>
    <row r="33" spans="1:7" s="47" customFormat="1" ht="15" x14ac:dyDescent="0.25">
      <c r="A33" s="44" t="s">
        <v>123</v>
      </c>
      <c r="B33" s="252"/>
      <c r="C33" s="45"/>
      <c r="D33" s="45"/>
      <c r="E33" s="45"/>
      <c r="F33" s="45"/>
      <c r="G33" s="46"/>
    </row>
    <row r="34" spans="1:7" s="53" customFormat="1" ht="15" x14ac:dyDescent="0.25">
      <c r="A34" s="48"/>
      <c r="B34" s="334" t="s">
        <v>26</v>
      </c>
      <c r="C34" s="335" t="s">
        <v>27</v>
      </c>
      <c r="D34" s="335" t="s">
        <v>28</v>
      </c>
      <c r="E34" s="335" t="s">
        <v>29</v>
      </c>
      <c r="F34" s="336" t="s">
        <v>30</v>
      </c>
      <c r="G34" s="52"/>
    </row>
    <row r="35" spans="1:7" x14ac:dyDescent="0.2">
      <c r="A35" s="18"/>
      <c r="B35" s="366" t="s">
        <v>175</v>
      </c>
      <c r="C35" s="367" t="s">
        <v>176</v>
      </c>
      <c r="D35" s="367">
        <f>ScenarioParameters!C35</f>
        <v>1</v>
      </c>
      <c r="E35" s="367" t="s">
        <v>57</v>
      </c>
      <c r="F35" s="368"/>
      <c r="G35" s="58"/>
    </row>
    <row r="36" spans="1:7" ht="33" x14ac:dyDescent="0.2">
      <c r="A36" s="18"/>
      <c r="B36" s="369" t="s">
        <v>177</v>
      </c>
      <c r="C36" s="370" t="s">
        <v>787</v>
      </c>
      <c r="D36" s="371">
        <f>D35*D4</f>
        <v>1</v>
      </c>
      <c r="E36" s="341" t="s">
        <v>684</v>
      </c>
      <c r="F36" s="372" t="s">
        <v>788</v>
      </c>
      <c r="G36" s="58"/>
    </row>
    <row r="37" spans="1:7" ht="18.75" x14ac:dyDescent="0.35">
      <c r="A37" s="18"/>
      <c r="B37" s="373" t="s">
        <v>124</v>
      </c>
      <c r="C37" s="374" t="s">
        <v>683</v>
      </c>
      <c r="D37" s="374">
        <f>VLOOKUP(MPAFs!B4,ChemicalProperties!D:G,4,FALSE)</f>
        <v>2.3000000000000001E-4</v>
      </c>
      <c r="E37" s="374" t="s">
        <v>684</v>
      </c>
      <c r="F37" s="375"/>
      <c r="G37" s="58"/>
    </row>
    <row r="38" spans="1:7" x14ac:dyDescent="0.2">
      <c r="A38" s="18"/>
      <c r="B38" s="366" t="s">
        <v>178</v>
      </c>
      <c r="C38" s="367" t="s">
        <v>179</v>
      </c>
      <c r="D38" s="367">
        <f>ScenarioParameters!C36</f>
        <v>12</v>
      </c>
      <c r="E38" s="367" t="s">
        <v>57</v>
      </c>
      <c r="F38" s="368"/>
      <c r="G38" s="58"/>
    </row>
    <row r="39" spans="1:7" ht="28.5" x14ac:dyDescent="0.2">
      <c r="A39" s="18"/>
      <c r="B39" s="354" t="s">
        <v>129</v>
      </c>
      <c r="C39" s="376" t="s">
        <v>685</v>
      </c>
      <c r="D39" s="344">
        <f>D36/(D37*D38)</f>
        <v>362.31884057971013</v>
      </c>
      <c r="E39" s="376" t="s">
        <v>57</v>
      </c>
      <c r="F39" s="377" t="s">
        <v>789</v>
      </c>
      <c r="G39" s="58"/>
    </row>
    <row r="40" spans="1:7" ht="18.75" x14ac:dyDescent="0.35">
      <c r="A40" s="18"/>
      <c r="B40" s="378" t="s">
        <v>130</v>
      </c>
      <c r="C40" s="379" t="s">
        <v>687</v>
      </c>
      <c r="D40" s="379">
        <f>VLOOKUP(MPAFs!B4,ChemicalProperties!D:O,5,FALSE)</f>
        <v>32</v>
      </c>
      <c r="E40" s="379" t="s">
        <v>688</v>
      </c>
      <c r="F40" s="380"/>
      <c r="G40" s="58"/>
    </row>
    <row r="41" spans="1:7" ht="18.75" x14ac:dyDescent="0.35">
      <c r="A41" s="18"/>
      <c r="B41" s="378" t="s">
        <v>154</v>
      </c>
      <c r="C41" s="379" t="s">
        <v>756</v>
      </c>
      <c r="D41" s="379">
        <f>D25+D31</f>
        <v>1.2998122433771485E-3</v>
      </c>
      <c r="E41" s="379" t="s">
        <v>59</v>
      </c>
      <c r="F41" s="380" t="s">
        <v>786</v>
      </c>
      <c r="G41" s="58"/>
    </row>
    <row r="42" spans="1:7" x14ac:dyDescent="0.2">
      <c r="A42" s="18"/>
      <c r="B42" s="378" t="s">
        <v>180</v>
      </c>
      <c r="C42" s="379" t="s">
        <v>181</v>
      </c>
      <c r="D42" s="379">
        <f>VLOOKUP("Worker",ExposureGroupParameters!B:J,9,FALSE)</f>
        <v>1</v>
      </c>
      <c r="E42" s="379" t="s">
        <v>57</v>
      </c>
      <c r="F42" s="380"/>
      <c r="G42" s="58"/>
    </row>
    <row r="43" spans="1:7" x14ac:dyDescent="0.2">
      <c r="A43" s="18"/>
      <c r="B43" s="378" t="s">
        <v>182</v>
      </c>
      <c r="C43" s="379" t="s">
        <v>183</v>
      </c>
      <c r="D43" s="379">
        <f>VLOOKUP("Worker",ExposureGroupParameters!B:J,3,FALSE)</f>
        <v>25</v>
      </c>
      <c r="E43" s="379" t="s">
        <v>135</v>
      </c>
      <c r="F43" s="380"/>
      <c r="G43" s="58"/>
    </row>
    <row r="44" spans="1:7" x14ac:dyDescent="0.2">
      <c r="A44" s="18"/>
      <c r="B44" s="378" t="s">
        <v>136</v>
      </c>
      <c r="C44" s="379" t="s">
        <v>137</v>
      </c>
      <c r="D44" s="379">
        <f>ScenarioParameters!C10</f>
        <v>70</v>
      </c>
      <c r="E44" s="379" t="s">
        <v>135</v>
      </c>
      <c r="F44" s="380"/>
      <c r="G44" s="58"/>
    </row>
    <row r="45" spans="1:7" ht="33" x14ac:dyDescent="0.2">
      <c r="A45" s="18"/>
      <c r="B45" s="354" t="s">
        <v>184</v>
      </c>
      <c r="C45" s="344" t="s">
        <v>711</v>
      </c>
      <c r="D45" s="344">
        <f>D41*D40*D42*D43/D44*POWER(10,6)</f>
        <v>14854.997067167413</v>
      </c>
      <c r="E45" s="344" t="s">
        <v>57</v>
      </c>
      <c r="F45" s="345" t="s">
        <v>790</v>
      </c>
      <c r="G45" s="58"/>
    </row>
    <row r="46" spans="1:7" ht="16.5" x14ac:dyDescent="0.3">
      <c r="A46" s="18"/>
      <c r="B46" s="381" t="s">
        <v>143</v>
      </c>
      <c r="C46" s="382" t="s">
        <v>123</v>
      </c>
      <c r="D46" s="382">
        <f>IFERROR((D39+D45)/D39, "NA")</f>
        <v>41.999791905382061</v>
      </c>
      <c r="E46" s="382" t="s">
        <v>57</v>
      </c>
      <c r="F46" s="383" t="s">
        <v>713</v>
      </c>
      <c r="G46" s="58"/>
    </row>
    <row r="47" spans="1:7" x14ac:dyDescent="0.2">
      <c r="A47" s="24"/>
      <c r="B47" s="142"/>
      <c r="C47" s="142"/>
      <c r="D47" s="142"/>
      <c r="E47" s="142"/>
      <c r="F47" s="142"/>
      <c r="G47" s="20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1092-CA75-4468-AD98-598D37D4842D}">
  <sheetPr codeName="Sheet6">
    <tabColor theme="9" tint="0.59999389629810485"/>
  </sheetPr>
  <dimension ref="A1:G45"/>
  <sheetViews>
    <sheetView showGridLines="0" workbookViewId="0">
      <pane ySplit="1" topLeftCell="A2" activePane="bottomLeft" state="frozen"/>
      <selection pane="bottomLeft" sqref="A1:XFD1048576"/>
    </sheetView>
  </sheetViews>
  <sheetFormatPr defaultRowHeight="14.25" x14ac:dyDescent="0.2"/>
  <cols>
    <col min="1" max="1" width="2.28515625" style="2" customWidth="1"/>
    <col min="2" max="2" width="47.7109375" style="2" customWidth="1"/>
    <col min="3" max="3" width="17.28515625" style="2" customWidth="1"/>
    <col min="4" max="4" width="13.28515625" style="2" customWidth="1"/>
    <col min="5" max="5" width="13.7109375" style="2" customWidth="1"/>
    <col min="6" max="6" width="75.7109375" style="2" customWidth="1"/>
    <col min="7" max="7" width="2.28515625" style="201" customWidth="1"/>
    <col min="8" max="16384" width="9.140625" style="2"/>
  </cols>
  <sheetData>
    <row r="1" spans="1:7" ht="20.25" x14ac:dyDescent="0.3">
      <c r="A1" s="41" t="str">
        <f>"Worker Noncancer Calculations: " &amp; MPAFs!B4</f>
        <v>Worker Noncancer Calculations: 7440-38-2 | Arsenic and inorganic compounds</v>
      </c>
      <c r="B1" s="42"/>
      <c r="C1" s="42"/>
      <c r="D1" s="42"/>
      <c r="E1" s="42"/>
      <c r="F1" s="42"/>
      <c r="G1" s="43"/>
    </row>
    <row r="2" spans="1:7" s="47" customFormat="1" ht="16.5" x14ac:dyDescent="0.3">
      <c r="A2" s="44" t="s">
        <v>540</v>
      </c>
      <c r="B2" s="45"/>
      <c r="C2" s="45"/>
      <c r="D2" s="45"/>
      <c r="E2" s="45"/>
      <c r="F2" s="45"/>
      <c r="G2" s="46"/>
    </row>
    <row r="3" spans="1:7" s="53" customFormat="1" ht="15" x14ac:dyDescent="0.25">
      <c r="A3" s="48"/>
      <c r="B3" s="334" t="s">
        <v>26</v>
      </c>
      <c r="C3" s="335" t="s">
        <v>27</v>
      </c>
      <c r="D3" s="335" t="s">
        <v>28</v>
      </c>
      <c r="E3" s="335" t="s">
        <v>29</v>
      </c>
      <c r="F3" s="336" t="s">
        <v>30</v>
      </c>
      <c r="G3" s="312"/>
    </row>
    <row r="4" spans="1:7" ht="18" x14ac:dyDescent="0.3">
      <c r="A4" s="54"/>
      <c r="B4" s="337" t="s">
        <v>31</v>
      </c>
      <c r="C4" s="338" t="s">
        <v>541</v>
      </c>
      <c r="D4" s="338">
        <f>ScenarioParameters!C2</f>
        <v>1</v>
      </c>
      <c r="E4" s="338" t="s">
        <v>542</v>
      </c>
      <c r="F4" s="339" t="s">
        <v>32</v>
      </c>
      <c r="G4" s="58"/>
    </row>
    <row r="5" spans="1:7" ht="15" x14ac:dyDescent="0.25">
      <c r="A5" s="141"/>
      <c r="B5" s="142"/>
      <c r="C5" s="142"/>
      <c r="D5" s="142"/>
      <c r="E5" s="142"/>
      <c r="F5" s="142"/>
      <c r="G5" s="200"/>
    </row>
    <row r="6" spans="1:7" s="47" customFormat="1" ht="16.5" x14ac:dyDescent="0.3">
      <c r="A6" s="44" t="s">
        <v>543</v>
      </c>
      <c r="B6" s="60"/>
      <c r="C6" s="60"/>
      <c r="D6" s="60"/>
      <c r="E6" s="60"/>
      <c r="F6" s="60"/>
      <c r="G6" s="46"/>
    </row>
    <row r="7" spans="1:7" s="53" customFormat="1" ht="15" x14ac:dyDescent="0.25">
      <c r="A7" s="48"/>
      <c r="B7" s="334" t="s">
        <v>26</v>
      </c>
      <c r="C7" s="335" t="s">
        <v>27</v>
      </c>
      <c r="D7" s="335" t="s">
        <v>28</v>
      </c>
      <c r="E7" s="335" t="s">
        <v>29</v>
      </c>
      <c r="F7" s="336" t="s">
        <v>30</v>
      </c>
      <c r="G7" s="312"/>
    </row>
    <row r="8" spans="1:7" ht="18.75" x14ac:dyDescent="0.25">
      <c r="A8" s="54"/>
      <c r="B8" s="340" t="s">
        <v>33</v>
      </c>
      <c r="C8" s="341" t="s">
        <v>544</v>
      </c>
      <c r="D8" s="341">
        <f>VLOOKUP(MPAFs!B4,ChemicalProperties!D:I,6,FALSE)</f>
        <v>100000000</v>
      </c>
      <c r="E8" s="341" t="s">
        <v>34</v>
      </c>
      <c r="F8" s="342"/>
      <c r="G8" s="58"/>
    </row>
    <row r="9" spans="1:7" ht="33" x14ac:dyDescent="0.25">
      <c r="A9" s="54"/>
      <c r="B9" s="343" t="s">
        <v>35</v>
      </c>
      <c r="C9" s="344" t="s">
        <v>545</v>
      </c>
      <c r="D9" s="344">
        <f>LN(2)/D8</f>
        <v>6.9314718055994528E-9</v>
      </c>
      <c r="E9" s="344" t="s">
        <v>546</v>
      </c>
      <c r="F9" s="345" t="s">
        <v>547</v>
      </c>
      <c r="G9" s="58"/>
    </row>
    <row r="10" spans="1:7" ht="18.75" x14ac:dyDescent="0.25">
      <c r="A10" s="54"/>
      <c r="B10" s="343" t="s">
        <v>36</v>
      </c>
      <c r="C10" s="344" t="s">
        <v>548</v>
      </c>
      <c r="D10" s="344">
        <f>ScenarioParameters!C3</f>
        <v>0</v>
      </c>
      <c r="E10" s="344" t="s">
        <v>34</v>
      </c>
      <c r="F10" s="345" t="s">
        <v>37</v>
      </c>
      <c r="G10" s="58"/>
    </row>
    <row r="11" spans="1:7" ht="18.75" x14ac:dyDescent="0.25">
      <c r="A11" s="54"/>
      <c r="B11" s="343" t="s">
        <v>38</v>
      </c>
      <c r="C11" s="344" t="s">
        <v>549</v>
      </c>
      <c r="D11" s="344">
        <f>ScenarioParameters!C4</f>
        <v>25550</v>
      </c>
      <c r="E11" s="344" t="s">
        <v>34</v>
      </c>
      <c r="F11" s="345" t="s">
        <v>39</v>
      </c>
      <c r="G11" s="58"/>
    </row>
    <row r="12" spans="1:7" ht="18.75" x14ac:dyDescent="0.25">
      <c r="A12" s="54"/>
      <c r="B12" s="343" t="s">
        <v>439</v>
      </c>
      <c r="C12" s="344" t="s">
        <v>550</v>
      </c>
      <c r="D12" s="344">
        <f>D11-D10</f>
        <v>25550</v>
      </c>
      <c r="E12" s="344" t="s">
        <v>34</v>
      </c>
      <c r="F12" s="346" t="s">
        <v>551</v>
      </c>
      <c r="G12" s="58"/>
    </row>
    <row r="13" spans="1:7" ht="30.75" x14ac:dyDescent="0.25">
      <c r="A13" s="54"/>
      <c r="B13" s="343" t="s">
        <v>40</v>
      </c>
      <c r="C13" s="344" t="s">
        <v>41</v>
      </c>
      <c r="D13" s="344">
        <f>((EXP(-D9*D11)-EXP(-D9*D10))/D9)+D12</f>
        <v>2.2623075160227017</v>
      </c>
      <c r="E13" s="344" t="s">
        <v>34</v>
      </c>
      <c r="F13" s="345" t="s">
        <v>552</v>
      </c>
      <c r="G13" s="58"/>
    </row>
    <row r="14" spans="1:7" ht="15" x14ac:dyDescent="0.25">
      <c r="A14" s="54"/>
      <c r="B14" s="343" t="s">
        <v>42</v>
      </c>
      <c r="C14" s="344" t="s">
        <v>43</v>
      </c>
      <c r="D14" s="344">
        <f>ScenarioParameters!C5</f>
        <v>0.02</v>
      </c>
      <c r="E14" s="344" t="s">
        <v>44</v>
      </c>
      <c r="F14" s="345" t="s">
        <v>45</v>
      </c>
      <c r="G14" s="58"/>
    </row>
    <row r="15" spans="1:7" ht="33" x14ac:dyDescent="0.25">
      <c r="A15" s="54"/>
      <c r="B15" s="343" t="s">
        <v>46</v>
      </c>
      <c r="C15" s="344" t="s">
        <v>47</v>
      </c>
      <c r="D15" s="344">
        <f>D4*D14*86400</f>
        <v>1728</v>
      </c>
      <c r="E15" s="344" t="s">
        <v>553</v>
      </c>
      <c r="F15" s="345" t="s">
        <v>554</v>
      </c>
      <c r="G15" s="58"/>
    </row>
    <row r="16" spans="1:7" ht="16.5" x14ac:dyDescent="0.25">
      <c r="A16" s="54"/>
      <c r="B16" s="343" t="s">
        <v>48</v>
      </c>
      <c r="C16" s="344" t="s">
        <v>49</v>
      </c>
      <c r="D16" s="344">
        <f>ScenarioParameters!C6</f>
        <v>1333</v>
      </c>
      <c r="E16" s="344" t="s">
        <v>555</v>
      </c>
      <c r="F16" s="346"/>
      <c r="G16" s="58"/>
    </row>
    <row r="17" spans="1:7" ht="15" x14ac:dyDescent="0.25">
      <c r="A17" s="54"/>
      <c r="B17" s="347" t="s">
        <v>50</v>
      </c>
      <c r="C17" s="344" t="s">
        <v>156</v>
      </c>
      <c r="D17" s="344">
        <f>ScenarioParameters!C7</f>
        <v>0.01</v>
      </c>
      <c r="E17" s="344" t="s">
        <v>51</v>
      </c>
      <c r="F17" s="346"/>
      <c r="G17" s="58"/>
    </row>
    <row r="18" spans="1:7" ht="31.5" x14ac:dyDescent="0.25">
      <c r="A18" s="54"/>
      <c r="B18" s="360" t="s">
        <v>54</v>
      </c>
      <c r="C18" s="349" t="s">
        <v>761</v>
      </c>
      <c r="D18" s="349">
        <f>D15*D13/(D9*D17*D16*D12)</f>
        <v>1655956.2611960184</v>
      </c>
      <c r="E18" s="349" t="s">
        <v>88</v>
      </c>
      <c r="F18" s="350" t="s">
        <v>558</v>
      </c>
      <c r="G18" s="58"/>
    </row>
    <row r="19" spans="1:7" ht="15" x14ac:dyDescent="0.25">
      <c r="A19" s="141"/>
      <c r="B19" s="142"/>
      <c r="C19" s="142"/>
      <c r="D19" s="142"/>
      <c r="E19" s="142"/>
      <c r="F19" s="142"/>
      <c r="G19" s="200"/>
    </row>
    <row r="20" spans="1:7" s="47" customFormat="1" ht="16.5" x14ac:dyDescent="0.3">
      <c r="A20" s="44" t="s">
        <v>561</v>
      </c>
      <c r="B20" s="45"/>
      <c r="C20" s="45"/>
      <c r="D20" s="45"/>
      <c r="E20" s="45"/>
      <c r="F20" s="45"/>
      <c r="G20" s="46"/>
    </row>
    <row r="21" spans="1:7" s="53" customFormat="1" ht="15" x14ac:dyDescent="0.25">
      <c r="A21" s="48"/>
      <c r="B21" s="334" t="s">
        <v>26</v>
      </c>
      <c r="C21" s="335" t="s">
        <v>27</v>
      </c>
      <c r="D21" s="335" t="s">
        <v>28</v>
      </c>
      <c r="E21" s="335" t="s">
        <v>29</v>
      </c>
      <c r="F21" s="336" t="s">
        <v>30</v>
      </c>
      <c r="G21" s="52"/>
    </row>
    <row r="22" spans="1:7" x14ac:dyDescent="0.2">
      <c r="A22" s="18"/>
      <c r="B22" s="384" t="s">
        <v>55</v>
      </c>
      <c r="C22" s="341" t="s">
        <v>56</v>
      </c>
      <c r="D22" s="352">
        <f>VLOOKUP(MPAFs!B4,ChemicalProperties!D:N,11,FALSE)</f>
        <v>0.6</v>
      </c>
      <c r="E22" s="353" t="s">
        <v>57</v>
      </c>
      <c r="F22" s="342"/>
      <c r="G22" s="58"/>
    </row>
    <row r="23" spans="1:7" x14ac:dyDescent="0.2">
      <c r="A23" s="18"/>
      <c r="B23" s="347" t="s">
        <v>168</v>
      </c>
      <c r="C23" s="344" t="s">
        <v>169</v>
      </c>
      <c r="D23" s="344">
        <f>VLOOKUP("Worker",ExposureGroupParameters!B:D,2,FALSE)</f>
        <v>1.39</v>
      </c>
      <c r="E23" s="355" t="s">
        <v>59</v>
      </c>
      <c r="F23" s="346"/>
      <c r="G23" s="58"/>
    </row>
    <row r="24" spans="1:7" x14ac:dyDescent="0.2">
      <c r="A24" s="18"/>
      <c r="B24" s="347" t="s">
        <v>182</v>
      </c>
      <c r="C24" s="344" t="s">
        <v>183</v>
      </c>
      <c r="D24" s="344">
        <f>VLOOKUP("Worker",ExposureGroupParameters!B:D,3,FALSE)</f>
        <v>25</v>
      </c>
      <c r="E24" s="355" t="s">
        <v>135</v>
      </c>
      <c r="F24" s="346"/>
      <c r="G24" s="58"/>
    </row>
    <row r="25" spans="1:7" x14ac:dyDescent="0.2">
      <c r="A25" s="18"/>
      <c r="B25" s="347" t="s">
        <v>185</v>
      </c>
      <c r="C25" s="344" t="s">
        <v>137</v>
      </c>
      <c r="D25" s="344">
        <f>ScenarioParameters!C12</f>
        <v>25</v>
      </c>
      <c r="E25" s="355" t="s">
        <v>135</v>
      </c>
      <c r="F25" s="385" t="s">
        <v>186</v>
      </c>
      <c r="G25" s="58"/>
    </row>
    <row r="26" spans="1:7" ht="33" x14ac:dyDescent="0.2">
      <c r="A26" s="18"/>
      <c r="B26" s="348" t="s">
        <v>187</v>
      </c>
      <c r="C26" s="349" t="s">
        <v>729</v>
      </c>
      <c r="D26" s="349">
        <f>D18*D22*D23*D24/D25*POWER(10,-9)</f>
        <v>1.3810675218374792E-3</v>
      </c>
      <c r="E26" s="362" t="s">
        <v>59</v>
      </c>
      <c r="F26" s="350" t="s">
        <v>791</v>
      </c>
      <c r="G26" s="58"/>
    </row>
    <row r="27" spans="1:7" x14ac:dyDescent="0.2">
      <c r="A27" s="18"/>
      <c r="G27" s="58"/>
    </row>
    <row r="28" spans="1:7" s="47" customFormat="1" ht="16.5" x14ac:dyDescent="0.3">
      <c r="A28" s="44" t="s">
        <v>576</v>
      </c>
      <c r="B28" s="45"/>
      <c r="C28" s="45"/>
      <c r="D28" s="45"/>
      <c r="E28" s="45"/>
      <c r="F28" s="45"/>
      <c r="G28" s="46"/>
    </row>
    <row r="29" spans="1:7" s="53" customFormat="1" ht="15" x14ac:dyDescent="0.25">
      <c r="A29" s="48"/>
      <c r="B29" s="334" t="s">
        <v>26</v>
      </c>
      <c r="C29" s="335" t="s">
        <v>27</v>
      </c>
      <c r="D29" s="335" t="s">
        <v>28</v>
      </c>
      <c r="E29" s="335" t="s">
        <v>29</v>
      </c>
      <c r="F29" s="336" t="s">
        <v>30</v>
      </c>
      <c r="G29" s="52"/>
    </row>
    <row r="30" spans="1:7" x14ac:dyDescent="0.2">
      <c r="A30" s="18"/>
      <c r="B30" s="363" t="s">
        <v>68</v>
      </c>
      <c r="C30" s="374" t="s">
        <v>69</v>
      </c>
      <c r="D30" s="374">
        <f>VLOOKUP(MPAFs!B4,ChemicalProperties!D:O,12,FALSE)</f>
        <v>0.03</v>
      </c>
      <c r="E30" s="374" t="s">
        <v>57</v>
      </c>
      <c r="F30" s="375" t="s">
        <v>70</v>
      </c>
      <c r="G30" s="58"/>
    </row>
    <row r="31" spans="1:7" x14ac:dyDescent="0.2">
      <c r="A31" s="18"/>
      <c r="B31" s="364" t="s">
        <v>172</v>
      </c>
      <c r="C31" s="379" t="s">
        <v>173</v>
      </c>
      <c r="D31" s="379">
        <f>VLOOKUP("Worker",ExposureGroupParameters!B:I,8,FALSE)</f>
        <v>2600</v>
      </c>
      <c r="E31" s="379" t="s">
        <v>72</v>
      </c>
      <c r="F31" s="380"/>
      <c r="G31" s="58"/>
    </row>
    <row r="32" spans="1:7" ht="33" x14ac:dyDescent="0.2">
      <c r="A32" s="18"/>
      <c r="B32" s="365" t="s">
        <v>188</v>
      </c>
      <c r="C32" s="361" t="s">
        <v>736</v>
      </c>
      <c r="D32" s="349">
        <f>D31*D18*D30*D24/D25*1/350*POWER(10,-9)</f>
        <v>3.6904168106654118E-4</v>
      </c>
      <c r="E32" s="349" t="s">
        <v>59</v>
      </c>
      <c r="F32" s="350" t="s">
        <v>792</v>
      </c>
      <c r="G32" s="58"/>
    </row>
    <row r="33" spans="1:7" x14ac:dyDescent="0.2">
      <c r="A33" s="18"/>
      <c r="B33" s="53"/>
      <c r="G33" s="58"/>
    </row>
    <row r="34" spans="1:7" s="47" customFormat="1" ht="15" x14ac:dyDescent="0.25">
      <c r="A34" s="44" t="s">
        <v>123</v>
      </c>
      <c r="B34" s="45"/>
      <c r="C34" s="45"/>
      <c r="D34" s="45"/>
      <c r="E34" s="45"/>
      <c r="F34" s="45"/>
      <c r="G34" s="46"/>
    </row>
    <row r="35" spans="1:7" s="53" customFormat="1" ht="15" x14ac:dyDescent="0.25">
      <c r="A35" s="48"/>
      <c r="B35" s="334" t="s">
        <v>26</v>
      </c>
      <c r="C35" s="335" t="s">
        <v>27</v>
      </c>
      <c r="D35" s="335" t="s">
        <v>28</v>
      </c>
      <c r="E35" s="335" t="s">
        <v>29</v>
      </c>
      <c r="F35" s="336" t="s">
        <v>30</v>
      </c>
      <c r="G35" s="312"/>
    </row>
    <row r="36" spans="1:7" ht="15" x14ac:dyDescent="0.25">
      <c r="A36" s="54"/>
      <c r="B36" s="386" t="s">
        <v>175</v>
      </c>
      <c r="C36" s="387" t="s">
        <v>176</v>
      </c>
      <c r="D36" s="367">
        <f>ScenarioParameters!C35</f>
        <v>1</v>
      </c>
      <c r="E36" s="367" t="s">
        <v>57</v>
      </c>
      <c r="F36" s="368"/>
      <c r="G36" s="58"/>
    </row>
    <row r="37" spans="1:7" ht="33" x14ac:dyDescent="0.25">
      <c r="A37" s="54"/>
      <c r="B37" s="369" t="s">
        <v>177</v>
      </c>
      <c r="C37" s="370" t="s">
        <v>787</v>
      </c>
      <c r="D37" s="371">
        <f>D4*D36</f>
        <v>1</v>
      </c>
      <c r="E37" s="341" t="s">
        <v>684</v>
      </c>
      <c r="F37" s="372" t="s">
        <v>788</v>
      </c>
      <c r="G37" s="58"/>
    </row>
    <row r="38" spans="1:7" ht="18.75" x14ac:dyDescent="0.35">
      <c r="A38" s="54"/>
      <c r="B38" s="388" t="s">
        <v>151</v>
      </c>
      <c r="C38" s="389" t="s">
        <v>752</v>
      </c>
      <c r="D38" s="374">
        <f>VLOOKUP(MPAFs!B4,ChemicalProperties!D:E,2,FALSE)</f>
        <v>1.4999999999999999E-2</v>
      </c>
      <c r="E38" s="374" t="s">
        <v>684</v>
      </c>
      <c r="F38" s="375"/>
      <c r="G38" s="58"/>
    </row>
    <row r="39" spans="1:7" ht="15" x14ac:dyDescent="0.25">
      <c r="A39" s="54"/>
      <c r="B39" s="386" t="s">
        <v>189</v>
      </c>
      <c r="C39" s="387" t="s">
        <v>190</v>
      </c>
      <c r="D39" s="367">
        <f>ScenarioParameters!C37</f>
        <v>4.4000000000000004</v>
      </c>
      <c r="E39" s="367" t="s">
        <v>57</v>
      </c>
      <c r="F39" s="368"/>
      <c r="G39" s="58"/>
    </row>
    <row r="40" spans="1:7" ht="18.75" x14ac:dyDescent="0.35">
      <c r="A40" s="54"/>
      <c r="B40" s="390" t="s">
        <v>152</v>
      </c>
      <c r="C40" s="391" t="s">
        <v>753</v>
      </c>
      <c r="D40" s="379">
        <f>D37/(D38*D39)</f>
        <v>15.15151515151515</v>
      </c>
      <c r="E40" s="379" t="s">
        <v>57</v>
      </c>
      <c r="F40" s="359" t="s">
        <v>793</v>
      </c>
      <c r="G40" s="58"/>
    </row>
    <row r="41" spans="1:7" ht="18.75" x14ac:dyDescent="0.35">
      <c r="A41" s="18"/>
      <c r="B41" s="390" t="s">
        <v>153</v>
      </c>
      <c r="C41" s="379" t="s">
        <v>755</v>
      </c>
      <c r="D41" s="379">
        <f>VLOOKUP(MPAFs!B4,ChemicalProperties!D:F,3,FALSE)</f>
        <v>6.0000000000000002E-5</v>
      </c>
      <c r="E41" s="379" t="s">
        <v>59</v>
      </c>
      <c r="F41" s="380"/>
      <c r="G41" s="58"/>
    </row>
    <row r="42" spans="1:7" ht="18.75" x14ac:dyDescent="0.35">
      <c r="A42" s="18"/>
      <c r="B42" s="390" t="s">
        <v>154</v>
      </c>
      <c r="C42" s="379" t="s">
        <v>756</v>
      </c>
      <c r="D42" s="379">
        <f>D26+D32</f>
        <v>1.7501092029040203E-3</v>
      </c>
      <c r="E42" s="379" t="s">
        <v>59</v>
      </c>
      <c r="F42" s="380" t="s">
        <v>786</v>
      </c>
      <c r="G42" s="58"/>
    </row>
    <row r="43" spans="1:7" ht="18.75" x14ac:dyDescent="0.35">
      <c r="A43" s="18"/>
      <c r="B43" s="390" t="s">
        <v>155</v>
      </c>
      <c r="C43" s="379" t="s">
        <v>758</v>
      </c>
      <c r="D43" s="379">
        <f>D42/D41</f>
        <v>29.168486715067004</v>
      </c>
      <c r="E43" s="379" t="s">
        <v>57</v>
      </c>
      <c r="F43" s="380" t="s">
        <v>759</v>
      </c>
      <c r="G43" s="58"/>
    </row>
    <row r="44" spans="1:7" ht="16.5" x14ac:dyDescent="0.3">
      <c r="A44" s="18"/>
      <c r="B44" s="381" t="s">
        <v>143</v>
      </c>
      <c r="C44" s="382" t="s">
        <v>123</v>
      </c>
      <c r="D44" s="382">
        <f>IFERROR((D40+D43)/D40, "NA")</f>
        <v>2.9251201231944224</v>
      </c>
      <c r="E44" s="382" t="s">
        <v>57</v>
      </c>
      <c r="F44" s="383" t="s">
        <v>760</v>
      </c>
      <c r="G44" s="58"/>
    </row>
    <row r="45" spans="1:7" x14ac:dyDescent="0.2">
      <c r="A45" s="24"/>
      <c r="B45" s="142"/>
      <c r="C45" s="142"/>
      <c r="D45" s="142"/>
      <c r="E45" s="142"/>
      <c r="F45" s="142"/>
      <c r="G45" s="20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A408-4461-4AFF-B3EC-7EA66896899B}">
  <sheetPr codeName="Sheet9">
    <tabColor theme="6" tint="0.59999389629810485"/>
  </sheetPr>
  <dimension ref="A1:Z77"/>
  <sheetViews>
    <sheetView zoomScale="120" zoomScaleNormal="120" workbookViewId="0">
      <pane xSplit="4" ySplit="2" topLeftCell="E21" activePane="bottomRight" state="frozen"/>
      <selection pane="topRight" activeCell="D1" sqref="D1"/>
      <selection pane="bottomLeft" activeCell="A3" sqref="A3"/>
      <selection pane="bottomRight" sqref="A1:XFD1048576"/>
    </sheetView>
  </sheetViews>
  <sheetFormatPr defaultColWidth="8.7109375" defaultRowHeight="14.25" x14ac:dyDescent="0.2"/>
  <cols>
    <col min="1" max="1" width="4.42578125" style="396" customWidth="1"/>
    <col min="2" max="2" width="13" style="435" customWidth="1"/>
    <col min="3" max="3" width="49.5703125" style="47" customWidth="1"/>
    <col min="4" max="4" width="35.85546875" style="433" customWidth="1"/>
    <col min="5" max="6" width="13.42578125" style="47" customWidth="1"/>
    <col min="7" max="7" width="13.28515625" style="418" customWidth="1"/>
    <col min="8" max="8" width="13.85546875" style="47" customWidth="1"/>
    <col min="9" max="9" width="15" style="47" customWidth="1"/>
    <col min="10" max="10" width="15.7109375" style="47" customWidth="1"/>
    <col min="11" max="11" width="14.5703125" style="47" customWidth="1"/>
    <col min="12" max="12" width="15.28515625" style="47" customWidth="1"/>
    <col min="13" max="13" width="14.85546875" style="47" customWidth="1"/>
    <col min="14" max="14" width="15" style="47" customWidth="1"/>
    <col min="15" max="15" width="14.7109375" style="47" customWidth="1"/>
    <col min="16" max="17" width="13.85546875" style="47" customWidth="1"/>
    <col min="18" max="18" width="14.28515625" style="47" customWidth="1"/>
    <col min="19" max="19" width="15.28515625" style="47" customWidth="1"/>
    <col min="20" max="20" width="14.28515625" style="47" customWidth="1"/>
    <col min="21" max="21" width="15.140625" style="47" customWidth="1"/>
    <col min="22" max="22" width="15.28515625" style="47" customWidth="1"/>
    <col min="23" max="23" width="8.85546875" style="418" customWidth="1"/>
    <col min="24" max="16384" width="8.7109375" style="47"/>
  </cols>
  <sheetData>
    <row r="1" spans="1:23" s="392" customFormat="1" ht="85.9" customHeight="1" x14ac:dyDescent="0.25">
      <c r="B1" s="393" t="s">
        <v>191</v>
      </c>
      <c r="C1" s="393" t="s">
        <v>192</v>
      </c>
      <c r="D1" s="393" t="s">
        <v>193</v>
      </c>
      <c r="E1" s="394" t="s">
        <v>194</v>
      </c>
      <c r="F1" s="394" t="s">
        <v>195</v>
      </c>
      <c r="G1" s="394" t="s">
        <v>794</v>
      </c>
      <c r="H1" s="394" t="s">
        <v>795</v>
      </c>
      <c r="I1" s="394" t="s">
        <v>196</v>
      </c>
      <c r="J1" s="394" t="s">
        <v>197</v>
      </c>
      <c r="K1" s="394" t="s">
        <v>198</v>
      </c>
      <c r="L1" s="394" t="s">
        <v>199</v>
      </c>
      <c r="M1" s="394" t="s">
        <v>200</v>
      </c>
      <c r="N1" s="394" t="s">
        <v>201</v>
      </c>
      <c r="O1" s="394" t="s">
        <v>202</v>
      </c>
      <c r="P1" s="394" t="s">
        <v>203</v>
      </c>
      <c r="Q1" s="394" t="s">
        <v>204</v>
      </c>
      <c r="R1" s="394" t="s">
        <v>205</v>
      </c>
      <c r="S1" s="394" t="s">
        <v>206</v>
      </c>
      <c r="T1" s="394" t="s">
        <v>207</v>
      </c>
      <c r="U1" s="394" t="s">
        <v>208</v>
      </c>
      <c r="V1" s="394" t="s">
        <v>125</v>
      </c>
      <c r="W1" s="395" t="s">
        <v>209</v>
      </c>
    </row>
    <row r="2" spans="1:23" s="396" customFormat="1" ht="55.15" customHeight="1" x14ac:dyDescent="0.25">
      <c r="B2" s="397" t="s">
        <v>210</v>
      </c>
      <c r="C2" s="397"/>
      <c r="D2" s="397"/>
      <c r="E2" s="398" t="s">
        <v>211</v>
      </c>
      <c r="F2" s="398" t="s">
        <v>212</v>
      </c>
      <c r="G2" s="398" t="s">
        <v>213</v>
      </c>
      <c r="H2" s="398" t="s">
        <v>214</v>
      </c>
      <c r="I2" s="398" t="s">
        <v>215</v>
      </c>
      <c r="J2" s="398" t="s">
        <v>215</v>
      </c>
      <c r="K2" s="398" t="s">
        <v>215</v>
      </c>
      <c r="L2" s="398" t="s">
        <v>215</v>
      </c>
      <c r="M2" s="398" t="s">
        <v>215</v>
      </c>
      <c r="N2" s="398" t="s">
        <v>215</v>
      </c>
      <c r="O2" s="398" t="s">
        <v>216</v>
      </c>
      <c r="P2" s="398" t="s">
        <v>217</v>
      </c>
      <c r="Q2" s="398" t="s">
        <v>217</v>
      </c>
      <c r="R2" s="399" t="s">
        <v>218</v>
      </c>
      <c r="S2" s="399" t="s">
        <v>218</v>
      </c>
      <c r="T2" s="398" t="s">
        <v>219</v>
      </c>
      <c r="U2" s="398" t="s">
        <v>220</v>
      </c>
      <c r="V2" s="399" t="s">
        <v>218</v>
      </c>
      <c r="W2" s="400" t="s">
        <v>221</v>
      </c>
    </row>
    <row r="3" spans="1:23" ht="30" customHeight="1" x14ac:dyDescent="0.2">
      <c r="A3" s="396">
        <v>34</v>
      </c>
      <c r="B3" s="401" t="s">
        <v>222</v>
      </c>
      <c r="C3" s="402" t="s">
        <v>223</v>
      </c>
      <c r="D3" s="402" t="str">
        <f t="shared" ref="D3:D34" si="0">B3&amp;" | "&amp;C3</f>
        <v>7440-38-2 | Arsenic and inorganic compounds</v>
      </c>
      <c r="E3" s="403">
        <v>1.4999999999999999E-2</v>
      </c>
      <c r="F3" s="403">
        <v>6.0000000000000002E-5</v>
      </c>
      <c r="G3" s="403">
        <v>2.3000000000000001E-4</v>
      </c>
      <c r="H3" s="403">
        <v>32</v>
      </c>
      <c r="I3" s="403">
        <f t="shared" ref="I3:I9" si="1">100000000</f>
        <v>100000000</v>
      </c>
      <c r="J3" s="403">
        <v>8.0000000000000002E-3</v>
      </c>
      <c r="K3" s="403">
        <v>0.01</v>
      </c>
      <c r="L3" s="403">
        <v>7.0000000000000007E-2</v>
      </c>
      <c r="M3" s="403">
        <v>0.02</v>
      </c>
      <c r="N3" s="403">
        <v>0.6</v>
      </c>
      <c r="O3" s="403">
        <v>0.03</v>
      </c>
      <c r="P3" s="403" t="s">
        <v>218</v>
      </c>
      <c r="Q3" s="403" t="s">
        <v>218</v>
      </c>
      <c r="R3" s="403" t="str">
        <f t="shared" ref="R3:R34" si="2">IF(AND(J3&lt;&gt;"NA",K3&lt;&gt;"NA",L3&lt;&gt;"NA",M3&lt;&gt;"NA"),"Yes","No")</f>
        <v>Yes</v>
      </c>
      <c r="S3" s="403" t="str">
        <f>IF(AND(P3&lt;&gt;"NA",Q3&lt;&gt;"NA"),"Yes","No")</f>
        <v>No</v>
      </c>
      <c r="T3" s="403" t="s">
        <v>218</v>
      </c>
      <c r="U3" s="403" t="s">
        <v>218</v>
      </c>
      <c r="V3" s="403" t="str">
        <f>IF(AND(T3&lt;&gt;"NA",U3&lt;&gt;"NA"),"Yes","No")</f>
        <v>No</v>
      </c>
      <c r="W3" s="403" t="s">
        <v>218</v>
      </c>
    </row>
    <row r="4" spans="1:23" ht="30" customHeight="1" x14ac:dyDescent="0.2">
      <c r="A4" s="396">
        <v>75</v>
      </c>
      <c r="B4" s="404" t="s">
        <v>224</v>
      </c>
      <c r="C4" s="405" t="s">
        <v>225</v>
      </c>
      <c r="D4" s="405" t="str">
        <f t="shared" si="0"/>
        <v>7440-43-9 | Cadmium and compounds</v>
      </c>
      <c r="E4" s="406">
        <v>0.01</v>
      </c>
      <c r="F4" s="406">
        <v>1E-4</v>
      </c>
      <c r="G4" s="406">
        <v>5.5999999999999995E-4</v>
      </c>
      <c r="H4" s="406" t="s">
        <v>218</v>
      </c>
      <c r="I4" s="406">
        <f t="shared" si="1"/>
        <v>100000000</v>
      </c>
      <c r="J4" s="406">
        <v>0.08</v>
      </c>
      <c r="K4" s="406">
        <v>0.1</v>
      </c>
      <c r="L4" s="406">
        <v>0.01</v>
      </c>
      <c r="M4" s="406">
        <v>0.02</v>
      </c>
      <c r="N4" s="406">
        <v>1</v>
      </c>
      <c r="O4" s="406">
        <v>1E-3</v>
      </c>
      <c r="P4" s="406" t="s">
        <v>218</v>
      </c>
      <c r="Q4" s="406" t="s">
        <v>218</v>
      </c>
      <c r="R4" s="406" t="str">
        <f t="shared" si="2"/>
        <v>Yes</v>
      </c>
      <c r="S4" s="406" t="str">
        <f>IF(AND(P4&lt;&gt;"NA",Q4&lt;&gt;"NA"),"Yes","No")</f>
        <v>No</v>
      </c>
      <c r="T4" s="406" t="s">
        <v>218</v>
      </c>
      <c r="U4" s="406" t="s">
        <v>218</v>
      </c>
      <c r="V4" s="406" t="str">
        <f>IF(AND(T4&lt;&gt;"NA",U4&lt;&gt;"NA"),"Yes","No")</f>
        <v>No</v>
      </c>
      <c r="W4" s="406" t="s">
        <v>218</v>
      </c>
    </row>
    <row r="5" spans="1:23" ht="30" customHeight="1" x14ac:dyDescent="0.2">
      <c r="A5" s="396">
        <v>119</v>
      </c>
      <c r="B5" s="404" t="s">
        <v>226</v>
      </c>
      <c r="C5" s="405" t="s">
        <v>227</v>
      </c>
      <c r="D5" s="405" t="str">
        <f t="shared" si="0"/>
        <v>16065-83-1 | Chromium, trivalent and compounds (insoluble particulate)</v>
      </c>
      <c r="E5" s="406">
        <v>1.4</v>
      </c>
      <c r="F5" s="407">
        <v>1.5</v>
      </c>
      <c r="G5" s="406" t="s">
        <v>218</v>
      </c>
      <c r="H5" s="406" t="s">
        <v>218</v>
      </c>
      <c r="I5" s="406">
        <f t="shared" si="1"/>
        <v>100000000</v>
      </c>
      <c r="J5" s="406" t="s">
        <v>218</v>
      </c>
      <c r="K5" s="406" t="s">
        <v>218</v>
      </c>
      <c r="L5" s="406" t="s">
        <v>218</v>
      </c>
      <c r="M5" s="406" t="s">
        <v>218</v>
      </c>
      <c r="N5" s="406">
        <v>1</v>
      </c>
      <c r="O5" s="406">
        <v>0.03</v>
      </c>
      <c r="P5" s="406" t="s">
        <v>218</v>
      </c>
      <c r="Q5" s="406" t="s">
        <v>218</v>
      </c>
      <c r="R5" s="406" t="str">
        <f t="shared" si="2"/>
        <v>No</v>
      </c>
      <c r="S5" s="406" t="s">
        <v>218</v>
      </c>
      <c r="T5" s="406" t="s">
        <v>218</v>
      </c>
      <c r="U5" s="406" t="s">
        <v>218</v>
      </c>
      <c r="V5" s="406" t="s">
        <v>228</v>
      </c>
      <c r="W5" s="406" t="s">
        <v>218</v>
      </c>
    </row>
    <row r="6" spans="1:23" ht="30" customHeight="1" x14ac:dyDescent="0.2">
      <c r="A6" s="396">
        <v>120</v>
      </c>
      <c r="B6" s="404" t="s">
        <v>229</v>
      </c>
      <c r="C6" s="405" t="s">
        <v>230</v>
      </c>
      <c r="D6" s="405" t="str">
        <f t="shared" si="0"/>
        <v>1034 | Chromium, trivalent and compounds (soluble)</v>
      </c>
      <c r="E6" s="406">
        <v>0.06</v>
      </c>
      <c r="F6" s="407" t="s">
        <v>218</v>
      </c>
      <c r="G6" s="406" t="s">
        <v>218</v>
      </c>
      <c r="H6" s="406" t="s">
        <v>218</v>
      </c>
      <c r="I6" s="406">
        <f t="shared" si="1"/>
        <v>100000000</v>
      </c>
      <c r="J6" s="406" t="s">
        <v>218</v>
      </c>
      <c r="K6" s="406" t="s">
        <v>218</v>
      </c>
      <c r="L6" s="406" t="s">
        <v>218</v>
      </c>
      <c r="M6" s="406" t="s">
        <v>218</v>
      </c>
      <c r="N6" s="406">
        <v>1</v>
      </c>
      <c r="O6" s="406">
        <v>0.03</v>
      </c>
      <c r="P6" s="406" t="s">
        <v>218</v>
      </c>
      <c r="Q6" s="406" t="s">
        <v>218</v>
      </c>
      <c r="R6" s="406" t="str">
        <f t="shared" si="2"/>
        <v>No</v>
      </c>
      <c r="S6" s="406" t="s">
        <v>218</v>
      </c>
      <c r="T6" s="406" t="s">
        <v>218</v>
      </c>
      <c r="U6" s="406" t="s">
        <v>218</v>
      </c>
      <c r="V6" s="406" t="s">
        <v>228</v>
      </c>
      <c r="W6" s="406" t="s">
        <v>218</v>
      </c>
    </row>
    <row r="7" spans="1:23" ht="30" customHeight="1" x14ac:dyDescent="0.2">
      <c r="A7" s="396">
        <v>122</v>
      </c>
      <c r="B7" s="404" t="s">
        <v>231</v>
      </c>
      <c r="C7" s="405" t="s">
        <v>232</v>
      </c>
      <c r="D7" s="405" t="str">
        <f t="shared" si="0"/>
        <v>18540-29-9 | Chromium VI, chromate and dichromate particulate</v>
      </c>
      <c r="E7" s="406">
        <v>0.03</v>
      </c>
      <c r="F7" s="407">
        <v>8.9999999999999998E-4</v>
      </c>
      <c r="G7" s="406">
        <v>9.0000000000000006E-5</v>
      </c>
      <c r="H7" s="406">
        <v>0.16</v>
      </c>
      <c r="I7" s="406">
        <f t="shared" si="1"/>
        <v>100000000</v>
      </c>
      <c r="J7" s="406">
        <v>3</v>
      </c>
      <c r="K7" s="406">
        <v>0.3</v>
      </c>
      <c r="L7" s="406">
        <v>7.0000000000000007E-2</v>
      </c>
      <c r="M7" s="406">
        <v>0.02</v>
      </c>
      <c r="N7" s="406">
        <v>1</v>
      </c>
      <c r="O7" s="406">
        <v>0.02</v>
      </c>
      <c r="P7" s="406" t="s">
        <v>218</v>
      </c>
      <c r="Q7" s="406" t="s">
        <v>218</v>
      </c>
      <c r="R7" s="406" t="str">
        <f t="shared" si="2"/>
        <v>Yes</v>
      </c>
      <c r="S7" s="406" t="str">
        <f>IF(AND(P7&lt;&gt;"NA",Q7&lt;&gt;"NA"),"Yes","No")</f>
        <v>No</v>
      </c>
      <c r="T7" s="406">
        <v>1.7</v>
      </c>
      <c r="U7" s="406">
        <v>4.2</v>
      </c>
      <c r="V7" s="406" t="str">
        <f>IF(AND(T7&lt;&gt;"NA",U7&lt;&gt;"NA"),"Yes","No")</f>
        <v>Yes</v>
      </c>
      <c r="W7" s="406" t="s">
        <v>218</v>
      </c>
    </row>
    <row r="8" spans="1:23" ht="30" customHeight="1" x14ac:dyDescent="0.2">
      <c r="A8" s="396">
        <v>124</v>
      </c>
      <c r="B8" s="404" t="s">
        <v>233</v>
      </c>
      <c r="C8" s="405" t="s">
        <v>234</v>
      </c>
      <c r="D8" s="405" t="str">
        <f t="shared" si="0"/>
        <v>7440-48-4 | Cobalt and compounds (insoluble particulate)</v>
      </c>
      <c r="E8" s="406">
        <v>0.1</v>
      </c>
      <c r="F8" s="408">
        <v>2.9999999999999997E-4</v>
      </c>
      <c r="G8" s="406">
        <v>1.2999999999999999E-4</v>
      </c>
      <c r="H8" s="406" t="s">
        <v>218</v>
      </c>
      <c r="I8" s="406">
        <f t="shared" si="1"/>
        <v>100000000</v>
      </c>
      <c r="J8" s="406" t="s">
        <v>218</v>
      </c>
      <c r="K8" s="406" t="s">
        <v>218</v>
      </c>
      <c r="L8" s="406" t="s">
        <v>218</v>
      </c>
      <c r="M8" s="406" t="s">
        <v>218</v>
      </c>
      <c r="N8" s="406">
        <v>1</v>
      </c>
      <c r="O8" s="406">
        <v>0.03</v>
      </c>
      <c r="P8" s="406" t="s">
        <v>218</v>
      </c>
      <c r="Q8" s="406" t="s">
        <v>218</v>
      </c>
      <c r="R8" s="406" t="str">
        <f t="shared" si="2"/>
        <v>No</v>
      </c>
      <c r="S8" s="406" t="s">
        <v>218</v>
      </c>
      <c r="T8" s="406" t="s">
        <v>218</v>
      </c>
      <c r="U8" s="406" t="s">
        <v>218</v>
      </c>
      <c r="V8" s="406" t="s">
        <v>228</v>
      </c>
      <c r="W8" s="406" t="s">
        <v>218</v>
      </c>
    </row>
    <row r="9" spans="1:23" ht="30" customHeight="1" x14ac:dyDescent="0.2">
      <c r="A9" s="396">
        <v>125</v>
      </c>
      <c r="B9" s="404" t="s">
        <v>235</v>
      </c>
      <c r="C9" s="405" t="s">
        <v>236</v>
      </c>
      <c r="D9" s="405" t="str">
        <f t="shared" si="0"/>
        <v>1011 | Cobalt and compounds (soluble)</v>
      </c>
      <c r="E9" s="406">
        <v>0.1</v>
      </c>
      <c r="F9" s="408">
        <v>2.9999999999999997E-4</v>
      </c>
      <c r="G9" s="406">
        <v>1E-4</v>
      </c>
      <c r="H9" s="406" t="s">
        <v>218</v>
      </c>
      <c r="I9" s="406">
        <f t="shared" si="1"/>
        <v>100000000</v>
      </c>
      <c r="J9" s="406">
        <v>0</v>
      </c>
      <c r="K9" s="406">
        <v>2.1000000000000001E-2</v>
      </c>
      <c r="L9" s="406">
        <v>6.0000000000000001E-3</v>
      </c>
      <c r="M9" s="406">
        <v>6.0000000000000001E-3</v>
      </c>
      <c r="N9" s="406">
        <v>1</v>
      </c>
      <c r="O9" s="406">
        <v>0.03</v>
      </c>
      <c r="P9" s="406" t="s">
        <v>218</v>
      </c>
      <c r="Q9" s="406" t="s">
        <v>218</v>
      </c>
      <c r="R9" s="406" t="str">
        <f t="shared" si="2"/>
        <v>Yes</v>
      </c>
      <c r="S9" s="406" t="s">
        <v>218</v>
      </c>
      <c r="T9" s="406" t="s">
        <v>218</v>
      </c>
      <c r="U9" s="406" t="s">
        <v>218</v>
      </c>
      <c r="V9" s="406" t="s">
        <v>228</v>
      </c>
      <c r="W9" s="406" t="s">
        <v>218</v>
      </c>
    </row>
    <row r="10" spans="1:23" ht="30" customHeight="1" x14ac:dyDescent="0.2">
      <c r="A10" s="396">
        <v>188</v>
      </c>
      <c r="B10" s="404" t="s">
        <v>237</v>
      </c>
      <c r="C10" s="405" t="s">
        <v>238</v>
      </c>
      <c r="D10" s="405" t="str">
        <f t="shared" si="0"/>
        <v>117-81-7 | bis(2-Ethylhexyl) phthalate (DEHP)</v>
      </c>
      <c r="E10" s="406" t="s">
        <v>218</v>
      </c>
      <c r="F10" s="406">
        <v>0.02</v>
      </c>
      <c r="G10" s="406">
        <v>0.42</v>
      </c>
      <c r="H10" s="406">
        <v>1.4E-2</v>
      </c>
      <c r="I10" s="406">
        <v>15</v>
      </c>
      <c r="J10" s="406" t="s">
        <v>218</v>
      </c>
      <c r="K10" s="406" t="s">
        <v>218</v>
      </c>
      <c r="L10" s="406" t="s">
        <v>218</v>
      </c>
      <c r="M10" s="406" t="s">
        <v>218</v>
      </c>
      <c r="N10" s="406">
        <v>1</v>
      </c>
      <c r="O10" s="406">
        <v>0.1</v>
      </c>
      <c r="P10" s="406" t="s">
        <v>218</v>
      </c>
      <c r="Q10" s="406" t="s">
        <v>218</v>
      </c>
      <c r="R10" s="406" t="str">
        <f t="shared" si="2"/>
        <v>No</v>
      </c>
      <c r="S10" s="406" t="str">
        <f t="shared" ref="S10:S20" si="3">IF(AND(P10&lt;&gt;"NA",Q10&lt;&gt;"NA"),"Yes","No")</f>
        <v>No</v>
      </c>
      <c r="T10" s="406" t="s">
        <v>218</v>
      </c>
      <c r="U10" s="406" t="s">
        <v>218</v>
      </c>
      <c r="V10" s="406" t="str">
        <f t="shared" ref="V10:V19" si="4">IF(AND(T10&lt;&gt;"NA",U10&lt;&gt;"NA"),"Yes","No")</f>
        <v>No</v>
      </c>
      <c r="W10" s="406" t="s">
        <v>218</v>
      </c>
    </row>
    <row r="11" spans="1:23" ht="30" customHeight="1" x14ac:dyDescent="0.2">
      <c r="A11" s="396">
        <v>236</v>
      </c>
      <c r="B11" s="404">
        <v>239</v>
      </c>
      <c r="C11" s="405" t="s">
        <v>239</v>
      </c>
      <c r="D11" s="405" t="str">
        <f t="shared" si="0"/>
        <v>239 | Fluoride and inorganic compounds</v>
      </c>
      <c r="E11" s="406">
        <v>13</v>
      </c>
      <c r="F11" s="406">
        <v>0.04</v>
      </c>
      <c r="G11" s="406" t="s">
        <v>218</v>
      </c>
      <c r="H11" s="406" t="s">
        <v>218</v>
      </c>
      <c r="I11" s="406">
        <f>100000000</f>
        <v>100000000</v>
      </c>
      <c r="J11" s="406">
        <v>8.9999999999999993E-3</v>
      </c>
      <c r="K11" s="406">
        <v>0.04</v>
      </c>
      <c r="L11" s="406">
        <v>4.0000000000000001E-3</v>
      </c>
      <c r="M11" s="406">
        <v>4.0000000000000001E-3</v>
      </c>
      <c r="N11" s="406">
        <v>1</v>
      </c>
      <c r="O11" s="406">
        <v>0.03</v>
      </c>
      <c r="P11" s="406" t="s">
        <v>218</v>
      </c>
      <c r="Q11" s="406" t="s">
        <v>218</v>
      </c>
      <c r="R11" s="406" t="str">
        <f t="shared" si="2"/>
        <v>Yes</v>
      </c>
      <c r="S11" s="406" t="str">
        <f t="shared" si="3"/>
        <v>No</v>
      </c>
      <c r="T11" s="406" t="s">
        <v>218</v>
      </c>
      <c r="U11" s="406" t="s">
        <v>218</v>
      </c>
      <c r="V11" s="406" t="str">
        <f t="shared" si="4"/>
        <v>No</v>
      </c>
      <c r="W11" s="406" t="s">
        <v>218</v>
      </c>
    </row>
    <row r="12" spans="1:23" ht="30" customHeight="1" x14ac:dyDescent="0.2">
      <c r="A12" s="396">
        <v>269</v>
      </c>
      <c r="B12" s="404" t="s">
        <v>240</v>
      </c>
      <c r="C12" s="405" t="s">
        <v>241</v>
      </c>
      <c r="D12" s="405" t="str">
        <f t="shared" si="0"/>
        <v>608-73-1 | Hexachlorocyclohexanes (mixture) including but not limited to:</v>
      </c>
      <c r="E12" s="406" t="s">
        <v>218</v>
      </c>
      <c r="F12" s="406" t="s">
        <v>218</v>
      </c>
      <c r="G12" s="406">
        <v>9.1E-4</v>
      </c>
      <c r="H12" s="406">
        <v>1.8</v>
      </c>
      <c r="I12" s="406">
        <v>94</v>
      </c>
      <c r="J12" s="406" t="s">
        <v>218</v>
      </c>
      <c r="K12" s="406" t="s">
        <v>218</v>
      </c>
      <c r="L12" s="406" t="s">
        <v>218</v>
      </c>
      <c r="M12" s="406" t="s">
        <v>218</v>
      </c>
      <c r="N12" s="406">
        <v>1</v>
      </c>
      <c r="O12" s="406">
        <v>0.03</v>
      </c>
      <c r="P12" s="406" t="s">
        <v>218</v>
      </c>
      <c r="Q12" s="406" t="s">
        <v>218</v>
      </c>
      <c r="R12" s="406" t="str">
        <f t="shared" si="2"/>
        <v>No</v>
      </c>
      <c r="S12" s="406" t="str">
        <f t="shared" si="3"/>
        <v>No</v>
      </c>
      <c r="T12" s="406" t="s">
        <v>218</v>
      </c>
      <c r="U12" s="406" t="s">
        <v>218</v>
      </c>
      <c r="V12" s="406" t="str">
        <f t="shared" si="4"/>
        <v>No</v>
      </c>
      <c r="W12" s="406" t="s">
        <v>218</v>
      </c>
    </row>
    <row r="13" spans="1:23" ht="30" customHeight="1" x14ac:dyDescent="0.2">
      <c r="A13" s="396">
        <v>270</v>
      </c>
      <c r="B13" s="404" t="s">
        <v>242</v>
      </c>
      <c r="C13" s="405" t="s">
        <v>243</v>
      </c>
      <c r="D13" s="405" t="str">
        <f t="shared" si="0"/>
        <v>319-84-6 | alpha-Hexachlorocyclohexane</v>
      </c>
      <c r="E13" s="406" t="s">
        <v>218</v>
      </c>
      <c r="F13" s="406">
        <v>8.9999999999999998E-4</v>
      </c>
      <c r="G13" s="406">
        <v>9.1E-4</v>
      </c>
      <c r="H13" s="406">
        <v>6.3</v>
      </c>
      <c r="I13" s="406">
        <v>94</v>
      </c>
      <c r="J13" s="406" t="s">
        <v>218</v>
      </c>
      <c r="K13" s="406" t="s">
        <v>218</v>
      </c>
      <c r="L13" s="406" t="s">
        <v>218</v>
      </c>
      <c r="M13" s="406" t="s">
        <v>218</v>
      </c>
      <c r="N13" s="406">
        <v>1</v>
      </c>
      <c r="O13" s="406">
        <v>0.03</v>
      </c>
      <c r="P13" s="406" t="s">
        <v>218</v>
      </c>
      <c r="Q13" s="406" t="s">
        <v>218</v>
      </c>
      <c r="R13" s="406" t="str">
        <f t="shared" si="2"/>
        <v>No</v>
      </c>
      <c r="S13" s="406" t="str">
        <f t="shared" si="3"/>
        <v>No</v>
      </c>
      <c r="T13" s="406" t="s">
        <v>218</v>
      </c>
      <c r="U13" s="406" t="s">
        <v>218</v>
      </c>
      <c r="V13" s="406" t="str">
        <f t="shared" si="4"/>
        <v>No</v>
      </c>
      <c r="W13" s="406" t="s">
        <v>218</v>
      </c>
    </row>
    <row r="14" spans="1:23" ht="30" customHeight="1" x14ac:dyDescent="0.2">
      <c r="A14" s="396">
        <v>271</v>
      </c>
      <c r="B14" s="404" t="s">
        <v>244</v>
      </c>
      <c r="C14" s="405" t="s">
        <v>245</v>
      </c>
      <c r="D14" s="405" t="str">
        <f t="shared" si="0"/>
        <v>319-85-7 | beta-Hexachlorocyclohexane</v>
      </c>
      <c r="E14" s="406" t="s">
        <v>218</v>
      </c>
      <c r="F14" s="406" t="s">
        <v>218</v>
      </c>
      <c r="G14" s="406">
        <v>9.1E-4</v>
      </c>
      <c r="H14" s="406">
        <v>1.8</v>
      </c>
      <c r="I14" s="406">
        <v>94</v>
      </c>
      <c r="J14" s="406" t="s">
        <v>218</v>
      </c>
      <c r="K14" s="406" t="s">
        <v>218</v>
      </c>
      <c r="L14" s="406" t="s">
        <v>218</v>
      </c>
      <c r="M14" s="406" t="s">
        <v>218</v>
      </c>
      <c r="N14" s="406">
        <v>1</v>
      </c>
      <c r="O14" s="406">
        <v>0.03</v>
      </c>
      <c r="P14" s="406" t="s">
        <v>218</v>
      </c>
      <c r="Q14" s="406" t="s">
        <v>218</v>
      </c>
      <c r="R14" s="406" t="str">
        <f t="shared" si="2"/>
        <v>No</v>
      </c>
      <c r="S14" s="406" t="str">
        <f t="shared" si="3"/>
        <v>No</v>
      </c>
      <c r="T14" s="406" t="s">
        <v>218</v>
      </c>
      <c r="U14" s="406" t="s">
        <v>218</v>
      </c>
      <c r="V14" s="406" t="str">
        <f t="shared" si="4"/>
        <v>No</v>
      </c>
      <c r="W14" s="406" t="s">
        <v>218</v>
      </c>
    </row>
    <row r="15" spans="1:23" ht="30" customHeight="1" x14ac:dyDescent="0.2">
      <c r="A15" s="396">
        <v>272</v>
      </c>
      <c r="B15" s="404" t="s">
        <v>246</v>
      </c>
      <c r="C15" s="405" t="s">
        <v>247</v>
      </c>
      <c r="D15" s="405" t="str">
        <f t="shared" si="0"/>
        <v>58-89-9 | gamma-Hexachlorocyclohexane {Lindane}</v>
      </c>
      <c r="E15" s="406" t="s">
        <v>218</v>
      </c>
      <c r="F15" s="406">
        <v>7.9999999999999996E-7</v>
      </c>
      <c r="G15" s="406">
        <v>3.2000000000000002E-3</v>
      </c>
      <c r="H15" s="406">
        <v>1.1000000000000001</v>
      </c>
      <c r="I15" s="406">
        <v>94</v>
      </c>
      <c r="J15" s="406" t="s">
        <v>218</v>
      </c>
      <c r="K15" s="406" t="s">
        <v>218</v>
      </c>
      <c r="L15" s="406" t="s">
        <v>218</v>
      </c>
      <c r="M15" s="406" t="s">
        <v>218</v>
      </c>
      <c r="N15" s="406">
        <v>1</v>
      </c>
      <c r="O15" s="406">
        <v>0.04</v>
      </c>
      <c r="P15" s="406" t="s">
        <v>218</v>
      </c>
      <c r="Q15" s="406" t="s">
        <v>218</v>
      </c>
      <c r="R15" s="406" t="str">
        <f t="shared" si="2"/>
        <v>No</v>
      </c>
      <c r="S15" s="406" t="str">
        <f t="shared" si="3"/>
        <v>No</v>
      </c>
      <c r="T15" s="406" t="s">
        <v>218</v>
      </c>
      <c r="U15" s="406" t="s">
        <v>218</v>
      </c>
      <c r="V15" s="406" t="str">
        <f t="shared" si="4"/>
        <v>No</v>
      </c>
      <c r="W15" s="406" t="s">
        <v>218</v>
      </c>
    </row>
    <row r="16" spans="1:23" ht="30" customHeight="1" x14ac:dyDescent="0.2">
      <c r="A16" s="396">
        <v>282</v>
      </c>
      <c r="B16" s="409" t="s">
        <v>248</v>
      </c>
      <c r="C16" s="410" t="s">
        <v>249</v>
      </c>
      <c r="D16" s="410" t="str">
        <f t="shared" si="0"/>
        <v>7664-39-3 | Hydrogen fluoride</v>
      </c>
      <c r="E16" s="407">
        <v>13</v>
      </c>
      <c r="F16" s="407">
        <v>0.04</v>
      </c>
      <c r="G16" s="406" t="s">
        <v>218</v>
      </c>
      <c r="H16" s="406" t="s">
        <v>218</v>
      </c>
      <c r="I16" s="406">
        <f>100000000</f>
        <v>100000000</v>
      </c>
      <c r="J16" s="406">
        <v>8.9999999999999993E-3</v>
      </c>
      <c r="K16" s="406">
        <v>0.04</v>
      </c>
      <c r="L16" s="406">
        <v>4.0000000000000001E-3</v>
      </c>
      <c r="M16" s="406">
        <v>4.0000000000000001E-3</v>
      </c>
      <c r="N16" s="406">
        <v>1</v>
      </c>
      <c r="O16" s="406">
        <v>0.03</v>
      </c>
      <c r="P16" s="406" t="s">
        <v>218</v>
      </c>
      <c r="Q16" s="406" t="s">
        <v>218</v>
      </c>
      <c r="R16" s="406" t="str">
        <f t="shared" si="2"/>
        <v>Yes</v>
      </c>
      <c r="S16" s="406" t="str">
        <f t="shared" si="3"/>
        <v>No</v>
      </c>
      <c r="T16" s="406" t="s">
        <v>218</v>
      </c>
      <c r="U16" s="406" t="s">
        <v>218</v>
      </c>
      <c r="V16" s="406" t="str">
        <f t="shared" si="4"/>
        <v>No</v>
      </c>
      <c r="W16" s="406" t="s">
        <v>218</v>
      </c>
    </row>
    <row r="17" spans="1:26" ht="30" customHeight="1" x14ac:dyDescent="0.2">
      <c r="A17" s="396">
        <v>306</v>
      </c>
      <c r="B17" s="409" t="s">
        <v>250</v>
      </c>
      <c r="C17" s="410" t="s">
        <v>251</v>
      </c>
      <c r="D17" s="410" t="str">
        <f t="shared" si="0"/>
        <v>7439-92-1 | Lead and compounds</v>
      </c>
      <c r="E17" s="407">
        <v>0.15</v>
      </c>
      <c r="F17" s="407" t="s">
        <v>218</v>
      </c>
      <c r="G17" s="406">
        <v>8.3000000000000004E-2</v>
      </c>
      <c r="H17" s="406">
        <v>0.21</v>
      </c>
      <c r="I17" s="406">
        <f>100000000</f>
        <v>100000000</v>
      </c>
      <c r="J17" s="406">
        <v>4.0000000000000001E-3</v>
      </c>
      <c r="K17" s="406">
        <v>8.0000000000000002E-3</v>
      </c>
      <c r="L17" s="406">
        <v>3.0000000000000001E-3</v>
      </c>
      <c r="M17" s="406">
        <v>7.0000000000000001E-3</v>
      </c>
      <c r="N17" s="406">
        <v>1</v>
      </c>
      <c r="O17" s="406">
        <v>0.03</v>
      </c>
      <c r="P17" s="406">
        <v>6.4000000000000001E-2</v>
      </c>
      <c r="Q17" s="406">
        <v>6.4000000000000001E-2</v>
      </c>
      <c r="R17" s="406" t="str">
        <f t="shared" si="2"/>
        <v>Yes</v>
      </c>
      <c r="S17" s="406" t="str">
        <f t="shared" si="3"/>
        <v>Yes</v>
      </c>
      <c r="T17" s="406" t="s">
        <v>218</v>
      </c>
      <c r="U17" s="406" t="s">
        <v>218</v>
      </c>
      <c r="V17" s="406" t="str">
        <f t="shared" si="4"/>
        <v>No</v>
      </c>
      <c r="W17" s="406" t="s">
        <v>218</v>
      </c>
    </row>
    <row r="18" spans="1:26" ht="30" customHeight="1" x14ac:dyDescent="0.2">
      <c r="A18" s="396">
        <v>313</v>
      </c>
      <c r="B18" s="409" t="s">
        <v>252</v>
      </c>
      <c r="C18" s="410" t="s">
        <v>253</v>
      </c>
      <c r="D18" s="410" t="str">
        <f t="shared" si="0"/>
        <v>7439-97-6 | Mercury and inorganic compounds</v>
      </c>
      <c r="E18" s="407">
        <v>0.3</v>
      </c>
      <c r="F18" s="407">
        <v>2.9999999999999997E-4</v>
      </c>
      <c r="G18" s="406" t="s">
        <v>218</v>
      </c>
      <c r="H18" s="406" t="s">
        <v>218</v>
      </c>
      <c r="I18" s="406">
        <f>100000000</f>
        <v>100000000</v>
      </c>
      <c r="J18" s="406">
        <v>0.02</v>
      </c>
      <c r="K18" s="406">
        <v>0.02</v>
      </c>
      <c r="L18" s="406">
        <v>0.01</v>
      </c>
      <c r="M18" s="406">
        <v>8.9999999999999993E-3</v>
      </c>
      <c r="N18" s="406">
        <v>1</v>
      </c>
      <c r="O18" s="406">
        <v>0.04</v>
      </c>
      <c r="P18" s="406" t="s">
        <v>218</v>
      </c>
      <c r="Q18" s="406" t="s">
        <v>218</v>
      </c>
      <c r="R18" s="406" t="str">
        <f t="shared" si="2"/>
        <v>Yes</v>
      </c>
      <c r="S18" s="406" t="str">
        <f t="shared" si="3"/>
        <v>No</v>
      </c>
      <c r="T18" s="406" t="s">
        <v>218</v>
      </c>
      <c r="U18" s="406" t="s">
        <v>218</v>
      </c>
      <c r="V18" s="406" t="str">
        <f t="shared" si="4"/>
        <v>No</v>
      </c>
      <c r="W18" s="406" t="s">
        <v>218</v>
      </c>
    </row>
    <row r="19" spans="1:26" ht="30" customHeight="1" x14ac:dyDescent="0.2">
      <c r="A19" s="396">
        <v>325</v>
      </c>
      <c r="B19" s="409" t="s">
        <v>254</v>
      </c>
      <c r="C19" s="410" t="s">
        <v>255</v>
      </c>
      <c r="D19" s="410" t="str">
        <f t="shared" si="0"/>
        <v>101-77-9 | 4,4'-Methylenedianiline (and its dichloride)</v>
      </c>
      <c r="E19" s="407">
        <v>20</v>
      </c>
      <c r="F19" s="407" t="s">
        <v>218</v>
      </c>
      <c r="G19" s="406">
        <v>2.2000000000000001E-3</v>
      </c>
      <c r="H19" s="406">
        <v>1.6</v>
      </c>
      <c r="I19" s="406">
        <v>460</v>
      </c>
      <c r="J19" s="406" t="s">
        <v>218</v>
      </c>
      <c r="K19" s="406" t="s">
        <v>218</v>
      </c>
      <c r="L19" s="406" t="s">
        <v>218</v>
      </c>
      <c r="M19" s="406" t="s">
        <v>218</v>
      </c>
      <c r="N19" s="406">
        <v>1</v>
      </c>
      <c r="O19" s="406">
        <v>0.1</v>
      </c>
      <c r="P19" s="406" t="s">
        <v>218</v>
      </c>
      <c r="Q19" s="406" t="s">
        <v>218</v>
      </c>
      <c r="R19" s="406" t="str">
        <f t="shared" si="2"/>
        <v>No</v>
      </c>
      <c r="S19" s="406" t="str">
        <f t="shared" si="3"/>
        <v>No</v>
      </c>
      <c r="T19" s="406" t="s">
        <v>218</v>
      </c>
      <c r="U19" s="406" t="s">
        <v>218</v>
      </c>
      <c r="V19" s="406" t="str">
        <f t="shared" si="4"/>
        <v>No</v>
      </c>
      <c r="W19" s="406" t="s">
        <v>218</v>
      </c>
    </row>
    <row r="20" spans="1:26" ht="30" customHeight="1" x14ac:dyDescent="0.2">
      <c r="A20" s="396">
        <v>393</v>
      </c>
      <c r="B20" s="409" t="s">
        <v>256</v>
      </c>
      <c r="C20" s="410" t="s">
        <v>257</v>
      </c>
      <c r="D20" s="410" t="str">
        <f t="shared" si="0"/>
        <v>27619-97-2 | 6:2 Fluorotelomer sulfonic acid (6:2 FTS)</v>
      </c>
      <c r="E20" s="407">
        <v>1</v>
      </c>
      <c r="F20" s="407" t="s">
        <v>218</v>
      </c>
      <c r="G20" s="406" t="s">
        <v>218</v>
      </c>
      <c r="H20" s="406" t="s">
        <v>218</v>
      </c>
      <c r="I20" s="406">
        <f t="shared" ref="I20:I32" si="5">100000000</f>
        <v>100000000</v>
      </c>
      <c r="J20" s="406" t="s">
        <v>218</v>
      </c>
      <c r="K20" s="406" t="s">
        <v>218</v>
      </c>
      <c r="L20" s="406" t="s">
        <v>218</v>
      </c>
      <c r="M20" s="406" t="s">
        <v>218</v>
      </c>
      <c r="N20" s="406">
        <v>1</v>
      </c>
      <c r="O20" s="406">
        <v>0.1</v>
      </c>
      <c r="P20" s="406" t="s">
        <v>218</v>
      </c>
      <c r="Q20" s="406" t="s">
        <v>218</v>
      </c>
      <c r="R20" s="406" t="str">
        <f t="shared" si="2"/>
        <v>No</v>
      </c>
      <c r="S20" s="406" t="str">
        <f t="shared" si="3"/>
        <v>No</v>
      </c>
      <c r="T20" s="406" t="s">
        <v>218</v>
      </c>
      <c r="U20" s="406" t="s">
        <v>218</v>
      </c>
      <c r="V20" s="406" t="s">
        <v>228</v>
      </c>
      <c r="W20" s="406" t="s">
        <v>218</v>
      </c>
    </row>
    <row r="21" spans="1:26" ht="30" customHeight="1" x14ac:dyDescent="0.2">
      <c r="A21" s="396">
        <v>394</v>
      </c>
      <c r="B21" s="409" t="s">
        <v>258</v>
      </c>
      <c r="C21" s="410" t="s">
        <v>259</v>
      </c>
      <c r="D21" s="410" t="str">
        <f t="shared" si="0"/>
        <v>13252-13-6 | Hexafluoropropylene oxide dimer acid (HFPO-DA/Gen-X)</v>
      </c>
      <c r="E21" s="407">
        <v>0.01</v>
      </c>
      <c r="F21" s="408">
        <v>3.0000000000000001E-6</v>
      </c>
      <c r="G21" s="406" t="s">
        <v>218</v>
      </c>
      <c r="H21" s="406" t="s">
        <v>218</v>
      </c>
      <c r="I21" s="406">
        <f t="shared" si="5"/>
        <v>100000000</v>
      </c>
      <c r="J21" s="406" t="s">
        <v>218</v>
      </c>
      <c r="K21" s="406" t="s">
        <v>218</v>
      </c>
      <c r="L21" s="406" t="s">
        <v>218</v>
      </c>
      <c r="M21" s="406" t="s">
        <v>218</v>
      </c>
      <c r="N21" s="406">
        <v>1</v>
      </c>
      <c r="O21" s="406"/>
      <c r="P21" s="406" t="s">
        <v>218</v>
      </c>
      <c r="Q21" s="406" t="s">
        <v>218</v>
      </c>
      <c r="R21" s="406" t="str">
        <f t="shared" si="2"/>
        <v>No</v>
      </c>
      <c r="S21" s="406" t="s">
        <v>218</v>
      </c>
      <c r="T21" s="406" t="s">
        <v>218</v>
      </c>
      <c r="U21" s="406" t="s">
        <v>218</v>
      </c>
      <c r="V21" s="406" t="s">
        <v>228</v>
      </c>
      <c r="W21" s="406" t="s">
        <v>218</v>
      </c>
      <c r="X21" s="411"/>
    </row>
    <row r="22" spans="1:26" ht="30" customHeight="1" x14ac:dyDescent="0.2">
      <c r="A22" s="396">
        <v>395</v>
      </c>
      <c r="B22" s="409" t="s">
        <v>260</v>
      </c>
      <c r="C22" s="410" t="s">
        <v>261</v>
      </c>
      <c r="D22" s="410" t="str">
        <f t="shared" si="0"/>
        <v>375-73-5 | Perfluorobutanesulfonic acid (PFBS)</v>
      </c>
      <c r="E22" s="407" t="s">
        <v>218</v>
      </c>
      <c r="F22" s="407">
        <v>2.9999999999999997E-4</v>
      </c>
      <c r="G22" s="406" t="s">
        <v>218</v>
      </c>
      <c r="H22" s="406" t="s">
        <v>218</v>
      </c>
      <c r="I22" s="406">
        <f t="shared" si="5"/>
        <v>100000000</v>
      </c>
      <c r="J22" s="406">
        <v>0.24</v>
      </c>
      <c r="K22" s="406">
        <v>0.42</v>
      </c>
      <c r="L22" s="406">
        <v>4.9000000000000002E-2</v>
      </c>
      <c r="M22" s="406">
        <v>5.6000000000000001E-2</v>
      </c>
      <c r="N22" s="406">
        <v>1</v>
      </c>
      <c r="O22" s="406">
        <v>0.1</v>
      </c>
      <c r="P22" s="406" t="s">
        <v>218</v>
      </c>
      <c r="Q22" s="406" t="s">
        <v>218</v>
      </c>
      <c r="R22" s="406" t="str">
        <f t="shared" si="2"/>
        <v>Yes</v>
      </c>
      <c r="S22" s="406" t="str">
        <f t="shared" ref="S22:S53" si="6">IF(AND(P22&lt;&gt;"NA",Q22&lt;&gt;"NA"),"Yes","No")</f>
        <v>No</v>
      </c>
      <c r="T22" s="406" t="s">
        <v>218</v>
      </c>
      <c r="U22" s="406" t="s">
        <v>218</v>
      </c>
      <c r="V22" s="406" t="s">
        <v>228</v>
      </c>
      <c r="W22" s="406" t="s">
        <v>218</v>
      </c>
      <c r="X22" s="406"/>
      <c r="Y22" s="406"/>
      <c r="Z22" s="406"/>
    </row>
    <row r="23" spans="1:26" ht="30" customHeight="1" x14ac:dyDescent="0.2">
      <c r="A23" s="396">
        <v>396</v>
      </c>
      <c r="B23" s="409" t="s">
        <v>262</v>
      </c>
      <c r="C23" s="410" t="s">
        <v>263</v>
      </c>
      <c r="D23" s="410" t="str">
        <f t="shared" si="0"/>
        <v>375-22-4 | Perfluorobutanoic acid (PFBA)</v>
      </c>
      <c r="E23" s="407">
        <v>3.5</v>
      </c>
      <c r="F23" s="407">
        <v>1E-3</v>
      </c>
      <c r="G23" s="406" t="s">
        <v>218</v>
      </c>
      <c r="H23" s="406" t="s">
        <v>218</v>
      </c>
      <c r="I23" s="406">
        <f t="shared" si="5"/>
        <v>100000000</v>
      </c>
      <c r="J23" s="406">
        <v>0.64</v>
      </c>
      <c r="K23" s="406">
        <v>5.7</v>
      </c>
      <c r="L23" s="406">
        <v>3.3</v>
      </c>
      <c r="M23" s="406">
        <v>3.8</v>
      </c>
      <c r="N23" s="406">
        <v>1</v>
      </c>
      <c r="O23" s="406">
        <v>0.1</v>
      </c>
      <c r="P23" s="406" t="s">
        <v>218</v>
      </c>
      <c r="Q23" s="406" t="s">
        <v>218</v>
      </c>
      <c r="R23" s="406" t="str">
        <f t="shared" si="2"/>
        <v>Yes</v>
      </c>
      <c r="S23" s="406" t="str">
        <f t="shared" si="6"/>
        <v>No</v>
      </c>
      <c r="T23" s="406" t="s">
        <v>218</v>
      </c>
      <c r="U23" s="406" t="s">
        <v>218</v>
      </c>
      <c r="V23" s="406" t="s">
        <v>228</v>
      </c>
      <c r="W23" s="406" t="s">
        <v>218</v>
      </c>
      <c r="X23" s="406"/>
      <c r="Y23" s="406"/>
      <c r="Z23" s="406"/>
    </row>
    <row r="24" spans="1:26" ht="30" customHeight="1" x14ac:dyDescent="0.2">
      <c r="A24" s="396">
        <v>397</v>
      </c>
      <c r="B24" s="409" t="s">
        <v>264</v>
      </c>
      <c r="C24" s="410" t="s">
        <v>265</v>
      </c>
      <c r="D24" s="410" t="str">
        <f t="shared" si="0"/>
        <v>19430-93-4 | Perfluorobutylethylene (PFBE)</v>
      </c>
      <c r="E24" s="407">
        <v>2600</v>
      </c>
      <c r="F24" s="407" t="s">
        <v>218</v>
      </c>
      <c r="G24" s="406" t="s">
        <v>218</v>
      </c>
      <c r="H24" s="406" t="s">
        <v>218</v>
      </c>
      <c r="I24" s="406">
        <f t="shared" si="5"/>
        <v>100000000</v>
      </c>
      <c r="J24" s="406" t="s">
        <v>218</v>
      </c>
      <c r="K24" s="406" t="s">
        <v>218</v>
      </c>
      <c r="L24" s="406" t="s">
        <v>218</v>
      </c>
      <c r="M24" s="406" t="s">
        <v>218</v>
      </c>
      <c r="N24" s="406">
        <v>1</v>
      </c>
      <c r="O24" s="406">
        <v>0.1</v>
      </c>
      <c r="P24" s="406" t="s">
        <v>218</v>
      </c>
      <c r="Q24" s="406" t="s">
        <v>218</v>
      </c>
      <c r="R24" s="406" t="str">
        <f t="shared" si="2"/>
        <v>No</v>
      </c>
      <c r="S24" s="406" t="str">
        <f t="shared" si="6"/>
        <v>No</v>
      </c>
      <c r="T24" s="406" t="s">
        <v>218</v>
      </c>
      <c r="U24" s="406" t="s">
        <v>218</v>
      </c>
      <c r="V24" s="406" t="s">
        <v>228</v>
      </c>
      <c r="W24" s="406" t="s">
        <v>218</v>
      </c>
    </row>
    <row r="25" spans="1:26" ht="30" customHeight="1" x14ac:dyDescent="0.2">
      <c r="A25" s="396">
        <v>398</v>
      </c>
      <c r="B25" s="409" t="s">
        <v>266</v>
      </c>
      <c r="C25" s="410" t="s">
        <v>267</v>
      </c>
      <c r="D25" s="410" t="str">
        <f t="shared" si="0"/>
        <v>335-76-2 | Perfluorodecanoic acid (PFDA)</v>
      </c>
      <c r="E25" s="408">
        <v>6.9999999999999999E-6</v>
      </c>
      <c r="F25" s="408">
        <v>2.0000000000000001E-9</v>
      </c>
      <c r="G25" s="406" t="s">
        <v>218</v>
      </c>
      <c r="H25" s="406" t="s">
        <v>218</v>
      </c>
      <c r="I25" s="406">
        <f t="shared" si="5"/>
        <v>100000000</v>
      </c>
      <c r="J25" s="406">
        <v>9.6000000000000002E-2</v>
      </c>
      <c r="K25" s="406">
        <v>3.9E-2</v>
      </c>
      <c r="L25" s="406">
        <v>0</v>
      </c>
      <c r="M25" s="406">
        <v>0</v>
      </c>
      <c r="N25" s="406">
        <v>1</v>
      </c>
      <c r="O25" s="406">
        <v>0.1</v>
      </c>
      <c r="P25" s="406" t="s">
        <v>218</v>
      </c>
      <c r="Q25" s="406" t="s">
        <v>218</v>
      </c>
      <c r="R25" s="406" t="str">
        <f t="shared" si="2"/>
        <v>Yes</v>
      </c>
      <c r="S25" s="406" t="str">
        <f t="shared" si="6"/>
        <v>No</v>
      </c>
      <c r="T25" s="406" t="s">
        <v>218</v>
      </c>
      <c r="U25" s="406" t="s">
        <v>218</v>
      </c>
      <c r="V25" s="406" t="s">
        <v>228</v>
      </c>
      <c r="W25" s="406" t="s">
        <v>218</v>
      </c>
      <c r="X25" s="412"/>
      <c r="Y25" s="413"/>
      <c r="Z25" s="412"/>
    </row>
    <row r="26" spans="1:26" ht="30" customHeight="1" x14ac:dyDescent="0.2">
      <c r="A26" s="396">
        <v>399</v>
      </c>
      <c r="B26" s="409" t="s">
        <v>268</v>
      </c>
      <c r="C26" s="410" t="s">
        <v>269</v>
      </c>
      <c r="D26" s="410" t="str">
        <f t="shared" si="0"/>
        <v>307-55-1 | Perfluorododecanoic acid (PFDoA)</v>
      </c>
      <c r="E26" s="407">
        <v>4.2000000000000003E-2</v>
      </c>
      <c r="F26" s="414">
        <v>5.0000000000000002E-5</v>
      </c>
      <c r="G26" s="406" t="s">
        <v>218</v>
      </c>
      <c r="H26" s="406" t="s">
        <v>218</v>
      </c>
      <c r="I26" s="406">
        <f t="shared" si="5"/>
        <v>100000000</v>
      </c>
      <c r="J26" s="406" t="s">
        <v>218</v>
      </c>
      <c r="K26" s="406" t="s">
        <v>218</v>
      </c>
      <c r="L26" s="406" t="s">
        <v>218</v>
      </c>
      <c r="M26" s="406" t="s">
        <v>218</v>
      </c>
      <c r="N26" s="406">
        <v>1</v>
      </c>
      <c r="O26" s="406">
        <v>0.1</v>
      </c>
      <c r="P26" s="406" t="s">
        <v>218</v>
      </c>
      <c r="Q26" s="406" t="s">
        <v>218</v>
      </c>
      <c r="R26" s="406" t="str">
        <f t="shared" si="2"/>
        <v>No</v>
      </c>
      <c r="S26" s="406" t="str">
        <f t="shared" si="6"/>
        <v>No</v>
      </c>
      <c r="T26" s="406" t="s">
        <v>218</v>
      </c>
      <c r="U26" s="406" t="s">
        <v>218</v>
      </c>
      <c r="V26" s="406" t="s">
        <v>228</v>
      </c>
      <c r="W26" s="406" t="s">
        <v>218</v>
      </c>
    </row>
    <row r="27" spans="1:26" ht="30" customHeight="1" x14ac:dyDescent="0.2">
      <c r="A27" s="396">
        <v>400</v>
      </c>
      <c r="B27" s="409" t="s">
        <v>270</v>
      </c>
      <c r="C27" s="410" t="s">
        <v>271</v>
      </c>
      <c r="D27" s="410" t="str">
        <f t="shared" si="0"/>
        <v>355-46-4 | Perfluorohexanesulfonic acid (PFHxS)</v>
      </c>
      <c r="E27" s="407" t="s">
        <v>218</v>
      </c>
      <c r="F27" s="414">
        <v>2.0000000000000002E-5</v>
      </c>
      <c r="G27" s="406" t="s">
        <v>218</v>
      </c>
      <c r="H27" s="406" t="s">
        <v>218</v>
      </c>
      <c r="I27" s="406">
        <f t="shared" si="5"/>
        <v>100000000</v>
      </c>
      <c r="J27" s="406" t="s">
        <v>218</v>
      </c>
      <c r="K27" s="406" t="s">
        <v>218</v>
      </c>
      <c r="L27" s="406" t="s">
        <v>218</v>
      </c>
      <c r="M27" s="406" t="s">
        <v>218</v>
      </c>
      <c r="N27" s="406">
        <v>1</v>
      </c>
      <c r="O27" s="406">
        <v>0.1</v>
      </c>
      <c r="P27" s="406" t="s">
        <v>218</v>
      </c>
      <c r="Q27" s="406" t="s">
        <v>218</v>
      </c>
      <c r="R27" s="406" t="str">
        <f t="shared" si="2"/>
        <v>No</v>
      </c>
      <c r="S27" s="406" t="str">
        <f t="shared" si="6"/>
        <v>No</v>
      </c>
      <c r="T27" s="406" t="s">
        <v>218</v>
      </c>
      <c r="U27" s="406" t="s">
        <v>218</v>
      </c>
      <c r="V27" s="406" t="s">
        <v>228</v>
      </c>
      <c r="W27" s="406" t="s">
        <v>218</v>
      </c>
    </row>
    <row r="28" spans="1:26" ht="30" customHeight="1" x14ac:dyDescent="0.2">
      <c r="A28" s="396">
        <v>401</v>
      </c>
      <c r="B28" s="404" t="s">
        <v>272</v>
      </c>
      <c r="C28" s="405" t="s">
        <v>273</v>
      </c>
      <c r="D28" s="405" t="str">
        <f t="shared" si="0"/>
        <v>307-24-4 | Perfluorohexanoic acid (PFHxA)</v>
      </c>
      <c r="E28" s="406">
        <v>0.5</v>
      </c>
      <c r="F28" s="415">
        <v>5.0000000000000001E-4</v>
      </c>
      <c r="G28" s="406" t="s">
        <v>218</v>
      </c>
      <c r="H28" s="406" t="s">
        <v>218</v>
      </c>
      <c r="I28" s="406">
        <f t="shared" si="5"/>
        <v>100000000</v>
      </c>
      <c r="J28" s="406">
        <v>0.25</v>
      </c>
      <c r="K28" s="406">
        <v>1.3</v>
      </c>
      <c r="L28" s="406">
        <v>0.33</v>
      </c>
      <c r="M28" s="406">
        <v>0.38</v>
      </c>
      <c r="N28" s="406">
        <v>1</v>
      </c>
      <c r="O28" s="406">
        <v>0.1</v>
      </c>
      <c r="P28" s="406" t="s">
        <v>218</v>
      </c>
      <c r="Q28" s="406" t="s">
        <v>218</v>
      </c>
      <c r="R28" s="406" t="str">
        <f t="shared" si="2"/>
        <v>Yes</v>
      </c>
      <c r="S28" s="406" t="str">
        <f t="shared" si="6"/>
        <v>No</v>
      </c>
      <c r="T28" s="406" t="s">
        <v>218</v>
      </c>
      <c r="U28" s="406" t="s">
        <v>218</v>
      </c>
      <c r="V28" s="406" t="s">
        <v>228</v>
      </c>
      <c r="W28" s="406" t="s">
        <v>218</v>
      </c>
    </row>
    <row r="29" spans="1:26" ht="30" customHeight="1" x14ac:dyDescent="0.2">
      <c r="A29" s="396">
        <v>402</v>
      </c>
      <c r="B29" s="409" t="s">
        <v>274</v>
      </c>
      <c r="C29" s="410" t="s">
        <v>275</v>
      </c>
      <c r="D29" s="410" t="str">
        <f t="shared" si="0"/>
        <v>375-95-1 | Perfluorononanoic acid (PFNA)</v>
      </c>
      <c r="E29" s="407" t="s">
        <v>218</v>
      </c>
      <c r="F29" s="414">
        <v>3.0000000000000001E-6</v>
      </c>
      <c r="G29" s="406" t="s">
        <v>218</v>
      </c>
      <c r="H29" s="406" t="s">
        <v>218</v>
      </c>
      <c r="I29" s="406">
        <f t="shared" si="5"/>
        <v>100000000</v>
      </c>
      <c r="J29" s="406" t="s">
        <v>218</v>
      </c>
      <c r="K29" s="406" t="s">
        <v>218</v>
      </c>
      <c r="L29" s="406" t="s">
        <v>218</v>
      </c>
      <c r="M29" s="406" t="s">
        <v>218</v>
      </c>
      <c r="N29" s="406">
        <v>1</v>
      </c>
      <c r="O29" s="406">
        <v>0.1</v>
      </c>
      <c r="P29" s="406" t="s">
        <v>218</v>
      </c>
      <c r="Q29" s="406" t="s">
        <v>218</v>
      </c>
      <c r="R29" s="406" t="str">
        <f t="shared" si="2"/>
        <v>No</v>
      </c>
      <c r="S29" s="406" t="str">
        <f t="shared" si="6"/>
        <v>No</v>
      </c>
      <c r="T29" s="406" t="s">
        <v>218</v>
      </c>
      <c r="U29" s="406" t="s">
        <v>218</v>
      </c>
      <c r="V29" s="406" t="s">
        <v>228</v>
      </c>
      <c r="W29" s="406" t="s">
        <v>218</v>
      </c>
    </row>
    <row r="30" spans="1:26" ht="30" customHeight="1" x14ac:dyDescent="0.2">
      <c r="A30" s="396">
        <v>403</v>
      </c>
      <c r="B30" s="409" t="s">
        <v>276</v>
      </c>
      <c r="C30" s="410" t="s">
        <v>277</v>
      </c>
      <c r="D30" s="410" t="str">
        <f t="shared" si="0"/>
        <v>754-91-6 | Perfluorooctanesulfonamide (PFOSA)</v>
      </c>
      <c r="E30" s="407">
        <v>1E-4</v>
      </c>
      <c r="F30" s="407" t="s">
        <v>218</v>
      </c>
      <c r="G30" s="406" t="s">
        <v>218</v>
      </c>
      <c r="H30" s="406" t="s">
        <v>218</v>
      </c>
      <c r="I30" s="406">
        <f t="shared" si="5"/>
        <v>100000000</v>
      </c>
      <c r="J30" s="406" t="s">
        <v>218</v>
      </c>
      <c r="K30" s="406" t="s">
        <v>218</v>
      </c>
      <c r="L30" s="406" t="s">
        <v>218</v>
      </c>
      <c r="M30" s="406" t="s">
        <v>218</v>
      </c>
      <c r="N30" s="406">
        <v>1</v>
      </c>
      <c r="O30" s="406">
        <v>0.1</v>
      </c>
      <c r="P30" s="406" t="s">
        <v>218</v>
      </c>
      <c r="Q30" s="406" t="s">
        <v>218</v>
      </c>
      <c r="R30" s="406" t="str">
        <f t="shared" si="2"/>
        <v>No</v>
      </c>
      <c r="S30" s="406" t="str">
        <f t="shared" si="6"/>
        <v>No</v>
      </c>
      <c r="T30" s="406" t="s">
        <v>218</v>
      </c>
      <c r="U30" s="406" t="s">
        <v>218</v>
      </c>
      <c r="V30" s="406" t="s">
        <v>228</v>
      </c>
      <c r="W30" s="406" t="s">
        <v>218</v>
      </c>
    </row>
    <row r="31" spans="1:26" ht="30" customHeight="1" x14ac:dyDescent="0.2">
      <c r="A31" s="396">
        <v>404</v>
      </c>
      <c r="B31" s="409" t="s">
        <v>278</v>
      </c>
      <c r="C31" s="410" t="s">
        <v>279</v>
      </c>
      <c r="D31" s="410" t="str">
        <f t="shared" si="0"/>
        <v>1763-23-1 | Perfluorooctanesulfonic acid (PFOS)</v>
      </c>
      <c r="E31" s="407">
        <v>4.0000000000000002E-4</v>
      </c>
      <c r="F31" s="414">
        <v>9.9999999999999995E-8</v>
      </c>
      <c r="G31" s="406" t="s">
        <v>218</v>
      </c>
      <c r="H31" s="406" t="s">
        <v>218</v>
      </c>
      <c r="I31" s="406">
        <f t="shared" si="5"/>
        <v>100000000</v>
      </c>
      <c r="J31" s="406">
        <v>0.15</v>
      </c>
      <c r="K31" s="406">
        <v>1.0999999999999999E-2</v>
      </c>
      <c r="L31" s="406">
        <v>4.4999999999999997E-3</v>
      </c>
      <c r="M31" s="406">
        <v>5.1999999999999998E-3</v>
      </c>
      <c r="N31" s="406">
        <v>1</v>
      </c>
      <c r="O31" s="406">
        <v>0.1</v>
      </c>
      <c r="P31" s="406" t="s">
        <v>218</v>
      </c>
      <c r="Q31" s="406" t="s">
        <v>218</v>
      </c>
      <c r="R31" s="406" t="str">
        <f t="shared" si="2"/>
        <v>Yes</v>
      </c>
      <c r="S31" s="406" t="str">
        <f t="shared" si="6"/>
        <v>No</v>
      </c>
      <c r="T31" s="406" t="s">
        <v>218</v>
      </c>
      <c r="U31" s="406" t="s">
        <v>218</v>
      </c>
      <c r="V31" s="406" t="s">
        <v>228</v>
      </c>
      <c r="W31" s="406" t="s">
        <v>218</v>
      </c>
    </row>
    <row r="32" spans="1:26" ht="30" customHeight="1" x14ac:dyDescent="0.2">
      <c r="A32" s="396">
        <v>405</v>
      </c>
      <c r="B32" s="409" t="s">
        <v>280</v>
      </c>
      <c r="C32" s="410" t="s">
        <v>281</v>
      </c>
      <c r="D32" s="410" t="str">
        <f t="shared" si="0"/>
        <v>335-67-1 | Perfluorooctanoic acid (PFOA)</v>
      </c>
      <c r="E32" s="407">
        <v>1E-4</v>
      </c>
      <c r="F32" s="414">
        <v>2.9999999999999997E-8</v>
      </c>
      <c r="G32" s="406" t="s">
        <v>218</v>
      </c>
      <c r="H32" s="406" t="s">
        <v>218</v>
      </c>
      <c r="I32" s="406">
        <f t="shared" si="5"/>
        <v>100000000</v>
      </c>
      <c r="J32" s="406">
        <v>0.13</v>
      </c>
      <c r="K32" s="406">
        <v>0.15</v>
      </c>
      <c r="L32" s="406">
        <v>1.6E-2</v>
      </c>
      <c r="M32" s="406">
        <v>1.9E-2</v>
      </c>
      <c r="N32" s="406">
        <v>1</v>
      </c>
      <c r="O32" s="406">
        <v>0.1</v>
      </c>
      <c r="P32" s="406" t="s">
        <v>218</v>
      </c>
      <c r="Q32" s="406" t="s">
        <v>218</v>
      </c>
      <c r="R32" s="406" t="str">
        <f t="shared" si="2"/>
        <v>Yes</v>
      </c>
      <c r="S32" s="406" t="str">
        <f t="shared" si="6"/>
        <v>No</v>
      </c>
      <c r="T32" s="406" t="s">
        <v>218</v>
      </c>
      <c r="U32" s="406" t="s">
        <v>218</v>
      </c>
      <c r="V32" s="406" t="s">
        <v>228</v>
      </c>
      <c r="W32" s="406" t="s">
        <v>218</v>
      </c>
    </row>
    <row r="33" spans="1:23" ht="30" customHeight="1" x14ac:dyDescent="0.2">
      <c r="A33" s="396">
        <v>461</v>
      </c>
      <c r="B33" s="409" t="s">
        <v>282</v>
      </c>
      <c r="C33" s="410" t="s">
        <v>283</v>
      </c>
      <c r="D33" s="410" t="str">
        <f t="shared" si="0"/>
        <v>1068 | Polybrominated dibenzo-p-dioxins (PBDDs) &amp; dibenzofurans (PBDFs) TEQ</v>
      </c>
      <c r="E33" s="407">
        <v>4.0000000000000003E-5</v>
      </c>
      <c r="F33" s="407">
        <v>6.9999999999999996E-10</v>
      </c>
      <c r="G33" s="406">
        <v>2.6000000000000001E-8</v>
      </c>
      <c r="H33" s="406">
        <v>130000</v>
      </c>
      <c r="I33" s="406">
        <v>7000</v>
      </c>
      <c r="J33" s="406" t="s">
        <v>218</v>
      </c>
      <c r="K33" s="406" t="s">
        <v>218</v>
      </c>
      <c r="L33" s="406" t="s">
        <v>218</v>
      </c>
      <c r="M33" s="406" t="s">
        <v>218</v>
      </c>
      <c r="N33" s="406">
        <v>0.43</v>
      </c>
      <c r="O33" s="406">
        <v>0.03</v>
      </c>
      <c r="P33" s="406">
        <v>3.7</v>
      </c>
      <c r="Q33" s="406">
        <v>3.7</v>
      </c>
      <c r="R33" s="406" t="str">
        <f t="shared" si="2"/>
        <v>No</v>
      </c>
      <c r="S33" s="406" t="str">
        <f t="shared" si="6"/>
        <v>Yes</v>
      </c>
      <c r="T33" s="406" t="s">
        <v>218</v>
      </c>
      <c r="U33" s="406" t="s">
        <v>218</v>
      </c>
      <c r="V33" s="406" t="str">
        <f t="shared" ref="V33:V40" si="7">IF(AND(T33&lt;&gt;"NA",U33&lt;&gt;"NA"),"Yes","No")</f>
        <v>No</v>
      </c>
      <c r="W33" s="406" t="s">
        <v>218</v>
      </c>
    </row>
    <row r="34" spans="1:23" ht="30" customHeight="1" x14ac:dyDescent="0.2">
      <c r="A34" s="396">
        <v>477</v>
      </c>
      <c r="B34" s="409" t="s">
        <v>284</v>
      </c>
      <c r="C34" s="410" t="s">
        <v>285</v>
      </c>
      <c r="D34" s="410" t="str">
        <f t="shared" si="0"/>
        <v>1336-36-3 | Total Polychlorinated Biphenyls (PCBs), evaporated mixtures</v>
      </c>
      <c r="E34" s="407" t="s">
        <v>218</v>
      </c>
      <c r="F34" s="407" t="s">
        <v>218</v>
      </c>
      <c r="G34" s="406">
        <v>1.8E-3</v>
      </c>
      <c r="H34" s="406">
        <v>2</v>
      </c>
      <c r="I34" s="406">
        <v>3200</v>
      </c>
      <c r="J34" s="406" t="s">
        <v>218</v>
      </c>
      <c r="K34" s="406" t="s">
        <v>218</v>
      </c>
      <c r="L34" s="406" t="s">
        <v>218</v>
      </c>
      <c r="M34" s="406" t="s">
        <v>218</v>
      </c>
      <c r="N34" s="406">
        <v>1</v>
      </c>
      <c r="O34" s="406">
        <v>0.14000000000000001</v>
      </c>
      <c r="P34" s="406">
        <v>1.7</v>
      </c>
      <c r="Q34" s="406">
        <v>1.7</v>
      </c>
      <c r="R34" s="406" t="str">
        <f t="shared" si="2"/>
        <v>No</v>
      </c>
      <c r="S34" s="406" t="str">
        <f t="shared" si="6"/>
        <v>Yes</v>
      </c>
      <c r="T34" s="406" t="s">
        <v>218</v>
      </c>
      <c r="U34" s="406" t="s">
        <v>218</v>
      </c>
      <c r="V34" s="406" t="str">
        <f t="shared" si="7"/>
        <v>No</v>
      </c>
      <c r="W34" s="406" t="s">
        <v>218</v>
      </c>
    </row>
    <row r="35" spans="1:23" ht="30" customHeight="1" x14ac:dyDescent="0.2">
      <c r="A35" s="396">
        <v>481</v>
      </c>
      <c r="B35" s="409" t="s">
        <v>286</v>
      </c>
      <c r="C35" s="410" t="s">
        <v>287</v>
      </c>
      <c r="D35" s="410" t="str">
        <f t="shared" ref="D35:D66" si="8">B35&amp;" | "&amp;C35</f>
        <v>1746-01-6 | 2,3,7,8-Tetrachlorodibenzo-p-dioxin (TCDD)</v>
      </c>
      <c r="E35" s="407">
        <v>4.0000000000000003E-5</v>
      </c>
      <c r="F35" s="407">
        <v>6.9999999999999996E-10</v>
      </c>
      <c r="G35" s="406">
        <v>2.6000000000000001E-8</v>
      </c>
      <c r="H35" s="406">
        <v>130000</v>
      </c>
      <c r="I35" s="406">
        <v>3200</v>
      </c>
      <c r="J35" s="406" t="s">
        <v>218</v>
      </c>
      <c r="K35" s="406" t="s">
        <v>218</v>
      </c>
      <c r="L35" s="406" t="s">
        <v>218</v>
      </c>
      <c r="M35" s="406" t="s">
        <v>218</v>
      </c>
      <c r="N35" s="406">
        <v>1</v>
      </c>
      <c r="O35" s="406">
        <v>0.14000000000000001</v>
      </c>
      <c r="P35" s="406">
        <v>1.7</v>
      </c>
      <c r="Q35" s="406">
        <v>1.7</v>
      </c>
      <c r="R35" s="406" t="str">
        <f t="shared" ref="R35:R66" si="9">IF(AND(J35&lt;&gt;"NA",K35&lt;&gt;"NA",L35&lt;&gt;"NA",M35&lt;&gt;"NA"),"Yes","No")</f>
        <v>No</v>
      </c>
      <c r="S35" s="406" t="str">
        <f t="shared" si="6"/>
        <v>Yes</v>
      </c>
      <c r="T35" s="406" t="s">
        <v>218</v>
      </c>
      <c r="U35" s="406" t="s">
        <v>218</v>
      </c>
      <c r="V35" s="406" t="str">
        <f t="shared" si="7"/>
        <v>No</v>
      </c>
      <c r="W35" s="406" t="s">
        <v>218</v>
      </c>
    </row>
    <row r="36" spans="1:23" ht="30" customHeight="1" x14ac:dyDescent="0.2">
      <c r="A36" s="396">
        <v>513</v>
      </c>
      <c r="B36" s="416" t="s">
        <v>288</v>
      </c>
      <c r="C36" s="416" t="s">
        <v>289</v>
      </c>
      <c r="D36" s="405" t="str">
        <f t="shared" si="8"/>
        <v>191-26-4 | Anthanthrene</v>
      </c>
      <c r="E36" s="406" t="s">
        <v>218</v>
      </c>
      <c r="F36" s="406" t="s">
        <v>218</v>
      </c>
      <c r="G36" s="417">
        <v>4.1999999999999997E-3</v>
      </c>
      <c r="H36" s="406">
        <f>H$55*W36</f>
        <v>100</v>
      </c>
      <c r="I36" s="406">
        <v>430</v>
      </c>
      <c r="J36" s="406" t="s">
        <v>218</v>
      </c>
      <c r="K36" s="406" t="s">
        <v>218</v>
      </c>
      <c r="L36" s="406" t="s">
        <v>218</v>
      </c>
      <c r="M36" s="406" t="s">
        <v>218</v>
      </c>
      <c r="N36" s="406">
        <v>1</v>
      </c>
      <c r="O36" s="406">
        <v>0.13</v>
      </c>
      <c r="P36" s="406">
        <v>1.55</v>
      </c>
      <c r="Q36" s="406">
        <v>0.40100000000000002</v>
      </c>
      <c r="R36" s="406" t="str">
        <f t="shared" si="9"/>
        <v>No</v>
      </c>
      <c r="S36" s="406" t="str">
        <f t="shared" si="6"/>
        <v>Yes</v>
      </c>
      <c r="T36" s="406">
        <v>1.7</v>
      </c>
      <c r="U36" s="406">
        <v>4.2</v>
      </c>
      <c r="V36" s="406" t="str">
        <f t="shared" si="7"/>
        <v>Yes</v>
      </c>
      <c r="W36" s="418">
        <v>0.4</v>
      </c>
    </row>
    <row r="37" spans="1:23" ht="30" customHeight="1" x14ac:dyDescent="0.2">
      <c r="A37" s="396">
        <v>514</v>
      </c>
      <c r="B37" s="416" t="s">
        <v>290</v>
      </c>
      <c r="C37" s="416" t="s">
        <v>291</v>
      </c>
      <c r="D37" s="405" t="str">
        <f t="shared" si="8"/>
        <v>56-55-3 | Benz[a]anthracene</v>
      </c>
      <c r="E37" s="406" t="s">
        <v>218</v>
      </c>
      <c r="F37" s="406" t="s">
        <v>218</v>
      </c>
      <c r="G37" s="417">
        <v>8.3000000000000001E-3</v>
      </c>
      <c r="H37" s="406">
        <v>0.1</v>
      </c>
      <c r="I37" s="406">
        <v>430</v>
      </c>
      <c r="J37" s="406" t="s">
        <v>218</v>
      </c>
      <c r="K37" s="406" t="s">
        <v>218</v>
      </c>
      <c r="L37" s="406" t="s">
        <v>218</v>
      </c>
      <c r="M37" s="406" t="s">
        <v>218</v>
      </c>
      <c r="N37" s="406">
        <v>1</v>
      </c>
      <c r="O37" s="406">
        <v>0.13</v>
      </c>
      <c r="P37" s="406">
        <v>1.55</v>
      </c>
      <c r="Q37" s="406">
        <v>0.40100000000000002</v>
      </c>
      <c r="R37" s="406" t="str">
        <f t="shared" si="9"/>
        <v>No</v>
      </c>
      <c r="S37" s="406" t="str">
        <f t="shared" si="6"/>
        <v>Yes</v>
      </c>
      <c r="T37" s="406">
        <v>1.7</v>
      </c>
      <c r="U37" s="406">
        <v>4.2</v>
      </c>
      <c r="V37" s="406" t="str">
        <f t="shared" si="7"/>
        <v>Yes</v>
      </c>
      <c r="W37" s="418">
        <v>0.2</v>
      </c>
    </row>
    <row r="38" spans="1:23" ht="30" customHeight="1" x14ac:dyDescent="0.2">
      <c r="A38" s="396">
        <v>515</v>
      </c>
      <c r="B38" s="419" t="s">
        <v>292</v>
      </c>
      <c r="C38" s="420" t="s">
        <v>293</v>
      </c>
      <c r="D38" s="405" t="str">
        <f t="shared" si="8"/>
        <v>50-32-8 | Benzo[a]pyrene</v>
      </c>
      <c r="E38" s="406">
        <v>2E-3</v>
      </c>
      <c r="F38" s="406">
        <v>2.9999999999999997E-4</v>
      </c>
      <c r="G38" s="421">
        <v>1.6999999999999999E-3</v>
      </c>
      <c r="H38" s="406">
        <v>1</v>
      </c>
      <c r="I38" s="406">
        <v>430</v>
      </c>
      <c r="J38" s="406" t="s">
        <v>218</v>
      </c>
      <c r="K38" s="406" t="s">
        <v>218</v>
      </c>
      <c r="L38" s="406" t="s">
        <v>218</v>
      </c>
      <c r="M38" s="406" t="s">
        <v>218</v>
      </c>
      <c r="N38" s="406">
        <v>1</v>
      </c>
      <c r="O38" s="406">
        <v>0.13</v>
      </c>
      <c r="P38" s="407">
        <v>1.55</v>
      </c>
      <c r="Q38" s="407">
        <v>0.40100000000000002</v>
      </c>
      <c r="R38" s="407" t="str">
        <f t="shared" si="9"/>
        <v>No</v>
      </c>
      <c r="S38" s="407" t="str">
        <f t="shared" si="6"/>
        <v>Yes</v>
      </c>
      <c r="T38" s="406">
        <v>1.7</v>
      </c>
      <c r="U38" s="406">
        <v>4.2</v>
      </c>
      <c r="V38" s="406" t="str">
        <f t="shared" si="7"/>
        <v>Yes</v>
      </c>
      <c r="W38" s="418">
        <v>1</v>
      </c>
    </row>
    <row r="39" spans="1:23" ht="30" customHeight="1" x14ac:dyDescent="0.2">
      <c r="A39" s="396">
        <v>516</v>
      </c>
      <c r="B39" s="416" t="s">
        <v>294</v>
      </c>
      <c r="C39" s="416" t="s">
        <v>295</v>
      </c>
      <c r="D39" s="405" t="str">
        <f t="shared" si="8"/>
        <v>205-99-2 | Benzo[b]fluoranthene</v>
      </c>
      <c r="E39" s="406" t="s">
        <v>218</v>
      </c>
      <c r="F39" s="406" t="s">
        <v>218</v>
      </c>
      <c r="G39" s="417">
        <v>2.0999999999999999E-3</v>
      </c>
      <c r="H39" s="406">
        <v>0.1</v>
      </c>
      <c r="I39" s="406">
        <v>430</v>
      </c>
      <c r="J39" s="406" t="s">
        <v>218</v>
      </c>
      <c r="K39" s="406" t="s">
        <v>218</v>
      </c>
      <c r="L39" s="406" t="s">
        <v>218</v>
      </c>
      <c r="M39" s="406" t="s">
        <v>218</v>
      </c>
      <c r="N39" s="406">
        <v>1</v>
      </c>
      <c r="O39" s="406">
        <v>0.13</v>
      </c>
      <c r="P39" s="406">
        <v>1.55</v>
      </c>
      <c r="Q39" s="406">
        <v>0.40100000000000002</v>
      </c>
      <c r="R39" s="406" t="str">
        <f t="shared" si="9"/>
        <v>No</v>
      </c>
      <c r="S39" s="406" t="str">
        <f t="shared" si="6"/>
        <v>Yes</v>
      </c>
      <c r="T39" s="406">
        <v>1.7</v>
      </c>
      <c r="U39" s="406">
        <v>4.2</v>
      </c>
      <c r="V39" s="406" t="str">
        <f t="shared" si="7"/>
        <v>Yes</v>
      </c>
      <c r="W39" s="418">
        <v>0.8</v>
      </c>
    </row>
    <row r="40" spans="1:23" ht="30" customHeight="1" x14ac:dyDescent="0.2">
      <c r="A40" s="396">
        <v>517</v>
      </c>
      <c r="B40" s="416" t="s">
        <v>296</v>
      </c>
      <c r="C40" s="416" t="s">
        <v>297</v>
      </c>
      <c r="D40" s="405" t="str">
        <f t="shared" si="8"/>
        <v>205-12-9 | Benzo[c]fluorene</v>
      </c>
      <c r="E40" s="406" t="s">
        <v>218</v>
      </c>
      <c r="F40" s="406" t="s">
        <v>218</v>
      </c>
      <c r="G40" s="417">
        <v>8.2999999999999998E-5</v>
      </c>
      <c r="H40" s="406">
        <f>H$55*W40</f>
        <v>5000</v>
      </c>
      <c r="I40" s="406">
        <v>430</v>
      </c>
      <c r="J40" s="406" t="s">
        <v>218</v>
      </c>
      <c r="K40" s="406" t="s">
        <v>218</v>
      </c>
      <c r="L40" s="406" t="s">
        <v>218</v>
      </c>
      <c r="M40" s="406" t="s">
        <v>218</v>
      </c>
      <c r="N40" s="406">
        <v>1</v>
      </c>
      <c r="O40" s="406">
        <v>0.13</v>
      </c>
      <c r="P40" s="406">
        <v>1.55</v>
      </c>
      <c r="Q40" s="406">
        <v>0.40100000000000002</v>
      </c>
      <c r="R40" s="406" t="str">
        <f t="shared" si="9"/>
        <v>No</v>
      </c>
      <c r="S40" s="406" t="str">
        <f t="shared" si="6"/>
        <v>Yes</v>
      </c>
      <c r="T40" s="406">
        <v>1.7</v>
      </c>
      <c r="U40" s="406">
        <v>4.2</v>
      </c>
      <c r="V40" s="406" t="str">
        <f t="shared" si="7"/>
        <v>Yes</v>
      </c>
      <c r="W40" s="418">
        <v>20</v>
      </c>
    </row>
    <row r="41" spans="1:23" ht="30" customHeight="1" x14ac:dyDescent="0.2">
      <c r="A41" s="396">
        <v>518</v>
      </c>
      <c r="B41" s="416" t="s">
        <v>298</v>
      </c>
      <c r="C41" s="416" t="s">
        <v>299</v>
      </c>
      <c r="D41" s="405" t="str">
        <f t="shared" si="8"/>
        <v>192-97-2 | Benzo[e]pyrene</v>
      </c>
      <c r="E41" s="422">
        <v>1.9999999999999999E-6</v>
      </c>
      <c r="F41" s="408">
        <v>9.0000000000000006E-5</v>
      </c>
      <c r="G41" s="421" t="s">
        <v>218</v>
      </c>
      <c r="H41" s="406" t="s">
        <v>218</v>
      </c>
      <c r="I41" s="406">
        <v>430</v>
      </c>
      <c r="J41" s="406" t="s">
        <v>218</v>
      </c>
      <c r="K41" s="406" t="s">
        <v>218</v>
      </c>
      <c r="L41" s="406" t="s">
        <v>218</v>
      </c>
      <c r="M41" s="406" t="s">
        <v>218</v>
      </c>
      <c r="N41" s="406">
        <v>1</v>
      </c>
      <c r="O41" s="406">
        <v>0.13</v>
      </c>
      <c r="P41" s="406">
        <v>1.55</v>
      </c>
      <c r="Q41" s="406">
        <v>0.40100000000000002</v>
      </c>
      <c r="R41" s="406" t="str">
        <f t="shared" si="9"/>
        <v>No</v>
      </c>
      <c r="S41" s="406" t="str">
        <f t="shared" si="6"/>
        <v>Yes</v>
      </c>
      <c r="T41" s="406" t="s">
        <v>218</v>
      </c>
      <c r="U41" s="406" t="s">
        <v>218</v>
      </c>
      <c r="V41" s="406" t="s">
        <v>228</v>
      </c>
      <c r="W41" s="406" t="s">
        <v>218</v>
      </c>
    </row>
    <row r="42" spans="1:23" ht="30" customHeight="1" x14ac:dyDescent="0.2">
      <c r="A42" s="396">
        <v>519</v>
      </c>
      <c r="B42" s="416" t="s">
        <v>300</v>
      </c>
      <c r="C42" s="416" t="s">
        <v>301</v>
      </c>
      <c r="D42" s="405" t="str">
        <f t="shared" si="8"/>
        <v>191-24-2 | Benzo[g,h,i]perylene</v>
      </c>
      <c r="E42" s="406" t="s">
        <v>218</v>
      </c>
      <c r="F42" s="406" t="s">
        <v>218</v>
      </c>
      <c r="G42" s="417">
        <v>0.19</v>
      </c>
      <c r="H42" s="406">
        <f>H$55*W42</f>
        <v>2.25</v>
      </c>
      <c r="I42" s="406">
        <v>430</v>
      </c>
      <c r="J42" s="406" t="s">
        <v>218</v>
      </c>
      <c r="K42" s="406" t="s">
        <v>218</v>
      </c>
      <c r="L42" s="406" t="s">
        <v>218</v>
      </c>
      <c r="M42" s="406" t="s">
        <v>218</v>
      </c>
      <c r="N42" s="406">
        <v>1</v>
      </c>
      <c r="O42" s="406">
        <v>0.13</v>
      </c>
      <c r="P42" s="406">
        <v>1.55</v>
      </c>
      <c r="Q42" s="406">
        <v>0.40100000000000002</v>
      </c>
      <c r="R42" s="406" t="str">
        <f t="shared" si="9"/>
        <v>No</v>
      </c>
      <c r="S42" s="406" t="str">
        <f t="shared" si="6"/>
        <v>Yes</v>
      </c>
      <c r="T42" s="406">
        <v>1.7</v>
      </c>
      <c r="U42" s="406">
        <v>4.2</v>
      </c>
      <c r="V42" s="406" t="str">
        <f t="shared" ref="V42:V57" si="10">IF(AND(T42&lt;&gt;"NA",U42&lt;&gt;"NA"),"Yes","No")</f>
        <v>Yes</v>
      </c>
      <c r="W42" s="418">
        <v>8.9999999999999993E-3</v>
      </c>
    </row>
    <row r="43" spans="1:23" ht="30" customHeight="1" x14ac:dyDescent="0.2">
      <c r="A43" s="396">
        <v>520</v>
      </c>
      <c r="B43" s="416" t="s">
        <v>302</v>
      </c>
      <c r="C43" s="416" t="s">
        <v>303</v>
      </c>
      <c r="D43" s="405" t="str">
        <f t="shared" si="8"/>
        <v>205-82-3 | Benzo[j]fluoranthene</v>
      </c>
      <c r="E43" s="406" t="s">
        <v>218</v>
      </c>
      <c r="F43" s="406" t="s">
        <v>218</v>
      </c>
      <c r="G43" s="417">
        <v>5.5999999999999999E-3</v>
      </c>
      <c r="H43" s="406">
        <v>1.2</v>
      </c>
      <c r="I43" s="406">
        <v>430</v>
      </c>
      <c r="J43" s="406" t="s">
        <v>218</v>
      </c>
      <c r="K43" s="406" t="s">
        <v>218</v>
      </c>
      <c r="L43" s="406" t="s">
        <v>218</v>
      </c>
      <c r="M43" s="406" t="s">
        <v>218</v>
      </c>
      <c r="N43" s="406">
        <v>1</v>
      </c>
      <c r="O43" s="406">
        <v>0.13</v>
      </c>
      <c r="P43" s="406">
        <v>1.55</v>
      </c>
      <c r="Q43" s="406">
        <v>0.40100000000000002</v>
      </c>
      <c r="R43" s="406" t="str">
        <f t="shared" si="9"/>
        <v>No</v>
      </c>
      <c r="S43" s="406" t="str">
        <f t="shared" si="6"/>
        <v>Yes</v>
      </c>
      <c r="T43" s="406">
        <v>1.7</v>
      </c>
      <c r="U43" s="406">
        <v>4.2</v>
      </c>
      <c r="V43" s="406" t="str">
        <f t="shared" si="10"/>
        <v>Yes</v>
      </c>
      <c r="W43" s="418">
        <v>0.3</v>
      </c>
    </row>
    <row r="44" spans="1:23" ht="30" customHeight="1" x14ac:dyDescent="0.2">
      <c r="A44" s="396">
        <v>521</v>
      </c>
      <c r="B44" s="416" t="s">
        <v>304</v>
      </c>
      <c r="C44" s="416" t="s">
        <v>305</v>
      </c>
      <c r="D44" s="405" t="str">
        <f t="shared" si="8"/>
        <v>207-08-9 | Benzo[k]fluoranthene</v>
      </c>
      <c r="E44" s="406" t="s">
        <v>218</v>
      </c>
      <c r="F44" s="406" t="s">
        <v>218</v>
      </c>
      <c r="G44" s="417">
        <v>5.6000000000000001E-2</v>
      </c>
      <c r="H44" s="406">
        <v>0.01</v>
      </c>
      <c r="I44" s="406">
        <v>430</v>
      </c>
      <c r="J44" s="406" t="s">
        <v>218</v>
      </c>
      <c r="K44" s="406" t="s">
        <v>218</v>
      </c>
      <c r="L44" s="406" t="s">
        <v>218</v>
      </c>
      <c r="M44" s="406" t="s">
        <v>218</v>
      </c>
      <c r="N44" s="406">
        <v>1</v>
      </c>
      <c r="O44" s="406">
        <v>0.13</v>
      </c>
      <c r="P44" s="406">
        <v>1.55</v>
      </c>
      <c r="Q44" s="406">
        <v>0.40100000000000002</v>
      </c>
      <c r="R44" s="406" t="str">
        <f t="shared" si="9"/>
        <v>No</v>
      </c>
      <c r="S44" s="406" t="str">
        <f t="shared" si="6"/>
        <v>Yes</v>
      </c>
      <c r="T44" s="406">
        <v>1.7</v>
      </c>
      <c r="U44" s="406">
        <v>4.2</v>
      </c>
      <c r="V44" s="406" t="str">
        <f t="shared" si="10"/>
        <v>Yes</v>
      </c>
      <c r="W44" s="418">
        <v>0.03</v>
      </c>
    </row>
    <row r="45" spans="1:23" ht="30" customHeight="1" x14ac:dyDescent="0.2">
      <c r="A45" s="396">
        <v>524</v>
      </c>
      <c r="B45" s="416" t="s">
        <v>306</v>
      </c>
      <c r="C45" s="416" t="s">
        <v>307</v>
      </c>
      <c r="D45" s="405" t="str">
        <f t="shared" si="8"/>
        <v>218-01-9 | Chrysene</v>
      </c>
      <c r="E45" s="406" t="s">
        <v>218</v>
      </c>
      <c r="F45" s="406" t="s">
        <v>218</v>
      </c>
      <c r="G45" s="417">
        <v>1.7000000000000001E-2</v>
      </c>
      <c r="H45" s="406">
        <v>1E-3</v>
      </c>
      <c r="I45" s="406">
        <v>430</v>
      </c>
      <c r="J45" s="406" t="s">
        <v>218</v>
      </c>
      <c r="K45" s="406" t="s">
        <v>218</v>
      </c>
      <c r="L45" s="406" t="s">
        <v>218</v>
      </c>
      <c r="M45" s="406" t="s">
        <v>218</v>
      </c>
      <c r="N45" s="406">
        <v>1</v>
      </c>
      <c r="O45" s="406">
        <v>0.13</v>
      </c>
      <c r="P45" s="406">
        <v>1.55</v>
      </c>
      <c r="Q45" s="406">
        <v>0.40100000000000002</v>
      </c>
      <c r="R45" s="406" t="str">
        <f t="shared" si="9"/>
        <v>No</v>
      </c>
      <c r="S45" s="406" t="str">
        <f t="shared" si="6"/>
        <v>Yes</v>
      </c>
      <c r="T45" s="406">
        <v>1.7</v>
      </c>
      <c r="U45" s="406">
        <v>4.2</v>
      </c>
      <c r="V45" s="406" t="str">
        <f t="shared" si="10"/>
        <v>Yes</v>
      </c>
      <c r="W45" s="418">
        <v>0.1</v>
      </c>
    </row>
    <row r="46" spans="1:23" ht="30" customHeight="1" x14ac:dyDescent="0.2">
      <c r="A46" s="396">
        <v>525</v>
      </c>
      <c r="B46" s="416" t="s">
        <v>308</v>
      </c>
      <c r="C46" s="416" t="s">
        <v>309</v>
      </c>
      <c r="D46" s="405" t="str">
        <f t="shared" si="8"/>
        <v>27208-37-3 | Cyclopenta[c,d]pyrene</v>
      </c>
      <c r="E46" s="406" t="s">
        <v>218</v>
      </c>
      <c r="F46" s="406" t="s">
        <v>218</v>
      </c>
      <c r="G46" s="417">
        <v>4.1999999999999997E-3</v>
      </c>
      <c r="H46" s="406">
        <f>H$55*W46</f>
        <v>100</v>
      </c>
      <c r="I46" s="406">
        <v>430</v>
      </c>
      <c r="J46" s="406" t="s">
        <v>218</v>
      </c>
      <c r="K46" s="406" t="s">
        <v>218</v>
      </c>
      <c r="L46" s="406" t="s">
        <v>218</v>
      </c>
      <c r="M46" s="406" t="s">
        <v>218</v>
      </c>
      <c r="N46" s="406">
        <v>1</v>
      </c>
      <c r="O46" s="406">
        <v>0.13</v>
      </c>
      <c r="P46" s="406">
        <v>1.55</v>
      </c>
      <c r="Q46" s="406">
        <v>0.40100000000000002</v>
      </c>
      <c r="R46" s="406" t="str">
        <f t="shared" si="9"/>
        <v>No</v>
      </c>
      <c r="S46" s="406" t="str">
        <f t="shared" si="6"/>
        <v>Yes</v>
      </c>
      <c r="T46" s="406">
        <v>1.7</v>
      </c>
      <c r="U46" s="406">
        <v>4.2</v>
      </c>
      <c r="V46" s="406" t="str">
        <f t="shared" si="10"/>
        <v>Yes</v>
      </c>
      <c r="W46" s="418">
        <v>0.4</v>
      </c>
    </row>
    <row r="47" spans="1:23" ht="30" customHeight="1" x14ac:dyDescent="0.2">
      <c r="A47" s="396">
        <v>526</v>
      </c>
      <c r="B47" s="416" t="s">
        <v>310</v>
      </c>
      <c r="C47" s="416" t="s">
        <v>311</v>
      </c>
      <c r="D47" s="405" t="str">
        <f t="shared" si="8"/>
        <v>226-36-8 | Dibenz[a,h]acridine</v>
      </c>
      <c r="E47" s="406" t="s">
        <v>218</v>
      </c>
      <c r="F47" s="406" t="s">
        <v>218</v>
      </c>
      <c r="G47" s="417">
        <v>1.7000000000000001E-2</v>
      </c>
      <c r="H47" s="406">
        <f>H$55*W47</f>
        <v>25</v>
      </c>
      <c r="I47" s="406">
        <v>430</v>
      </c>
      <c r="J47" s="406" t="s">
        <v>218</v>
      </c>
      <c r="K47" s="406" t="s">
        <v>218</v>
      </c>
      <c r="L47" s="406" t="s">
        <v>218</v>
      </c>
      <c r="M47" s="406" t="s">
        <v>218</v>
      </c>
      <c r="N47" s="406">
        <v>1</v>
      </c>
      <c r="O47" s="406">
        <v>0.13</v>
      </c>
      <c r="P47" s="406">
        <v>1.55</v>
      </c>
      <c r="Q47" s="406">
        <v>0.40100000000000002</v>
      </c>
      <c r="R47" s="406" t="str">
        <f t="shared" si="9"/>
        <v>No</v>
      </c>
      <c r="S47" s="406" t="str">
        <f t="shared" si="6"/>
        <v>Yes</v>
      </c>
      <c r="T47" s="406">
        <v>1.7</v>
      </c>
      <c r="U47" s="406">
        <v>4.2</v>
      </c>
      <c r="V47" s="406" t="str">
        <f t="shared" si="10"/>
        <v>Yes</v>
      </c>
      <c r="W47" s="418">
        <v>0.1</v>
      </c>
    </row>
    <row r="48" spans="1:23" ht="30" customHeight="1" x14ac:dyDescent="0.2">
      <c r="A48" s="396">
        <v>527</v>
      </c>
      <c r="B48" s="416" t="s">
        <v>312</v>
      </c>
      <c r="C48" s="416" t="s">
        <v>313</v>
      </c>
      <c r="D48" s="405" t="str">
        <f t="shared" si="8"/>
        <v>224-42-0 | Dibenz[a,j]acridine</v>
      </c>
      <c r="E48" s="406" t="s">
        <v>218</v>
      </c>
      <c r="F48" s="406" t="s">
        <v>218</v>
      </c>
      <c r="G48" s="417">
        <v>1.7000000000000001E-2</v>
      </c>
      <c r="H48" s="406">
        <f>H$55*W48</f>
        <v>25</v>
      </c>
      <c r="I48" s="406">
        <v>430</v>
      </c>
      <c r="J48" s="406" t="s">
        <v>218</v>
      </c>
      <c r="K48" s="406" t="s">
        <v>218</v>
      </c>
      <c r="L48" s="406" t="s">
        <v>218</v>
      </c>
      <c r="M48" s="406" t="s">
        <v>218</v>
      </c>
      <c r="N48" s="406">
        <v>1</v>
      </c>
      <c r="O48" s="406">
        <v>0.13</v>
      </c>
      <c r="P48" s="406">
        <v>1.55</v>
      </c>
      <c r="Q48" s="406">
        <v>0.40100000000000002</v>
      </c>
      <c r="R48" s="406" t="str">
        <f t="shared" si="9"/>
        <v>No</v>
      </c>
      <c r="S48" s="406" t="str">
        <f t="shared" si="6"/>
        <v>Yes</v>
      </c>
      <c r="T48" s="406">
        <v>1.7</v>
      </c>
      <c r="U48" s="406">
        <v>4.2</v>
      </c>
      <c r="V48" s="406" t="str">
        <f t="shared" si="10"/>
        <v>Yes</v>
      </c>
      <c r="W48" s="418">
        <v>0.1</v>
      </c>
    </row>
    <row r="49" spans="1:23" ht="30" customHeight="1" x14ac:dyDescent="0.2">
      <c r="A49" s="396">
        <v>528</v>
      </c>
      <c r="B49" s="416" t="s">
        <v>314</v>
      </c>
      <c r="C49" s="416" t="s">
        <v>315</v>
      </c>
      <c r="D49" s="405" t="str">
        <f t="shared" si="8"/>
        <v>194-59-2 | 7H-Dibenzo[c,g]carbazole</v>
      </c>
      <c r="E49" s="406" t="s">
        <v>218</v>
      </c>
      <c r="F49" s="406" t="s">
        <v>218</v>
      </c>
      <c r="G49" s="417">
        <v>1.6999999999999999E-3</v>
      </c>
      <c r="H49" s="406">
        <f>H$55*W49</f>
        <v>250</v>
      </c>
      <c r="I49" s="406">
        <v>430</v>
      </c>
      <c r="J49" s="406" t="s">
        <v>218</v>
      </c>
      <c r="K49" s="406" t="s">
        <v>218</v>
      </c>
      <c r="L49" s="406" t="s">
        <v>218</v>
      </c>
      <c r="M49" s="406" t="s">
        <v>218</v>
      </c>
      <c r="N49" s="406">
        <v>1</v>
      </c>
      <c r="O49" s="406">
        <v>0.13</v>
      </c>
      <c r="P49" s="406">
        <v>1.55</v>
      </c>
      <c r="Q49" s="406">
        <v>0.40100000000000002</v>
      </c>
      <c r="R49" s="406" t="str">
        <f t="shared" si="9"/>
        <v>No</v>
      </c>
      <c r="S49" s="406" t="str">
        <f t="shared" si="6"/>
        <v>Yes</v>
      </c>
      <c r="T49" s="406">
        <v>1.7</v>
      </c>
      <c r="U49" s="406">
        <v>4.2</v>
      </c>
      <c r="V49" s="406" t="str">
        <f t="shared" si="10"/>
        <v>Yes</v>
      </c>
      <c r="W49" s="418">
        <v>1</v>
      </c>
    </row>
    <row r="50" spans="1:23" ht="30" customHeight="1" x14ac:dyDescent="0.2">
      <c r="A50" s="396">
        <v>529</v>
      </c>
      <c r="B50" s="416" t="s">
        <v>316</v>
      </c>
      <c r="C50" s="416" t="s">
        <v>317</v>
      </c>
      <c r="D50" s="405" t="str">
        <f t="shared" si="8"/>
        <v>53-70-3 | Dibenz[a,h]anthracene</v>
      </c>
      <c r="E50" s="406" t="s">
        <v>218</v>
      </c>
      <c r="F50" s="406" t="s">
        <v>218</v>
      </c>
      <c r="G50" s="417">
        <v>1.7000000000000001E-4</v>
      </c>
      <c r="H50" s="406">
        <v>1</v>
      </c>
      <c r="I50" s="406">
        <v>430</v>
      </c>
      <c r="J50" s="406" t="s">
        <v>218</v>
      </c>
      <c r="K50" s="406" t="s">
        <v>218</v>
      </c>
      <c r="L50" s="406" t="s">
        <v>218</v>
      </c>
      <c r="M50" s="406" t="s">
        <v>218</v>
      </c>
      <c r="N50" s="406">
        <v>1</v>
      </c>
      <c r="O50" s="406">
        <v>0.13</v>
      </c>
      <c r="P50" s="406">
        <v>1.55</v>
      </c>
      <c r="Q50" s="406">
        <v>0.40100000000000002</v>
      </c>
      <c r="R50" s="406" t="str">
        <f t="shared" si="9"/>
        <v>No</v>
      </c>
      <c r="S50" s="406" t="str">
        <f t="shared" si="6"/>
        <v>Yes</v>
      </c>
      <c r="T50" s="406">
        <v>1.7</v>
      </c>
      <c r="U50" s="406">
        <v>4.2</v>
      </c>
      <c r="V50" s="406" t="str">
        <f t="shared" si="10"/>
        <v>Yes</v>
      </c>
      <c r="W50" s="418">
        <v>10</v>
      </c>
    </row>
    <row r="51" spans="1:23" ht="30" customHeight="1" x14ac:dyDescent="0.2">
      <c r="A51" s="396">
        <v>531</v>
      </c>
      <c r="B51" s="416" t="s">
        <v>318</v>
      </c>
      <c r="C51" s="416" t="s">
        <v>319</v>
      </c>
      <c r="D51" s="405" t="str">
        <f t="shared" si="8"/>
        <v>192-65-4 | Dibenzo[a,e]pyrene</v>
      </c>
      <c r="E51" s="406" t="s">
        <v>218</v>
      </c>
      <c r="F51" s="406" t="s">
        <v>218</v>
      </c>
      <c r="G51" s="417">
        <v>4.1999999999999997E-3</v>
      </c>
      <c r="H51" s="406">
        <v>12</v>
      </c>
      <c r="I51" s="406">
        <v>430</v>
      </c>
      <c r="J51" s="406" t="s">
        <v>218</v>
      </c>
      <c r="K51" s="406" t="s">
        <v>218</v>
      </c>
      <c r="L51" s="406" t="s">
        <v>218</v>
      </c>
      <c r="M51" s="406" t="s">
        <v>218</v>
      </c>
      <c r="N51" s="406">
        <v>1</v>
      </c>
      <c r="O51" s="406">
        <v>0.13</v>
      </c>
      <c r="P51" s="406">
        <v>1.55</v>
      </c>
      <c r="Q51" s="406">
        <v>0.40100000000000002</v>
      </c>
      <c r="R51" s="406" t="str">
        <f t="shared" si="9"/>
        <v>No</v>
      </c>
      <c r="S51" s="406" t="str">
        <f t="shared" si="6"/>
        <v>Yes</v>
      </c>
      <c r="T51" s="406">
        <v>1.7</v>
      </c>
      <c r="U51" s="406">
        <v>4.2</v>
      </c>
      <c r="V51" s="406" t="str">
        <f t="shared" si="10"/>
        <v>Yes</v>
      </c>
      <c r="W51" s="418">
        <v>0.4</v>
      </c>
    </row>
    <row r="52" spans="1:23" ht="30" customHeight="1" x14ac:dyDescent="0.2">
      <c r="A52" s="396">
        <v>532</v>
      </c>
      <c r="B52" s="416" t="s">
        <v>320</v>
      </c>
      <c r="C52" s="416" t="s">
        <v>321</v>
      </c>
      <c r="D52" s="405" t="str">
        <f t="shared" si="8"/>
        <v>189-64-0 | Dibenzo[a,h]pyrene</v>
      </c>
      <c r="E52" s="406" t="s">
        <v>218</v>
      </c>
      <c r="F52" s="406" t="s">
        <v>218</v>
      </c>
      <c r="G52" s="417">
        <v>1.9E-3</v>
      </c>
      <c r="H52" s="406">
        <f>H$55*W52</f>
        <v>225</v>
      </c>
      <c r="I52" s="406">
        <v>430</v>
      </c>
      <c r="J52" s="406" t="s">
        <v>218</v>
      </c>
      <c r="K52" s="406" t="s">
        <v>218</v>
      </c>
      <c r="L52" s="406" t="s">
        <v>218</v>
      </c>
      <c r="M52" s="406" t="s">
        <v>218</v>
      </c>
      <c r="N52" s="406">
        <v>1</v>
      </c>
      <c r="O52" s="406">
        <v>0.13</v>
      </c>
      <c r="P52" s="406">
        <v>1.55</v>
      </c>
      <c r="Q52" s="406">
        <v>0.40100000000000002</v>
      </c>
      <c r="R52" s="406" t="str">
        <f t="shared" si="9"/>
        <v>No</v>
      </c>
      <c r="S52" s="406" t="str">
        <f t="shared" si="6"/>
        <v>Yes</v>
      </c>
      <c r="T52" s="406">
        <v>1.7</v>
      </c>
      <c r="U52" s="406">
        <v>4.2</v>
      </c>
      <c r="V52" s="406" t="str">
        <f t="shared" si="10"/>
        <v>Yes</v>
      </c>
      <c r="W52" s="418">
        <v>0.9</v>
      </c>
    </row>
    <row r="53" spans="1:23" ht="30" customHeight="1" x14ac:dyDescent="0.2">
      <c r="A53" s="396">
        <v>533</v>
      </c>
      <c r="B53" s="416" t="s">
        <v>322</v>
      </c>
      <c r="C53" s="416" t="s">
        <v>323</v>
      </c>
      <c r="D53" s="405" t="str">
        <f t="shared" si="8"/>
        <v>189-55-9 | Dibenzo[a,i]pyrene</v>
      </c>
      <c r="E53" s="406" t="s">
        <v>218</v>
      </c>
      <c r="F53" s="406" t="s">
        <v>218</v>
      </c>
      <c r="G53" s="417">
        <v>2.8E-3</v>
      </c>
      <c r="H53" s="406">
        <f>H$55*W53</f>
        <v>150</v>
      </c>
      <c r="I53" s="406">
        <v>430</v>
      </c>
      <c r="J53" s="406" t="s">
        <v>218</v>
      </c>
      <c r="K53" s="406" t="s">
        <v>218</v>
      </c>
      <c r="L53" s="406" t="s">
        <v>218</v>
      </c>
      <c r="M53" s="406" t="s">
        <v>218</v>
      </c>
      <c r="N53" s="406">
        <v>1</v>
      </c>
      <c r="O53" s="406">
        <v>0.13</v>
      </c>
      <c r="P53" s="406">
        <v>1.55</v>
      </c>
      <c r="Q53" s="406">
        <v>0.40100000000000002</v>
      </c>
      <c r="R53" s="406" t="str">
        <f t="shared" si="9"/>
        <v>No</v>
      </c>
      <c r="S53" s="406" t="str">
        <f t="shared" si="6"/>
        <v>Yes</v>
      </c>
      <c r="T53" s="406">
        <v>1.7</v>
      </c>
      <c r="U53" s="406">
        <v>4.2</v>
      </c>
      <c r="V53" s="406" t="str">
        <f t="shared" si="10"/>
        <v>Yes</v>
      </c>
      <c r="W53" s="418">
        <v>0.6</v>
      </c>
    </row>
    <row r="54" spans="1:23" ht="30" customHeight="1" x14ac:dyDescent="0.2">
      <c r="A54" s="396">
        <v>534</v>
      </c>
      <c r="B54" s="416" t="s">
        <v>324</v>
      </c>
      <c r="C54" s="416" t="s">
        <v>325</v>
      </c>
      <c r="D54" s="405" t="str">
        <f t="shared" si="8"/>
        <v>191-30-0 | Dibenzo[a,l]pyrene</v>
      </c>
      <c r="E54" s="406" t="s">
        <v>218</v>
      </c>
      <c r="F54" s="406" t="s">
        <v>218</v>
      </c>
      <c r="G54" s="417">
        <v>5.5999999999999999E-5</v>
      </c>
      <c r="H54" s="406">
        <f>H$55*W54</f>
        <v>7500</v>
      </c>
      <c r="I54" s="406">
        <v>430</v>
      </c>
      <c r="J54" s="406" t="s">
        <v>218</v>
      </c>
      <c r="K54" s="406" t="s">
        <v>218</v>
      </c>
      <c r="L54" s="406" t="s">
        <v>218</v>
      </c>
      <c r="M54" s="406" t="s">
        <v>218</v>
      </c>
      <c r="N54" s="406">
        <v>1</v>
      </c>
      <c r="O54" s="406">
        <v>0.13</v>
      </c>
      <c r="P54" s="406">
        <v>1.55</v>
      </c>
      <c r="Q54" s="406">
        <v>0.40100000000000002</v>
      </c>
      <c r="R54" s="406" t="str">
        <f t="shared" si="9"/>
        <v>No</v>
      </c>
      <c r="S54" s="406" t="str">
        <f t="shared" ref="S54:S74" si="11">IF(AND(P54&lt;&gt;"NA",Q54&lt;&gt;"NA"),"Yes","No")</f>
        <v>Yes</v>
      </c>
      <c r="T54" s="406">
        <v>1.7</v>
      </c>
      <c r="U54" s="406">
        <v>4.2</v>
      </c>
      <c r="V54" s="406" t="str">
        <f t="shared" si="10"/>
        <v>Yes</v>
      </c>
      <c r="W54" s="418">
        <v>30</v>
      </c>
    </row>
    <row r="55" spans="1:23" ht="30" customHeight="1" x14ac:dyDescent="0.2">
      <c r="A55" s="396">
        <v>535</v>
      </c>
      <c r="B55" s="416" t="s">
        <v>326</v>
      </c>
      <c r="C55" s="416" t="s">
        <v>327</v>
      </c>
      <c r="D55" s="405" t="str">
        <f t="shared" si="8"/>
        <v>57-97-6 | 7,12-Dimethylbenz[a]anthracene</v>
      </c>
      <c r="E55" s="406" t="s">
        <v>218</v>
      </c>
      <c r="F55" s="406" t="s">
        <v>218</v>
      </c>
      <c r="G55" s="417">
        <v>2.5999999999999998E-5</v>
      </c>
      <c r="H55" s="406">
        <v>250</v>
      </c>
      <c r="I55" s="406">
        <v>430</v>
      </c>
      <c r="J55" s="406" t="s">
        <v>218</v>
      </c>
      <c r="K55" s="406" t="s">
        <v>218</v>
      </c>
      <c r="L55" s="406" t="s">
        <v>218</v>
      </c>
      <c r="M55" s="406" t="s">
        <v>218</v>
      </c>
      <c r="N55" s="406">
        <v>1</v>
      </c>
      <c r="O55" s="406">
        <v>0.13</v>
      </c>
      <c r="P55" s="406">
        <v>1.55</v>
      </c>
      <c r="Q55" s="406">
        <v>0.40100000000000002</v>
      </c>
      <c r="R55" s="406" t="str">
        <f t="shared" si="9"/>
        <v>No</v>
      </c>
      <c r="S55" s="406" t="str">
        <f t="shared" si="11"/>
        <v>Yes</v>
      </c>
      <c r="T55" s="406">
        <v>1.7</v>
      </c>
      <c r="U55" s="406">
        <v>4.2</v>
      </c>
      <c r="V55" s="406" t="str">
        <f t="shared" si="10"/>
        <v>Yes</v>
      </c>
      <c r="W55" s="418">
        <v>150</v>
      </c>
    </row>
    <row r="56" spans="1:23" ht="30" customHeight="1" x14ac:dyDescent="0.2">
      <c r="A56" s="396">
        <v>536</v>
      </c>
      <c r="B56" s="416" t="s">
        <v>328</v>
      </c>
      <c r="C56" s="416" t="s">
        <v>329</v>
      </c>
      <c r="D56" s="405" t="str">
        <f t="shared" si="8"/>
        <v>42397-64-8 | 1,6-Dinitropyrene</v>
      </c>
      <c r="E56" s="406" t="s">
        <v>218</v>
      </c>
      <c r="F56" s="406" t="s">
        <v>218</v>
      </c>
      <c r="G56" s="417">
        <v>1.7000000000000001E-4</v>
      </c>
      <c r="H56" s="406">
        <f>H$55*W56</f>
        <v>2500</v>
      </c>
      <c r="I56" s="406">
        <v>430</v>
      </c>
      <c r="J56" s="406" t="s">
        <v>218</v>
      </c>
      <c r="K56" s="406" t="s">
        <v>218</v>
      </c>
      <c r="L56" s="406" t="s">
        <v>218</v>
      </c>
      <c r="M56" s="406" t="s">
        <v>218</v>
      </c>
      <c r="N56" s="406">
        <v>1</v>
      </c>
      <c r="O56" s="406">
        <v>0.13</v>
      </c>
      <c r="P56" s="406">
        <v>1.55</v>
      </c>
      <c r="Q56" s="406">
        <v>0.40100000000000002</v>
      </c>
      <c r="R56" s="406" t="str">
        <f t="shared" si="9"/>
        <v>No</v>
      </c>
      <c r="S56" s="406" t="str">
        <f t="shared" si="11"/>
        <v>Yes</v>
      </c>
      <c r="T56" s="406">
        <v>1.7</v>
      </c>
      <c r="U56" s="406">
        <v>4.2</v>
      </c>
      <c r="V56" s="406" t="str">
        <f t="shared" si="10"/>
        <v>Yes</v>
      </c>
      <c r="W56" s="418">
        <v>10</v>
      </c>
    </row>
    <row r="57" spans="1:23" ht="30" customHeight="1" x14ac:dyDescent="0.2">
      <c r="A57" s="396">
        <v>537</v>
      </c>
      <c r="B57" s="416" t="s">
        <v>330</v>
      </c>
      <c r="C57" s="416" t="s">
        <v>331</v>
      </c>
      <c r="D57" s="405" t="str">
        <f t="shared" si="8"/>
        <v>42397-65-9 | 1,8-Dinitropyrene</v>
      </c>
      <c r="E57" s="406" t="s">
        <v>218</v>
      </c>
      <c r="F57" s="406" t="s">
        <v>218</v>
      </c>
      <c r="G57" s="417">
        <v>1.6999999999999999E-3</v>
      </c>
      <c r="H57" s="406">
        <f>H$55*W57</f>
        <v>250</v>
      </c>
      <c r="I57" s="406">
        <v>430</v>
      </c>
      <c r="J57" s="406" t="s">
        <v>218</v>
      </c>
      <c r="K57" s="406" t="s">
        <v>218</v>
      </c>
      <c r="L57" s="406" t="s">
        <v>218</v>
      </c>
      <c r="M57" s="406" t="s">
        <v>218</v>
      </c>
      <c r="N57" s="406">
        <v>1</v>
      </c>
      <c r="O57" s="406">
        <v>0.13</v>
      </c>
      <c r="P57" s="406">
        <v>1.55</v>
      </c>
      <c r="Q57" s="406">
        <v>0.40100000000000002</v>
      </c>
      <c r="R57" s="406" t="str">
        <f t="shared" si="9"/>
        <v>No</v>
      </c>
      <c r="S57" s="406" t="str">
        <f t="shared" si="11"/>
        <v>Yes</v>
      </c>
      <c r="T57" s="406">
        <v>1.7</v>
      </c>
      <c r="U57" s="406">
        <v>4.2</v>
      </c>
      <c r="V57" s="406" t="str">
        <f t="shared" si="10"/>
        <v>Yes</v>
      </c>
      <c r="W57" s="418">
        <v>1</v>
      </c>
    </row>
    <row r="58" spans="1:23" ht="30" customHeight="1" x14ac:dyDescent="0.2">
      <c r="A58" s="396">
        <v>538</v>
      </c>
      <c r="B58" s="416" t="s">
        <v>332</v>
      </c>
      <c r="C58" s="416" t="s">
        <v>333</v>
      </c>
      <c r="D58" s="405" t="str">
        <f t="shared" si="8"/>
        <v>206-44-0 | Fluoranthene</v>
      </c>
      <c r="E58" s="406" t="s">
        <v>218</v>
      </c>
      <c r="F58" s="407">
        <v>0.04</v>
      </c>
      <c r="G58" s="417">
        <v>2.1000000000000001E-2</v>
      </c>
      <c r="H58" s="406" t="s">
        <v>218</v>
      </c>
      <c r="I58" s="406">
        <v>430</v>
      </c>
      <c r="J58" s="406" t="s">
        <v>218</v>
      </c>
      <c r="K58" s="406" t="s">
        <v>218</v>
      </c>
      <c r="L58" s="406" t="s">
        <v>218</v>
      </c>
      <c r="M58" s="406" t="s">
        <v>218</v>
      </c>
      <c r="N58" s="406">
        <v>1</v>
      </c>
      <c r="O58" s="406">
        <v>0.13</v>
      </c>
      <c r="P58" s="406">
        <v>1.55</v>
      </c>
      <c r="Q58" s="406">
        <v>0.40100000000000002</v>
      </c>
      <c r="R58" s="406" t="str">
        <f t="shared" si="9"/>
        <v>No</v>
      </c>
      <c r="S58" s="406" t="str">
        <f t="shared" si="11"/>
        <v>Yes</v>
      </c>
      <c r="T58" s="406" t="s">
        <v>218</v>
      </c>
      <c r="U58" s="406" t="s">
        <v>218</v>
      </c>
      <c r="V58" s="406" t="s">
        <v>228</v>
      </c>
      <c r="W58" s="406" t="s">
        <v>218</v>
      </c>
    </row>
    <row r="59" spans="1:23" ht="30" customHeight="1" x14ac:dyDescent="0.2">
      <c r="A59" s="396">
        <v>540</v>
      </c>
      <c r="B59" s="416" t="s">
        <v>334</v>
      </c>
      <c r="C59" s="416" t="s">
        <v>335</v>
      </c>
      <c r="D59" s="405" t="str">
        <f t="shared" si="8"/>
        <v>193-39-5 | Indeno[1,2,3-cd]pyrene</v>
      </c>
      <c r="E59" s="406" t="s">
        <v>218</v>
      </c>
      <c r="F59" s="406" t="s">
        <v>218</v>
      </c>
      <c r="G59" s="417">
        <v>2.4E-2</v>
      </c>
      <c r="H59" s="406">
        <v>0.1</v>
      </c>
      <c r="I59" s="406">
        <v>430</v>
      </c>
      <c r="J59" s="406" t="s">
        <v>218</v>
      </c>
      <c r="K59" s="406" t="s">
        <v>218</v>
      </c>
      <c r="L59" s="406" t="s">
        <v>218</v>
      </c>
      <c r="M59" s="406" t="s">
        <v>218</v>
      </c>
      <c r="N59" s="406">
        <v>1</v>
      </c>
      <c r="O59" s="406">
        <v>0.13</v>
      </c>
      <c r="P59" s="406">
        <v>1.55</v>
      </c>
      <c r="Q59" s="406">
        <v>0.40100000000000002</v>
      </c>
      <c r="R59" s="406" t="str">
        <f t="shared" si="9"/>
        <v>No</v>
      </c>
      <c r="S59" s="406" t="str">
        <f t="shared" si="11"/>
        <v>Yes</v>
      </c>
      <c r="T59" s="406">
        <v>1.7</v>
      </c>
      <c r="U59" s="406">
        <v>4.2</v>
      </c>
      <c r="V59" s="406" t="str">
        <f>IF(AND(T59&lt;&gt;"NA",U59&lt;&gt;"NA"),"Yes","No")</f>
        <v>Yes</v>
      </c>
      <c r="W59" s="418">
        <v>7.0000000000000007E-2</v>
      </c>
    </row>
    <row r="60" spans="1:23" ht="30" customHeight="1" x14ac:dyDescent="0.2">
      <c r="A60" s="396">
        <v>541</v>
      </c>
      <c r="B60" s="416" t="s">
        <v>336</v>
      </c>
      <c r="C60" s="416" t="s">
        <v>337</v>
      </c>
      <c r="D60" s="405" t="str">
        <f t="shared" si="8"/>
        <v>56-49-5 | 3-Methylcholanthrene</v>
      </c>
      <c r="E60" s="406" t="s">
        <v>218</v>
      </c>
      <c r="F60" s="406" t="s">
        <v>218</v>
      </c>
      <c r="G60" s="417">
        <v>2.9999999999999997E-4</v>
      </c>
      <c r="H60" s="406">
        <f>H$55*W60</f>
        <v>3250</v>
      </c>
      <c r="I60" s="406">
        <v>430</v>
      </c>
      <c r="J60" s="406" t="s">
        <v>218</v>
      </c>
      <c r="K60" s="406" t="s">
        <v>218</v>
      </c>
      <c r="L60" s="406" t="s">
        <v>218</v>
      </c>
      <c r="M60" s="406" t="s">
        <v>218</v>
      </c>
      <c r="N60" s="406">
        <v>1</v>
      </c>
      <c r="O60" s="406">
        <v>0.13</v>
      </c>
      <c r="P60" s="406">
        <v>1.55</v>
      </c>
      <c r="Q60" s="406">
        <v>0.40100000000000002</v>
      </c>
      <c r="R60" s="406" t="str">
        <f t="shared" si="9"/>
        <v>No</v>
      </c>
      <c r="S60" s="406" t="str">
        <f t="shared" si="11"/>
        <v>Yes</v>
      </c>
      <c r="T60" s="406">
        <v>1.7</v>
      </c>
      <c r="U60" s="406">
        <v>4.2</v>
      </c>
      <c r="V60" s="406" t="str">
        <f>IF(AND(T60&lt;&gt;"NA",U60&lt;&gt;"NA"),"Yes","No")</f>
        <v>Yes</v>
      </c>
      <c r="W60" s="418">
        <v>13</v>
      </c>
    </row>
    <row r="61" spans="1:23" ht="30" customHeight="1" x14ac:dyDescent="0.2">
      <c r="A61" s="396">
        <v>542</v>
      </c>
      <c r="B61" s="416" t="s">
        <v>338</v>
      </c>
      <c r="C61" s="416" t="s">
        <v>339</v>
      </c>
      <c r="D61" s="405" t="str">
        <f t="shared" si="8"/>
        <v>3697-24-3 | 5-Methylchrysene</v>
      </c>
      <c r="E61" s="406" t="s">
        <v>218</v>
      </c>
      <c r="F61" s="406" t="s">
        <v>218</v>
      </c>
      <c r="G61" s="417">
        <v>1.6999999999999999E-3</v>
      </c>
      <c r="H61" s="406">
        <f>H$55*W61</f>
        <v>250</v>
      </c>
      <c r="I61" s="406">
        <v>430</v>
      </c>
      <c r="J61" s="406" t="s">
        <v>218</v>
      </c>
      <c r="K61" s="406" t="s">
        <v>218</v>
      </c>
      <c r="L61" s="406" t="s">
        <v>218</v>
      </c>
      <c r="M61" s="406" t="s">
        <v>218</v>
      </c>
      <c r="N61" s="406">
        <v>1</v>
      </c>
      <c r="O61" s="406">
        <v>0.13</v>
      </c>
      <c r="P61" s="406">
        <v>1.55</v>
      </c>
      <c r="Q61" s="406">
        <v>0.40100000000000002</v>
      </c>
      <c r="R61" s="406" t="str">
        <f t="shared" si="9"/>
        <v>No</v>
      </c>
      <c r="S61" s="406" t="str">
        <f t="shared" si="11"/>
        <v>Yes</v>
      </c>
      <c r="T61" s="406">
        <v>1.7</v>
      </c>
      <c r="U61" s="406">
        <v>4.2</v>
      </c>
      <c r="V61" s="406" t="str">
        <f>IF(AND(T61&lt;&gt;"NA",U61&lt;&gt;"NA"),"Yes","No")</f>
        <v>Yes</v>
      </c>
      <c r="W61" s="418">
        <v>1</v>
      </c>
    </row>
    <row r="62" spans="1:23" ht="30" customHeight="1" x14ac:dyDescent="0.2">
      <c r="A62" s="396">
        <v>543</v>
      </c>
      <c r="B62" s="416" t="s">
        <v>340</v>
      </c>
      <c r="C62" s="416" t="s">
        <v>341</v>
      </c>
      <c r="D62" s="405" t="str">
        <f t="shared" si="8"/>
        <v>90-12-0 | 1-Methylnaphthalene</v>
      </c>
      <c r="E62" s="422">
        <v>3.0000000000000001E-6</v>
      </c>
      <c r="F62" s="407">
        <v>7.0000000000000007E-2</v>
      </c>
      <c r="G62" s="417">
        <v>0.14000000000000001</v>
      </c>
      <c r="H62" s="406">
        <v>5.0999999999999997E-2</v>
      </c>
      <c r="I62" s="406">
        <v>430</v>
      </c>
      <c r="J62" s="406" t="s">
        <v>218</v>
      </c>
      <c r="K62" s="406" t="s">
        <v>218</v>
      </c>
      <c r="L62" s="406" t="s">
        <v>218</v>
      </c>
      <c r="M62" s="406" t="s">
        <v>218</v>
      </c>
      <c r="N62" s="406">
        <v>1</v>
      </c>
      <c r="O62" s="406">
        <v>0.13</v>
      </c>
      <c r="P62" s="406">
        <v>1.55</v>
      </c>
      <c r="Q62" s="406">
        <v>0.40100000000000002</v>
      </c>
      <c r="R62" s="406" t="str">
        <f t="shared" si="9"/>
        <v>No</v>
      </c>
      <c r="S62" s="406" t="str">
        <f t="shared" si="11"/>
        <v>Yes</v>
      </c>
      <c r="T62" s="406" t="s">
        <v>218</v>
      </c>
      <c r="U62" s="406" t="s">
        <v>218</v>
      </c>
      <c r="V62" s="406" t="s">
        <v>228</v>
      </c>
      <c r="W62" s="406" t="s">
        <v>218</v>
      </c>
    </row>
    <row r="63" spans="1:23" ht="30" customHeight="1" x14ac:dyDescent="0.2">
      <c r="A63" s="396">
        <v>544</v>
      </c>
      <c r="B63" s="416" t="s">
        <v>342</v>
      </c>
      <c r="C63" s="416" t="s">
        <v>343</v>
      </c>
      <c r="D63" s="405" t="str">
        <f t="shared" si="8"/>
        <v>91-57-6 | 2-Methylnaphthalene</v>
      </c>
      <c r="E63" s="406" t="s">
        <v>218</v>
      </c>
      <c r="F63" s="407">
        <v>4.0000000000000001E-3</v>
      </c>
      <c r="G63" s="421" t="s">
        <v>218</v>
      </c>
      <c r="H63" s="406" t="s">
        <v>218</v>
      </c>
      <c r="I63" s="406">
        <v>430</v>
      </c>
      <c r="J63" s="406" t="s">
        <v>218</v>
      </c>
      <c r="K63" s="406" t="s">
        <v>218</v>
      </c>
      <c r="L63" s="406" t="s">
        <v>218</v>
      </c>
      <c r="M63" s="406" t="s">
        <v>218</v>
      </c>
      <c r="N63" s="406">
        <v>1</v>
      </c>
      <c r="O63" s="406">
        <v>0.13</v>
      </c>
      <c r="P63" s="406">
        <v>1.55</v>
      </c>
      <c r="Q63" s="406">
        <v>0.40100000000000002</v>
      </c>
      <c r="R63" s="406" t="str">
        <f t="shared" si="9"/>
        <v>No</v>
      </c>
      <c r="S63" s="406" t="str">
        <f t="shared" si="11"/>
        <v>Yes</v>
      </c>
      <c r="T63" s="406" t="s">
        <v>218</v>
      </c>
      <c r="U63" s="406" t="s">
        <v>218</v>
      </c>
      <c r="V63" s="406" t="s">
        <v>228</v>
      </c>
      <c r="W63" s="406" t="s">
        <v>218</v>
      </c>
    </row>
    <row r="64" spans="1:23" ht="30" customHeight="1" x14ac:dyDescent="0.2">
      <c r="A64" s="396">
        <v>547</v>
      </c>
      <c r="B64" s="409" t="s">
        <v>344</v>
      </c>
      <c r="C64" s="410" t="s">
        <v>345</v>
      </c>
      <c r="D64" s="410" t="str">
        <f t="shared" si="8"/>
        <v>91-20-3 | Naphthalene</v>
      </c>
      <c r="E64" s="407">
        <v>3.0000000000000001E-3</v>
      </c>
      <c r="F64" s="407">
        <v>0.02</v>
      </c>
      <c r="G64" s="406">
        <v>2.9000000000000001E-2</v>
      </c>
      <c r="H64" s="406">
        <v>0.12</v>
      </c>
      <c r="I64" s="406">
        <v>430</v>
      </c>
      <c r="J64" s="406" t="s">
        <v>218</v>
      </c>
      <c r="K64" s="406" t="s">
        <v>218</v>
      </c>
      <c r="L64" s="406" t="s">
        <v>218</v>
      </c>
      <c r="M64" s="406" t="s">
        <v>218</v>
      </c>
      <c r="N64" s="406">
        <v>1</v>
      </c>
      <c r="O64" s="406">
        <v>0.13</v>
      </c>
      <c r="P64" s="406">
        <v>1.55</v>
      </c>
      <c r="Q64" s="406">
        <v>0.40100000000000002</v>
      </c>
      <c r="R64" s="406" t="str">
        <f t="shared" si="9"/>
        <v>No</v>
      </c>
      <c r="S64" s="406" t="str">
        <f t="shared" si="11"/>
        <v>Yes</v>
      </c>
      <c r="T64" s="406" t="s">
        <v>218</v>
      </c>
      <c r="U64" s="406" t="s">
        <v>218</v>
      </c>
      <c r="V64" s="406" t="str">
        <f t="shared" ref="V64:V69" si="12">IF(AND(T64&lt;&gt;"NA",U64&lt;&gt;"NA"),"Yes","No")</f>
        <v>No</v>
      </c>
      <c r="W64" s="406" t="s">
        <v>218</v>
      </c>
    </row>
    <row r="65" spans="1:23" ht="30" customHeight="1" x14ac:dyDescent="0.2">
      <c r="A65" s="396">
        <v>549</v>
      </c>
      <c r="B65" s="416" t="s">
        <v>346</v>
      </c>
      <c r="C65" s="416" t="s">
        <v>347</v>
      </c>
      <c r="D65" s="405" t="str">
        <f t="shared" si="8"/>
        <v>602-87-9 | 5-Nitroacenaphthene</v>
      </c>
      <c r="E65" s="406" t="s">
        <v>218</v>
      </c>
      <c r="F65" s="406" t="s">
        <v>218</v>
      </c>
      <c r="G65" s="417">
        <v>8.3000000000000004E-2</v>
      </c>
      <c r="H65" s="406">
        <f>H$55*W65</f>
        <v>5</v>
      </c>
      <c r="I65" s="406">
        <v>430</v>
      </c>
      <c r="J65" s="406" t="s">
        <v>218</v>
      </c>
      <c r="K65" s="406" t="s">
        <v>218</v>
      </c>
      <c r="L65" s="406" t="s">
        <v>218</v>
      </c>
      <c r="M65" s="406" t="s">
        <v>218</v>
      </c>
      <c r="N65" s="406">
        <v>1</v>
      </c>
      <c r="O65" s="406">
        <v>0.13</v>
      </c>
      <c r="P65" s="406">
        <v>1.55</v>
      </c>
      <c r="Q65" s="406">
        <v>0.40100000000000002</v>
      </c>
      <c r="R65" s="406" t="str">
        <f t="shared" si="9"/>
        <v>No</v>
      </c>
      <c r="S65" s="406" t="str">
        <f t="shared" si="11"/>
        <v>Yes</v>
      </c>
      <c r="T65" s="406">
        <v>1.7</v>
      </c>
      <c r="U65" s="406">
        <v>4.2</v>
      </c>
      <c r="V65" s="406" t="str">
        <f t="shared" si="12"/>
        <v>Yes</v>
      </c>
      <c r="W65" s="418">
        <v>0.02</v>
      </c>
    </row>
    <row r="66" spans="1:23" ht="30" customHeight="1" x14ac:dyDescent="0.2">
      <c r="A66" s="396">
        <v>550</v>
      </c>
      <c r="B66" s="423" t="s">
        <v>348</v>
      </c>
      <c r="C66" s="416" t="s">
        <v>349</v>
      </c>
      <c r="D66" s="405" t="str">
        <f t="shared" si="8"/>
        <v>7496-02-8 | 6-Nitrochrysene</v>
      </c>
      <c r="E66" s="406" t="s">
        <v>218</v>
      </c>
      <c r="F66" s="406" t="s">
        <v>218</v>
      </c>
      <c r="G66" s="417">
        <v>1.7000000000000001E-4</v>
      </c>
      <c r="H66" s="406">
        <f>H$55*W66</f>
        <v>2500</v>
      </c>
      <c r="I66" s="406">
        <v>430</v>
      </c>
      <c r="J66" s="406" t="s">
        <v>218</v>
      </c>
      <c r="K66" s="406" t="s">
        <v>218</v>
      </c>
      <c r="L66" s="406" t="s">
        <v>218</v>
      </c>
      <c r="M66" s="406" t="s">
        <v>218</v>
      </c>
      <c r="N66" s="406">
        <v>1</v>
      </c>
      <c r="O66" s="406">
        <v>0.13</v>
      </c>
      <c r="P66" s="406">
        <v>1.55</v>
      </c>
      <c r="Q66" s="406">
        <v>0.40100000000000002</v>
      </c>
      <c r="R66" s="406" t="str">
        <f t="shared" si="9"/>
        <v>No</v>
      </c>
      <c r="S66" s="406" t="str">
        <f t="shared" si="11"/>
        <v>Yes</v>
      </c>
      <c r="T66" s="406">
        <v>1.7</v>
      </c>
      <c r="U66" s="406">
        <v>4.2</v>
      </c>
      <c r="V66" s="406" t="str">
        <f t="shared" si="12"/>
        <v>Yes</v>
      </c>
      <c r="W66" s="418">
        <v>10</v>
      </c>
    </row>
    <row r="67" spans="1:23" ht="30" customHeight="1" x14ac:dyDescent="0.2">
      <c r="A67" s="396">
        <v>551</v>
      </c>
      <c r="B67" s="416" t="s">
        <v>350</v>
      </c>
      <c r="C67" s="416" t="s">
        <v>351</v>
      </c>
      <c r="D67" s="405" t="str">
        <f t="shared" ref="D67:D74" si="13">B67&amp;" | "&amp;C67</f>
        <v>607-57-8 | 2-Nitrofluorene</v>
      </c>
      <c r="E67" s="406" t="s">
        <v>218</v>
      </c>
      <c r="F67" s="406" t="s">
        <v>218</v>
      </c>
      <c r="G67" s="417">
        <v>0.17</v>
      </c>
      <c r="H67" s="406">
        <f>H$55*W67</f>
        <v>2.5</v>
      </c>
      <c r="I67" s="406">
        <v>430</v>
      </c>
      <c r="J67" s="406" t="s">
        <v>218</v>
      </c>
      <c r="K67" s="406" t="s">
        <v>218</v>
      </c>
      <c r="L67" s="406" t="s">
        <v>218</v>
      </c>
      <c r="M67" s="406" t="s">
        <v>218</v>
      </c>
      <c r="N67" s="406">
        <v>1</v>
      </c>
      <c r="O67" s="406">
        <v>0.13</v>
      </c>
      <c r="P67" s="406">
        <v>1.55</v>
      </c>
      <c r="Q67" s="406">
        <v>0.40100000000000002</v>
      </c>
      <c r="R67" s="406" t="str">
        <f t="shared" ref="R67:R74" si="14">IF(AND(J67&lt;&gt;"NA",K67&lt;&gt;"NA",L67&lt;&gt;"NA",M67&lt;&gt;"NA"),"Yes","No")</f>
        <v>No</v>
      </c>
      <c r="S67" s="406" t="str">
        <f t="shared" si="11"/>
        <v>Yes</v>
      </c>
      <c r="T67" s="406">
        <v>1.7</v>
      </c>
      <c r="U67" s="406">
        <v>4.2</v>
      </c>
      <c r="V67" s="406" t="str">
        <f t="shared" si="12"/>
        <v>Yes</v>
      </c>
      <c r="W67" s="418">
        <v>0.01</v>
      </c>
    </row>
    <row r="68" spans="1:23" ht="30" customHeight="1" x14ac:dyDescent="0.2">
      <c r="A68" s="396">
        <v>552</v>
      </c>
      <c r="B68" s="416" t="s">
        <v>352</v>
      </c>
      <c r="C68" s="416" t="s">
        <v>353</v>
      </c>
      <c r="D68" s="405" t="str">
        <f t="shared" si="13"/>
        <v>5522-43-0 | 1-Nitropyrene</v>
      </c>
      <c r="E68" s="406" t="s">
        <v>218</v>
      </c>
      <c r="F68" s="406" t="s">
        <v>218</v>
      </c>
      <c r="G68" s="417">
        <v>1.7000000000000001E-2</v>
      </c>
      <c r="H68" s="406">
        <f>H$55*W68</f>
        <v>25</v>
      </c>
      <c r="I68" s="406">
        <v>430</v>
      </c>
      <c r="J68" s="406" t="s">
        <v>218</v>
      </c>
      <c r="K68" s="406" t="s">
        <v>218</v>
      </c>
      <c r="L68" s="406" t="s">
        <v>218</v>
      </c>
      <c r="M68" s="406" t="s">
        <v>218</v>
      </c>
      <c r="N68" s="406">
        <v>1</v>
      </c>
      <c r="O68" s="406">
        <v>0.13</v>
      </c>
      <c r="P68" s="406">
        <v>1.55</v>
      </c>
      <c r="Q68" s="406">
        <v>0.40100000000000002</v>
      </c>
      <c r="R68" s="406" t="str">
        <f t="shared" si="14"/>
        <v>No</v>
      </c>
      <c r="S68" s="406" t="str">
        <f t="shared" si="11"/>
        <v>Yes</v>
      </c>
      <c r="T68" s="406">
        <v>1.7</v>
      </c>
      <c r="U68" s="406">
        <v>4.2</v>
      </c>
      <c r="V68" s="406" t="str">
        <f t="shared" si="12"/>
        <v>Yes</v>
      </c>
      <c r="W68" s="418">
        <v>0.1</v>
      </c>
    </row>
    <row r="69" spans="1:23" ht="30" customHeight="1" x14ac:dyDescent="0.2">
      <c r="A69" s="396">
        <v>553</v>
      </c>
      <c r="B69" s="416" t="s">
        <v>354</v>
      </c>
      <c r="C69" s="416" t="s">
        <v>355</v>
      </c>
      <c r="D69" s="405" t="str">
        <f t="shared" si="13"/>
        <v>57835-92-4 | 4-Nitropyrene</v>
      </c>
      <c r="E69" s="406" t="s">
        <v>218</v>
      </c>
      <c r="F69" s="406" t="s">
        <v>218</v>
      </c>
      <c r="G69" s="417">
        <v>1.7000000000000001E-2</v>
      </c>
      <c r="H69" s="406">
        <v>1.2</v>
      </c>
      <c r="I69" s="406">
        <v>430</v>
      </c>
      <c r="J69" s="406" t="s">
        <v>218</v>
      </c>
      <c r="K69" s="406" t="s">
        <v>218</v>
      </c>
      <c r="L69" s="406" t="s">
        <v>218</v>
      </c>
      <c r="M69" s="406" t="s">
        <v>218</v>
      </c>
      <c r="N69" s="406">
        <v>1</v>
      </c>
      <c r="O69" s="406">
        <v>0.13</v>
      </c>
      <c r="P69" s="406">
        <v>1.55</v>
      </c>
      <c r="Q69" s="406">
        <v>0.40100000000000002</v>
      </c>
      <c r="R69" s="406" t="str">
        <f t="shared" si="14"/>
        <v>No</v>
      </c>
      <c r="S69" s="406" t="str">
        <f t="shared" si="11"/>
        <v>Yes</v>
      </c>
      <c r="T69" s="406">
        <v>1.7</v>
      </c>
      <c r="U69" s="406">
        <v>4.2</v>
      </c>
      <c r="V69" s="406" t="str">
        <f t="shared" si="12"/>
        <v>Yes</v>
      </c>
      <c r="W69" s="418">
        <v>0.1</v>
      </c>
    </row>
    <row r="70" spans="1:23" ht="30" customHeight="1" x14ac:dyDescent="0.2">
      <c r="A70" s="396">
        <v>554</v>
      </c>
      <c r="B70" s="416" t="s">
        <v>356</v>
      </c>
      <c r="C70" s="416" t="s">
        <v>357</v>
      </c>
      <c r="D70" s="405" t="str">
        <f t="shared" si="13"/>
        <v>198-55-0 | Perylene</v>
      </c>
      <c r="E70" s="422">
        <v>1.9999999999999999E-6</v>
      </c>
      <c r="F70" s="408">
        <v>9.0000000000000006E-5</v>
      </c>
      <c r="G70" s="406" t="s">
        <v>218</v>
      </c>
      <c r="H70" s="406" t="s">
        <v>218</v>
      </c>
      <c r="I70" s="406">
        <v>430</v>
      </c>
      <c r="J70" s="406" t="s">
        <v>218</v>
      </c>
      <c r="K70" s="406" t="s">
        <v>218</v>
      </c>
      <c r="L70" s="406" t="s">
        <v>218</v>
      </c>
      <c r="M70" s="406" t="s">
        <v>218</v>
      </c>
      <c r="N70" s="406">
        <v>1</v>
      </c>
      <c r="O70" s="406">
        <v>0.13</v>
      </c>
      <c r="P70" s="406">
        <v>1.55</v>
      </c>
      <c r="Q70" s="406">
        <v>0.40100000000000002</v>
      </c>
      <c r="R70" s="406" t="str">
        <f t="shared" si="14"/>
        <v>No</v>
      </c>
      <c r="S70" s="406" t="str">
        <f t="shared" si="11"/>
        <v>Yes</v>
      </c>
      <c r="T70" s="406" t="s">
        <v>218</v>
      </c>
      <c r="U70" s="406" t="s">
        <v>218</v>
      </c>
      <c r="V70" s="406" t="s">
        <v>228</v>
      </c>
      <c r="W70" s="406" t="s">
        <v>218</v>
      </c>
    </row>
    <row r="71" spans="1:23" ht="30" customHeight="1" x14ac:dyDescent="0.2">
      <c r="A71" s="396">
        <v>557</v>
      </c>
      <c r="B71" s="409">
        <v>401</v>
      </c>
      <c r="C71" s="410" t="s">
        <v>358</v>
      </c>
      <c r="D71" s="410" t="str">
        <f t="shared" si="13"/>
        <v>401 | Total Polycyclic aromatic hydrocarbons (PAHs)</v>
      </c>
      <c r="E71" s="407" t="s">
        <v>218</v>
      </c>
      <c r="F71" s="406" t="s">
        <v>218</v>
      </c>
      <c r="G71" s="421">
        <v>1.6999999999999999E-3</v>
      </c>
      <c r="H71" s="406">
        <v>1</v>
      </c>
      <c r="I71" s="406">
        <v>430</v>
      </c>
      <c r="J71" s="406" t="s">
        <v>218</v>
      </c>
      <c r="K71" s="406" t="s">
        <v>218</v>
      </c>
      <c r="L71" s="406" t="s">
        <v>218</v>
      </c>
      <c r="M71" s="406" t="s">
        <v>218</v>
      </c>
      <c r="N71" s="406">
        <v>1</v>
      </c>
      <c r="O71" s="406">
        <v>0.13</v>
      </c>
      <c r="P71" s="406">
        <v>1.55</v>
      </c>
      <c r="Q71" s="406">
        <v>0.40100000000000002</v>
      </c>
      <c r="R71" s="406" t="str">
        <f t="shared" si="14"/>
        <v>No</v>
      </c>
      <c r="S71" s="406" t="str">
        <f t="shared" si="11"/>
        <v>Yes</v>
      </c>
      <c r="T71" s="406">
        <v>1.7</v>
      </c>
      <c r="U71" s="406">
        <v>4.2</v>
      </c>
      <c r="V71" s="406" t="str">
        <f>IF(AND(T71&lt;&gt;"NA",U71&lt;&gt;"NA"),"Yes","No")</f>
        <v>Yes</v>
      </c>
      <c r="W71" s="406" t="s">
        <v>218</v>
      </c>
    </row>
    <row r="72" spans="1:23" ht="30" customHeight="1" x14ac:dyDescent="0.2">
      <c r="A72" s="396">
        <v>580</v>
      </c>
      <c r="B72" s="409" t="s">
        <v>359</v>
      </c>
      <c r="C72" s="410" t="s">
        <v>360</v>
      </c>
      <c r="D72" s="405" t="str">
        <f t="shared" si="13"/>
        <v>7782-49-2 | Selenium and compounds</v>
      </c>
      <c r="E72" s="406">
        <v>20</v>
      </c>
      <c r="F72" s="407">
        <v>5.0000000000000001E-3</v>
      </c>
      <c r="G72" s="406" t="s">
        <v>218</v>
      </c>
      <c r="H72" s="406" t="s">
        <v>218</v>
      </c>
      <c r="I72" s="406">
        <f>100000000</f>
        <v>100000000</v>
      </c>
      <c r="J72" s="406" t="s">
        <v>218</v>
      </c>
      <c r="K72" s="406" t="s">
        <v>218</v>
      </c>
      <c r="L72" s="406" t="s">
        <v>218</v>
      </c>
      <c r="M72" s="406" t="s">
        <v>218</v>
      </c>
      <c r="N72" s="406">
        <v>1</v>
      </c>
      <c r="O72" s="406">
        <v>0.03</v>
      </c>
      <c r="P72" s="406" t="s">
        <v>218</v>
      </c>
      <c r="Q72" s="406" t="s">
        <v>218</v>
      </c>
      <c r="R72" s="406" t="str">
        <f t="shared" si="14"/>
        <v>No</v>
      </c>
      <c r="S72" s="406" t="str">
        <f t="shared" si="11"/>
        <v>No</v>
      </c>
      <c r="T72" s="406" t="s">
        <v>218</v>
      </c>
      <c r="U72" s="406" t="s">
        <v>218</v>
      </c>
      <c r="V72" s="406" t="str">
        <f>IF(AND(T72&lt;&gt;"NA",U72&lt;&gt;"NA"),"Yes","No")</f>
        <v>No</v>
      </c>
      <c r="W72" s="406" t="s">
        <v>218</v>
      </c>
    </row>
    <row r="73" spans="1:23" ht="30" customHeight="1" x14ac:dyDescent="0.2">
      <c r="A73" s="396">
        <v>635</v>
      </c>
      <c r="B73" s="404" t="s">
        <v>361</v>
      </c>
      <c r="C73" s="405" t="s">
        <v>362</v>
      </c>
      <c r="D73" s="405" t="str">
        <f t="shared" si="13"/>
        <v>7440-61-1 | Uranium and compounds (insoluble particulate)</v>
      </c>
      <c r="E73" s="406">
        <v>0.8</v>
      </c>
      <c r="F73" s="408">
        <v>2.0000000000000001E-4</v>
      </c>
      <c r="G73" s="406" t="s">
        <v>218</v>
      </c>
      <c r="H73" s="406" t="s">
        <v>218</v>
      </c>
      <c r="I73" s="406">
        <f>100000000</f>
        <v>100000000</v>
      </c>
      <c r="J73" s="406" t="s">
        <v>218</v>
      </c>
      <c r="K73" s="406" t="s">
        <v>218</v>
      </c>
      <c r="L73" s="406" t="s">
        <v>218</v>
      </c>
      <c r="M73" s="406" t="s">
        <v>218</v>
      </c>
      <c r="N73" s="406">
        <v>1</v>
      </c>
      <c r="O73" s="406">
        <v>0.03</v>
      </c>
      <c r="P73" s="406" t="s">
        <v>218</v>
      </c>
      <c r="Q73" s="406" t="s">
        <v>218</v>
      </c>
      <c r="R73" s="406" t="str">
        <f t="shared" si="14"/>
        <v>No</v>
      </c>
      <c r="S73" s="406" t="str">
        <f t="shared" si="11"/>
        <v>No</v>
      </c>
      <c r="T73" s="406" t="s">
        <v>218</v>
      </c>
      <c r="U73" s="406" t="s">
        <v>218</v>
      </c>
      <c r="V73" s="406" t="s">
        <v>228</v>
      </c>
      <c r="W73" s="406" t="s">
        <v>218</v>
      </c>
    </row>
    <row r="74" spans="1:23" ht="30" customHeight="1" x14ac:dyDescent="0.2">
      <c r="A74" s="396">
        <v>636</v>
      </c>
      <c r="B74" s="424" t="s">
        <v>363</v>
      </c>
      <c r="C74" s="425" t="s">
        <v>364</v>
      </c>
      <c r="D74" s="405" t="str">
        <f t="shared" si="13"/>
        <v>1065 | Uranium and compounds (soluble)</v>
      </c>
      <c r="E74" s="426">
        <v>0.04</v>
      </c>
      <c r="F74" s="427">
        <v>2.0000000000000001E-4</v>
      </c>
      <c r="G74" s="426" t="s">
        <v>218</v>
      </c>
      <c r="H74" s="426" t="s">
        <v>218</v>
      </c>
      <c r="I74" s="406">
        <f>100000000</f>
        <v>100000000</v>
      </c>
      <c r="J74" s="426">
        <v>0</v>
      </c>
      <c r="K74" s="426">
        <v>1.4E-2</v>
      </c>
      <c r="L74" s="426">
        <v>0</v>
      </c>
      <c r="M74" s="426">
        <v>0</v>
      </c>
      <c r="N74" s="406">
        <v>1</v>
      </c>
      <c r="O74" s="406">
        <v>0.03</v>
      </c>
      <c r="P74" s="426" t="s">
        <v>218</v>
      </c>
      <c r="Q74" s="426" t="s">
        <v>218</v>
      </c>
      <c r="R74" s="406" t="str">
        <f t="shared" si="14"/>
        <v>Yes</v>
      </c>
      <c r="S74" s="406" t="str">
        <f t="shared" si="11"/>
        <v>No</v>
      </c>
      <c r="T74" s="426" t="s">
        <v>218</v>
      </c>
      <c r="U74" s="426" t="s">
        <v>218</v>
      </c>
      <c r="V74" s="406" t="s">
        <v>228</v>
      </c>
      <c r="W74" s="426" t="s">
        <v>218</v>
      </c>
    </row>
    <row r="75" spans="1:23" x14ac:dyDescent="0.2">
      <c r="B75" s="428"/>
      <c r="C75" s="429"/>
      <c r="D75" s="430"/>
      <c r="E75" s="429"/>
      <c r="F75" s="429"/>
      <c r="G75" s="431"/>
      <c r="H75" s="429"/>
      <c r="I75" s="429"/>
      <c r="J75" s="429"/>
      <c r="K75" s="429"/>
      <c r="L75" s="429"/>
      <c r="M75" s="429"/>
      <c r="N75" s="429"/>
      <c r="O75" s="429"/>
      <c r="P75" s="429"/>
      <c r="Q75" s="429"/>
      <c r="R75" s="429"/>
      <c r="S75" s="429"/>
      <c r="T75" s="429"/>
      <c r="U75" s="429"/>
      <c r="V75" s="429"/>
    </row>
    <row r="76" spans="1:23" ht="15" x14ac:dyDescent="0.25">
      <c r="B76" s="432" t="s">
        <v>365</v>
      </c>
      <c r="H76" s="434"/>
    </row>
    <row r="77" spans="1:23" x14ac:dyDescent="0.2">
      <c r="B77" s="435" t="s">
        <v>366</v>
      </c>
    </row>
  </sheetData>
  <autoFilter ref="A2:Z2" xr:uid="{CAE9A408-4461-4AFF-B3EC-7EA66896899B}">
    <sortState xmlns:xlrd2="http://schemas.microsoft.com/office/spreadsheetml/2017/richdata2" ref="A3:Z74">
      <sortCondition ref="A2"/>
    </sortState>
  </autoFilter>
  <mergeCells count="1">
    <mergeCell ref="B2:D2"/>
  </mergeCells>
  <conditionalFormatting sqref="E24">
    <cfRule type="cellIs" dxfId="8" priority="14" operator="equal">
      <formula>"NA"</formula>
    </cfRule>
  </conditionalFormatting>
  <conditionalFormatting sqref="E3:V23">
    <cfRule type="cellIs" dxfId="7" priority="1" operator="equal">
      <formula>"NA"</formula>
    </cfRule>
  </conditionalFormatting>
  <conditionalFormatting sqref="E25:V1048576">
    <cfRule type="cellIs" dxfId="6" priority="9" operator="equal">
      <formula>"NA"</formula>
    </cfRule>
  </conditionalFormatting>
  <conditionalFormatting sqref="W3:W37">
    <cfRule type="cellIs" dxfId="5" priority="2" operator="equal">
      <formula>"NA"</formula>
    </cfRule>
  </conditionalFormatting>
  <conditionalFormatting sqref="W46:W47">
    <cfRule type="cellIs" dxfId="4" priority="6" operator="equal">
      <formula>"NA"</formula>
    </cfRule>
  </conditionalFormatting>
  <conditionalFormatting sqref="W68">
    <cfRule type="cellIs" dxfId="3" priority="8" operator="equal">
      <formula>"NA"</formula>
    </cfRule>
  </conditionalFormatting>
  <conditionalFormatting sqref="W70:W74">
    <cfRule type="cellIs" dxfId="2" priority="7" operator="equal">
      <formula>"NA"</formula>
    </cfRule>
  </conditionalFormatting>
  <conditionalFormatting sqref="X16 X22:Z23 G24:V24">
    <cfRule type="cellIs" dxfId="1" priority="19" operator="equal">
      <formula>"NA"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FDB7FB-E6A9-4F21-B425-1F40CFC2D295}">
  <ds:schemaRefs>
    <ds:schemaRef ds:uri="http://schemas.microsoft.com/sharepoint/v3/contenttype/forms"/>
  </ds:schemaRefs>
</ds:datastoreItem>
</file>

<file path=customXml/itemProps2.xml><?xml version="1.0" encoding="utf-8"?>
<ds:datastoreItem xmlns:ds="http://schemas.openxmlformats.org/officeDocument/2006/customXml" ds:itemID="{B3621AC5-9D44-42F3-97B8-45CD3BB7B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C17185-9006-4593-A0E8-8A738F93486A}">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terms/"/>
    <ds:schemaRef ds:uri="3f71e46e-dbdb-4936-a808-49fb891fc3e2"/>
    <ds:schemaRef ds:uri="http://purl.org/dc/elements/1.1/"/>
    <ds:schemaRef ds:uri="6076d197-b432-4a89-8b9d-b97676e775aa"/>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MPAFs</vt:lpstr>
      <vt:lpstr>ResidentialCancer</vt:lpstr>
      <vt:lpstr>ResidentialNoncancer</vt:lpstr>
      <vt:lpstr>NonresidentChildCancer</vt:lpstr>
      <vt:lpstr>NonresidentChildNoncancer</vt:lpstr>
      <vt:lpstr>WorkerCancer</vt:lpstr>
      <vt:lpstr>WorkerNoncancer</vt:lpstr>
      <vt:lpstr>ChemicalProperties</vt:lpstr>
      <vt:lpstr>ScenarioParameters</vt:lpstr>
      <vt:lpstr>ExposureGroupParameters</vt:lpstr>
      <vt:lpstr>PFAS BAF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Dixon Holly  M</dc:creator>
  <cp:keywords/>
  <dc:description/>
  <cp:lastModifiedBy>HNIDEY Emil * DEQ</cp:lastModifiedBy>
  <cp:revision/>
  <dcterms:created xsi:type="dcterms:W3CDTF">2021-11-05T17:28:16Z</dcterms:created>
  <dcterms:modified xsi:type="dcterms:W3CDTF">2026-01-05T17:25:55Z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2024-08-26T16:45:04Z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fc33c5dc-1086-43a6-a654-3da2c0b0ac3c</vt:lpwstr>
  </property>
  <property fmtid="{D5CDD505-2E9C-101B-9397-08002B2CF9AE}" pid="10" name="MSIP_Label_11a67c04-f371-4d71-a575-202b566caae1_ContentBits">
    <vt:lpwstr>0</vt:lpwstr>
  </property>
  <property fmtid="{D5CDD505-2E9C-101B-9397-08002B2CF9AE}" pid="11" name="MSIP_Label_db79d039-fcd0-4045-9c78-4cfb2eba0904_Enabled">
    <vt:lpwstr>true</vt:lpwstr>
  </property>
  <property fmtid="{D5CDD505-2E9C-101B-9397-08002B2CF9AE}" pid="12" name="MSIP_Label_db79d039-fcd0-4045-9c78-4cfb2eba0904_SetDate">
    <vt:lpwstr>2025-03-17T15:41:51Z</vt:lpwstr>
  </property>
  <property fmtid="{D5CDD505-2E9C-101B-9397-08002B2CF9AE}" pid="13" name="MSIP_Label_db79d039-fcd0-4045-9c78-4cfb2eba0904_Method">
    <vt:lpwstr>Privileged</vt:lpwstr>
  </property>
  <property fmtid="{D5CDD505-2E9C-101B-9397-08002B2CF9AE}" pid="14" name="MSIP_Label_db79d039-fcd0-4045-9c78-4cfb2eba0904_Name">
    <vt:lpwstr>Level 2 - Limited (Items)</vt:lpwstr>
  </property>
  <property fmtid="{D5CDD505-2E9C-101B-9397-08002B2CF9AE}" pid="15" name="MSIP_Label_db79d039-fcd0-4045-9c78-4cfb2eba0904_SiteId">
    <vt:lpwstr>aa3f6932-fa7c-47b4-a0ce-a598cad161cf</vt:lpwstr>
  </property>
  <property fmtid="{D5CDD505-2E9C-101B-9397-08002B2CF9AE}" pid="16" name="MSIP_Label_db79d039-fcd0-4045-9c78-4cfb2eba0904_ActionId">
    <vt:lpwstr>60a69d84-6aa8-4029-ac31-f4a48f9ce6ef</vt:lpwstr>
  </property>
  <property fmtid="{D5CDD505-2E9C-101B-9397-08002B2CF9AE}" pid="17" name="MSIP_Label_db79d039-fcd0-4045-9c78-4cfb2eba0904_ContentBits">
    <vt:lpwstr>0</vt:lpwstr>
  </property>
  <property fmtid="{D5CDD505-2E9C-101B-9397-08002B2CF9AE}" pid="18" name="MSIP_Label_db79d039-fcd0-4045-9c78-4cfb2eba0904_Tag">
    <vt:lpwstr>10, 0, 1, 1</vt:lpwstr>
  </property>
</Properties>
</file>