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drawings/drawing2.xml" ContentType="application/vnd.openxmlformats-officedocument.drawing+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threadedComments/threadedComment1.xml" ContentType="application/vnd.ms-excel.threadedcomments+xml"/>
  <Override PartName="/customXml/itemProps4.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https://stateoforegon.sharepoint.com/sites/CAOGuineaPigs/Shared Documents/Facility Files/Existing Facilities/250008_Amazon Data Services/62799_WORKING RA V1/Risk Assessment/2025_1212 - RA Rev/"/>
    </mc:Choice>
  </mc:AlternateContent>
  <xr:revisionPtr revIDLastSave="2" documentId="8_{55968C70-BC55-4BA0-9B95-23E86E42AD2C}" xr6:coauthVersionLast="47" xr6:coauthVersionMax="47" xr10:uidLastSave="{9B4A4BD6-4D17-40A3-A661-4A8506277717}"/>
  <bookViews>
    <workbookView xWindow="-120" yWindow="-120" windowWidth="29040" windowHeight="15720" tabRatio="909" firstSheet="11" activeTab="15" xr2:uid="{98DE60E1-1A24-4C27-82BF-DD941295CF29}"/>
  </bookViews>
  <sheets>
    <sheet name="Appendix C--&gt;" sheetId="229" r:id="rId1"/>
    <sheet name="EF Determination" sheetId="215" r:id="rId2"/>
    <sheet name="Screening Emission Calculations" sheetId="212" r:id="rId3"/>
    <sheet name="Appendix E--&gt;" sheetId="246" r:id="rId4"/>
    <sheet name="Screening REER" sheetId="213" r:id="rId5"/>
    <sheet name="Appendix F--&gt;" sheetId="230" r:id="rId6"/>
    <sheet name="ChiCanF" sheetId="235" r:id="rId7"/>
    <sheet name="WorCanF" sheetId="231" r:id="rId8"/>
    <sheet name="ResCanF" sheetId="233" r:id="rId9"/>
    <sheet name="AcuteF" sheetId="232" r:id="rId10"/>
    <sheet name="Appendix G--&gt;" sheetId="234" r:id="rId11"/>
    <sheet name="Final Residential Risk" sheetId="236" r:id="rId12"/>
    <sheet name="Final Child Risk" sheetId="239" r:id="rId13"/>
    <sheet name="Final Worker Risk" sheetId="237" r:id="rId14"/>
    <sheet name="Final Acute Risk" sheetId="238" r:id="rId15"/>
    <sheet name="Risk Summary" sheetId="241" r:id="rId16"/>
    <sheet name="Reference-&gt;" sheetId="218" r:id="rId17"/>
    <sheet name="Model Results --&gt;" sheetId="29" state="hidden" r:id="rId18"/>
    <sheet name="Model Results Summary - PDX109" sheetId="31" state="hidden" r:id="rId19"/>
    <sheet name="Criteria 39tpy" sheetId="227" r:id="rId20"/>
    <sheet name="Gen IDs" sheetId="242" r:id="rId21"/>
    <sheet name="ODEQ Emissions Factors" sheetId="19" r:id="rId22"/>
    <sheet name="2019 Stack Test" sheetId="245" r:id="rId23"/>
    <sheet name="OAR 340-245 Table 2 RBCs" sheetId="243" r:id="rId24"/>
  </sheets>
  <externalReferences>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s>
  <definedNames>
    <definedName name="__112" hidden="1">'[1]MH Coal Pile'!#REF!</definedName>
    <definedName name="__123Graph_X" hidden="1">'[1]MH Coal Pile'!#REF!</definedName>
    <definedName name="_1FGD">#REF!</definedName>
    <definedName name="_1S" hidden="1">[2]LOAD!#REF!</definedName>
    <definedName name="_2print_table">#REF!</definedName>
    <definedName name="_Fill" hidden="1">#REF!</definedName>
    <definedName name="_xlnm._FilterDatabase" localSheetId="9" hidden="1">AcuteF!$A$1:$G$1</definedName>
    <definedName name="_xlnm._FilterDatabase" localSheetId="6" hidden="1">ChiCanF!$A$1:$I$1</definedName>
    <definedName name="_xlnm._FilterDatabase" localSheetId="19" hidden="1">'Criteria 39tpy'!$C$5:$P$17</definedName>
    <definedName name="_xlnm._FilterDatabase" localSheetId="1" hidden="1">'EF Determination'!#REF!</definedName>
    <definedName name="_xlnm._FilterDatabase" localSheetId="23" hidden="1">'OAR 340-245 Table 2 RBCs'!$A$6:$Y$613</definedName>
    <definedName name="_xlnm._FilterDatabase" localSheetId="21" hidden="1">'ODEQ Emissions Factors'!$G$2:$G$99</definedName>
    <definedName name="_xlnm._FilterDatabase" localSheetId="8" hidden="1">ResCanF!$A$1:$G$1</definedName>
    <definedName name="_xlnm._FilterDatabase" localSheetId="2" hidden="1">'Screening Emission Calculations'!#REF!</definedName>
    <definedName name="_xlnm._FilterDatabase" localSheetId="4" hidden="1">'Screening REER'!#REF!</definedName>
    <definedName name="_xlnm._FilterDatabase" localSheetId="7" hidden="1">WorCanF!$A$1:$G$1</definedName>
    <definedName name="_Key1" hidden="1">#REF!</definedName>
    <definedName name="_Key2" hidden="1">#REF!</definedName>
    <definedName name="_Order1" hidden="1">255</definedName>
    <definedName name="_Order2" hidden="1">255</definedName>
    <definedName name="_Regression_Out" hidden="1">#REF!</definedName>
    <definedName name="_Regression_X" hidden="1">#REF!</definedName>
    <definedName name="_Regression_Y" hidden="1">#REF!</definedName>
    <definedName name="_Sort" hidden="1">#REF!</definedName>
    <definedName name="ACwvu.uctad." hidden="1">'[3]1999 Volumes '!#REF!</definedName>
    <definedName name="AL___Rewinder_scrap">'[4]5year CFF Solution'!$F$4</definedName>
    <definedName name="anscount" hidden="1">2</definedName>
    <definedName name="ASH">#REF!</definedName>
    <definedName name="BaseC">'[5]Main Flare'!#REF!</definedName>
    <definedName name="BEGIN">'[5]Main Flare'!#REF!</definedName>
    <definedName name="Binder_scrap">'[4]5year CFF Solution'!$F$3</definedName>
    <definedName name="byCategoryPrice_2">#REF!</definedName>
    <definedName name="byDepartmentPrice">#REF!</definedName>
    <definedName name="byDepartmentPrice_2">#REF!</definedName>
    <definedName name="Carol" hidden="1">{TRUE,TRUE,-2.75,-17,484.5,255.75,FALSE,TRUE,TRUE,TRUE,0,1,18,272,#N/A,4,26.0909090909091,2,TRUE,FALSE,3,TRUE,1,TRUE,50,"Swvu.uctad.","ACwvu.uctad.",#N/A,FALSE,FALSE,0.47,0.54,0.25,0.25,2,"","",FALSE,FALSE,FALSE,FALSE,1,#N/A,1,1,"=R125C3:R166C23",FALSE,#N/A,#N/A,FALSE,FALSE,FALSE,1,600,600,FALSE,FALSE,TRUE,TRUE,TRUE}</definedName>
    <definedName name="CFDVMgrMode" hidden="1">"DataValidation"</definedName>
    <definedName name="childNRAFc" localSheetId="23">'OAR 340-245 Table 2 RBCs'!$F$658</definedName>
    <definedName name="childNRAFc">#REF!</definedName>
    <definedName name="childNRAFnc" localSheetId="23">'OAR 340-245 Table 2 RBCs'!$F$659</definedName>
    <definedName name="childNRAFnc">#REF!</definedName>
    <definedName name="D" hidden="1">{"Report 1",#N/A,FALSE,"1998 3-Month Trade";"Report 2",#N/A,FALSE,"1998 3-Month Trade"}</definedName>
    <definedName name="dataTotal">#REF!</definedName>
    <definedName name="dd">[0]!dd</definedName>
    <definedName name="e" hidden="1">{"Report 1",#N/A,FALSE,"1998 3-Month Trade";"Report 2",#N/A,FALSE,"1998 3-Month Trade"}</definedName>
    <definedName name="el_Sum">#REF!</definedName>
    <definedName name="ELAFnr" localSheetId="23">'OAR 340-245 Table 2 RBCs'!$F$657</definedName>
    <definedName name="ELAFnr">#REF!</definedName>
    <definedName name="ELAFr" localSheetId="23">'OAR 340-245 Table 2 RBCs'!$F$656</definedName>
    <definedName name="ELAFr">#REF!</definedName>
    <definedName name="Electrical_Equipment">#REF!</definedName>
    <definedName name="Example" hidden="1">{"summary",#N/A,FALSE,"WCTREND";"invrcvbl",#N/A,FALSE,"WCTREND"}</definedName>
    <definedName name="ffff" hidden="1">{TRUE,TRUE,-2.75,-17,484.5,255.75,FALSE,TRUE,TRUE,TRUE,0,1,18,272,#N/A,4,26.0909090909091,2,TRUE,FALSE,3,TRUE,1,TRUE,50,"Swvu.uctad.","ACwvu.uctad.",#N/A,FALSE,FALSE,0.47,0.54,0.25,0.25,2,"","",FALSE,FALSE,FALSE,FALSE,1,#N/A,1,1,"=R125C3:R166C23",FALSE,#N/A,#N/A,FALSE,FALSE,FALSE,1,600,600,FALSE,FALSE,TRUE,TRUE,TRUE}</definedName>
    <definedName name="FORCAST">"'REFERENCE TABLES'!$B7:D7"</definedName>
    <definedName name="g" hidden="1">{TRUE,TRUE,-2.75,-17,484.5,255.75,FALSE,TRUE,TRUE,TRUE,0,1,18,272,#N/A,4,26.0909090909091,2,TRUE,FALSE,3,TRUE,1,TRUE,50,"Swvu.uctad.","ACwvu.uctad.",#N/A,FALSE,FALSE,0.47,0.54,0.25,0.25,2,"","",FALSE,FALSE,FALSE,FALSE,1,#N/A,1,1,"=R125C3:R166C23",FALSE,#N/A,#N/A,FALSE,FALSE,FALSE,1,600,600,FALSE,FALSE,TRUE,TRUE,TRUE}</definedName>
    <definedName name="gggg" hidden="1">{TRUE,TRUE,-2.75,-17,484.5,255.75,FALSE,TRUE,TRUE,TRUE,0,1,18,272,#N/A,4,26.0909090909091,2,TRUE,FALSE,3,TRUE,1,TRUE,50,"Swvu.uctad.","ACwvu.uctad.",#N/A,FALSE,FALSE,0.47,0.54,0.25,0.25,2,"","",FALSE,FALSE,FALSE,FALSE,1,#N/A,1,1,"=R125C3:R166C23",FALSE,#N/A,#N/A,FALSE,FALSE,FALSE,1,600,600,FALSE,FALSE,TRUE,TRUE,TRUE}</definedName>
    <definedName name="HAPs">'[6]DEQ Pollutant List'!$D$617:$D$625</definedName>
    <definedName name="help" hidden="1">{"summary",#N/A,FALSE,"WCTREND";"invrcvbl",#N/A,FALSE,"WCTREND"}</definedName>
    <definedName name="iCount">#REF!</definedName>
    <definedName name="Jackie" hidden="1">{TRUE,TRUE,-2.75,-17,484.5,255.75,FALSE,TRUE,TRUE,TRUE,0,1,18,272,#N/A,4,26.0909090909091,2,TRUE,FALSE,3,TRUE,1,TRUE,50,"Swvu.uctad.","ACwvu.uctad.",#N/A,FALSE,FALSE,0.47,0.54,0.25,0.25,2,"","",FALSE,FALSE,FALSE,FALSE,1,#N/A,1,1,"=R125C3:R166C23",FALSE,#N/A,#N/A,FALSE,FALSE,FALSE,1,600,600,FALSE,FALSE,TRUE,TRUE,TRUE}</definedName>
    <definedName name="january" hidden="1">{"Report 1",#N/A,FALSE,"1998 3-Month Trade";"Report 2",#N/A,FALSE,"1998 3-Month Trade"}</definedName>
    <definedName name="Jason" hidden="1">{"summary",#N/A,FALSE,"WCTREND";"invrcvbl",#N/A,FALSE,"WCTREND"}</definedName>
    <definedName name="k" hidden="1">{"REPORT",#N/A,FALSE,"AUG95"}</definedName>
    <definedName name="LATEST">"'REFERENCE TABLES'!$B10:E10"</definedName>
    <definedName name="Local_Fabrication_of_Equipment">#REF!</definedName>
    <definedName name="Local_Supply">#REF!</definedName>
    <definedName name="May_Forecast">"a1597:o1596"</definedName>
    <definedName name="Mechanical_Equipment">#REF!</definedName>
    <definedName name="minWindSpd">[7]Introduction!$T$17</definedName>
    <definedName name="NewNonDisplaySKU">'[8]Add SKU'!$D$5</definedName>
    <definedName name="no" hidden="1">{"summary",#N/A,FALSE,"WCTREND";"invrcvbl",#N/A,FALSE,"WCTREND"}</definedName>
    <definedName name="oasisprice">[8]OASISPrc!$A:$M</definedName>
    <definedName name="oasisproduct">[8]OASISPrd!$A$1:$R$2998</definedName>
    <definedName name="pp" hidden="1">{TRUE,TRUE,-2.75,-17,484.5,255.75,FALSE,TRUE,TRUE,TRUE,0,1,18,272,#N/A,4,26.0909090909091,2,TRUE,FALSE,3,TRUE,1,TRUE,50,"Swvu.uctad.","ACwvu.uctad.",#N/A,FALSE,FALSE,0.47,0.54,0.25,0.25,2,"","",FALSE,FALSE,FALSE,FALSE,1,#N/A,1,1,"=R125C3:R166C23",FALSE,#N/A,#N/A,FALSE,FALSE,FALSE,1,600,600,FALSE,FALSE,TRUE,TRUE,TRUE}</definedName>
    <definedName name="_xlnm.Print_Area" localSheetId="19">'Criteria 39tpy'!$C$1:$P$20</definedName>
    <definedName name="_xlnm.Print_Area" localSheetId="1">'EF Determination'!$A$1:$L$70</definedName>
    <definedName name="_xlnm.Print_Area" localSheetId="14">'Final Acute Risk'!$B$2:$E$37</definedName>
    <definedName name="_xlnm.Print_Area" localSheetId="12">'Final Child Risk'!$B$1:$G$63</definedName>
    <definedName name="_xlnm.Print_Area" localSheetId="11">'Final Residential Risk'!$B$1:$G$41</definedName>
    <definedName name="_xlnm.Print_Area" localSheetId="13">'Final Worker Risk'!$B$1:$G$35</definedName>
    <definedName name="_xlnm.Print_Area" localSheetId="15">'Risk Summary'!$B$1:$I$12</definedName>
    <definedName name="_xlnm.Print_Area" localSheetId="2">'Screening Emission Calculations'!$A$1:$O$156</definedName>
    <definedName name="_xlnm.Print_Area" localSheetId="4">'Screening REER'!$A$2:$L$596</definedName>
    <definedName name="Print_NA_00_SU_Vol">[0]!Print_NA_00_SU_Vol</definedName>
    <definedName name="Print_NA_01_SU_Vol">[0]!Print_NA_01_SU_Vol</definedName>
    <definedName name="Print_US_00_SU_Vol">[0]!Print_US_00_SU_Vol</definedName>
    <definedName name="Print_US_00_SU_Vol4">[0]!Print_US_00_SU_Vol4</definedName>
    <definedName name="Print_US_01_SU_Vol">[0]!Print_US_01_SU_Vol</definedName>
    <definedName name="Print_US_02_SU_Vol">[0]!Print_US_02_SU_Vol</definedName>
    <definedName name="Print_US_98_CS_Vol">[0]!Print_US_98_CS_Vol</definedName>
    <definedName name="Print_US_98_SU_Vol">[0]!Print_US_98_SU_Vol</definedName>
    <definedName name="Print_US_99_CS_Vol">[0]!Print_US_99_CS_Vol</definedName>
    <definedName name="Print_US_99_SU_Vol">[0]!Print_US_99_SU_Vol</definedName>
    <definedName name="Print_US_99_SU_VOL2">[0]!Print_US_99_SU_VOL2</definedName>
    <definedName name="Print_US_99_SU_Vol3">[0]!Print_US_99_SU_Vol3</definedName>
    <definedName name="Range_EmissionRates">#REF!</definedName>
    <definedName name="_xlnm.Recorder">#REF!</definedName>
    <definedName name="regression2" hidden="1">'[9]FC US Rollup'!$HG$2</definedName>
    <definedName name="regressionx" hidden="1">'[9]FC US Rollup'!$GU$9:$GU$20</definedName>
    <definedName name="regressiony" hidden="1">'[9]FC US Rollup'!$HN$9:$HN$20</definedName>
    <definedName name="rr" hidden="1">{TRUE,TRUE,-2.75,-17,484.5,255.75,FALSE,TRUE,TRUE,TRUE,0,1,18,272,#N/A,4,26.0909090909091,2,TRUE,FALSE,3,TRUE,1,TRUE,50,"Swvu.uctad.","ACwvu.uctad.",#N/A,FALSE,FALSE,0.47,0.54,0.25,0.25,2,"","",FALSE,FALSE,FALSE,FALSE,1,#N/A,1,1,"=R125C3:R166C23",FALSE,#N/A,#N/A,FALSE,FALSE,FALSE,1,600,600,FALSE,FALSE,TRUE,TRUE,TRUE}</definedName>
    <definedName name="rrr" hidden="1">{TRUE,TRUE,-2.75,-17,484.5,255.75,FALSE,TRUE,TRUE,TRUE,0,1,18,272,#N/A,4,26.0909090909091,2,TRUE,FALSE,3,TRUE,1,TRUE,50,"Swvu.uctad.","ACwvu.uctad.",#N/A,FALSE,FALSE,0.47,0.54,0.25,0.25,2,"","",FALSE,FALSE,FALSE,FALSE,1,#N/A,1,1,"=R125C3:R166C23",FALSE,#N/A,#N/A,FALSE,FALSE,FALSE,1,600,600,FALSE,FALSE,TRUE,TRUE,TRUE}</definedName>
    <definedName name="rw" hidden="1">{TRUE,TRUE,-2.75,-17,484.5,255.75,FALSE,TRUE,TRUE,TRUE,0,1,18,272,#N/A,4,26.0909090909091,2,TRUE,FALSE,3,TRUE,1,TRUE,50,"Swvu.uctad.","ACwvu.uctad.",#N/A,FALSE,FALSE,0.47,0.54,0.25,0.25,2,"","",FALSE,FALSE,FALSE,FALSE,1,#N/A,1,1,"=R125C3:R166C23",FALSE,#N/A,#N/A,FALSE,FALSE,FALSE,1,600,600,FALSE,FALSE,TRUE,TRUE,TRUE}</definedName>
    <definedName name="s">#REF!</definedName>
    <definedName name="SAPbex" hidden="1">"66QW2A4GPRO1IV53BT3NZ61HG"</definedName>
    <definedName name="SAPBEXdnldView" hidden="1">"7CEL9LRKTDWKR96I5OSBP740X"</definedName>
    <definedName name="SAPBEXrevision" hidden="1">3</definedName>
    <definedName name="SAPBEXsysID" hidden="1">"PAW"</definedName>
    <definedName name="SAPBEXwbID" hidden="1">"66QW2A4GPRO1IV53BT3NZ61HG"</definedName>
    <definedName name="sencount" hidden="1">6</definedName>
    <definedName name="serverpath">"R:\Data\"</definedName>
    <definedName name="solver_adj" hidden="1">'[3]1999 Volumes '!#REF!</definedName>
    <definedName name="solver_lin" hidden="1">0</definedName>
    <definedName name="solver_num" hidden="1">0</definedName>
    <definedName name="solver_opt" hidden="1">'[3]1999 Volumes '!#REF!</definedName>
    <definedName name="solver_typ" hidden="1">3</definedName>
    <definedName name="solver_val" hidden="1">401</definedName>
    <definedName name="SSS_equipment">#REF!</definedName>
    <definedName name="Stacy" hidden="1">{"Report 1",#N/A,FALSE,"1998 3-Month Trade";"Report 2",#N/A,FALSE,"1998 3-Month Trade"}</definedName>
    <definedName name="Swvu.uctad." hidden="1">'[3]1999 Volumes '!#REF!</definedName>
    <definedName name="test" hidden="1">[0]!test</definedName>
    <definedName name="test2">[0]!test2</definedName>
    <definedName name="try" hidden="1">{"Report 1",#N/A,FALSE,"1998 3-Month Trade";"Report 2",#N/A,FALSE,"1998 3-Month Trade"}</definedName>
    <definedName name="UNI_AA_VERSION" hidden="1">"150.1.7"</definedName>
    <definedName name="UNI_FILT_END" hidden="1">8</definedName>
    <definedName name="UNI_FILT_OFFSPEC" hidden="1">2</definedName>
    <definedName name="UNI_FILT_ONSPEC" hidden="1">1</definedName>
    <definedName name="UNI_FILT_START" hidden="1">4</definedName>
    <definedName name="UNI_NOTHING" hidden="1">0</definedName>
    <definedName name="UNI_PRES_CLOSEST" hidden="1">512</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MRECORD" hidden="1">64</definedName>
    <definedName name="UNI_PRES_OUTLIERS" hidden="1">32</definedName>
    <definedName name="UNI_PRES_POST" hidden="1">256</definedName>
    <definedName name="UNI_PRES_PRIOR" hidden="1">2048</definedName>
    <definedName name="UNI_PRES_RECENT" hidden="1">1024</definedName>
    <definedName name="UNI_PRES_STATIC" hidden="1">128</definedName>
    <definedName name="UNI_RET_ATTRIB" hidden="1">64</definedName>
    <definedName name="UNI_RET_CONF" hidden="1">32</definedName>
    <definedName name="UNI_RET_DESC" hidden="1">4</definedName>
    <definedName name="UNI_RET_END" hidden="1">16384</definedName>
    <definedName name="UNI_RET_EQUIP" hidden="1">1</definedName>
    <definedName name="UNI_RET_EVENT" hidden="1">4096</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START" hidden="1">8192</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NIFORMANCES1R7C1" hidden="1">#REF!</definedName>
    <definedName name="UNIFORMANCES1R7C13" hidden="1">#REF!</definedName>
    <definedName name="UNIFORMANCES1R7C17" hidden="1">#REF!</definedName>
    <definedName name="UNIFORMANCES1R7C21" hidden="1">#REF!</definedName>
    <definedName name="UNIFORMANCES1R7C25" hidden="1">#REF!</definedName>
    <definedName name="UNIFORMANCES1R7C29" hidden="1">#REF!</definedName>
    <definedName name="UNIFORMANCES1R7C33" hidden="1">#REF!</definedName>
    <definedName name="UNIFORMANCES1R7C37" hidden="1">#REF!</definedName>
    <definedName name="UNIFORMANCES1R7C41" hidden="1">#REF!</definedName>
    <definedName name="UNIFORMANCES1R7C45" hidden="1">#REF!</definedName>
    <definedName name="UNIFORMANCES1R7C5" hidden="1">#REF!</definedName>
    <definedName name="UNIFORMANCES1R7C9" hidden="1">#REF!</definedName>
    <definedName name="UNIFORMANCES2R7C1" hidden="1">#REF!</definedName>
    <definedName name="UNIFORMANCES2R7C13" hidden="1">#REF!</definedName>
    <definedName name="UNIFORMANCES2R7C17" hidden="1">#REF!</definedName>
    <definedName name="UNIFORMANCES2R7C21" hidden="1">#REF!</definedName>
    <definedName name="UNIFORMANCES2R7C25" hidden="1">#REF!</definedName>
    <definedName name="UNIFORMANCES2R7C29" hidden="1">#REF!</definedName>
    <definedName name="UNIFORMANCES2R7C33" hidden="1">#REF!</definedName>
    <definedName name="UNIFORMANCES2R7C37" hidden="1">#REF!</definedName>
    <definedName name="UNIFORMANCES2R7C41" hidden="1">#REF!</definedName>
    <definedName name="UNIFORMANCES2R7C45" hidden="1">#REF!</definedName>
    <definedName name="UNIFORMANCES2R7C5" hidden="1">#REF!</definedName>
    <definedName name="UNIFORMANCES2R7C9" hidden="1">#REF!</definedName>
    <definedName name="Waste_solution">'[4]5year CFF Solution'!$F$5</definedName>
    <definedName name="wer" hidden="1">{TRUE,TRUE,-2.75,-17,484.5,255.75,FALSE,TRUE,TRUE,TRUE,0,1,18,272,#N/A,4,26.0909090909091,2,TRUE,FALSE,3,TRUE,1,TRUE,50,"Swvu.uctad.","ACwvu.uctad.",#N/A,FALSE,FALSE,0.47,0.54,0.25,0.25,2,"","",FALSE,FALSE,FALSE,FALSE,1,#N/A,1,1,"=R125C3:R166C23",FALSE,#N/A,#N/A,FALSE,FALSE,FALSE,1,600,600,FALSE,FALSE,TRUE,TRUE,TRUE}</definedName>
    <definedName name="wet" hidden="1">{TRUE,TRUE,-2.75,-17,484.5,255.75,FALSE,TRUE,TRUE,TRUE,0,1,18,272,#N/A,4,26.0909090909091,2,TRUE,FALSE,3,TRUE,1,TRUE,50,"Swvu.uctad.","ACwvu.uctad.",#N/A,FALSE,FALSE,0.47,0.54,0.25,0.25,2,"","",FALSE,FALSE,FALSE,FALSE,1,#N/A,1,1,"=R125C3:R166C23",FALSE,#N/A,#N/A,FALSE,FALSE,FALSE,1,600,600,FALSE,FALSE,TRUE,TRUE,TRUE}</definedName>
    <definedName name="workNRAFc" localSheetId="23">'OAR 340-245 Table 2 RBCs'!$F$660</definedName>
    <definedName name="workNRAFc">#REF!</definedName>
    <definedName name="workNRAFnc" localSheetId="23">'OAR 340-245 Table 2 RBCs'!$F$661</definedName>
    <definedName name="workNRAFnc">#REF!</definedName>
    <definedName name="workstationpath">"C:\Data\AFH\"</definedName>
    <definedName name="wrn.Appendix._.A." hidden="1">{#N/A,#N/A,TRUE,"Kiln-NOx-OxRed Scrubber";#N/A,#N/A,TRUE,"Kiln-SO2-Wet Scrubber";#N/A,#N/A,TRUE,"Slaker-PM-Scrubber";#N/A,#N/A,TRUE,"Combo-SO2-Wet Scrubber";#N/A,#N/A,TRUE,"Combo-SO2-DualAlkali";#N/A,#N/A,TRUE,"Combo-SO2-Spray Dryer ESP";#N/A,#N/A,TRUE,"CRU-NOx-OxRed Scrubber";#N/A,#N/A,TRUE,"CRU-SO2-Wet Scrubber";#N/A,#N/A,TRUE,"SDT-PM-Wet ESP";#N/A,#N/A,TRUE,"SDT-VOC-TO";#N/A,#N/A,TRUE,"Package-CO-TO";#N/A,#N/A,TRUE,"Package-PM-Baghouse";#N/A,#N/A,TRUE,"Package-PM-ESP";#N/A,#N/A,TRUE,"Package-PM-Venturi";#N/A,#N/A,TRUE,"Package-NOx-OxRed Scrubber";#N/A,#N/A,TRUE,"Package-NOx-SCR";#N/A,#N/A,TRUE,"Package-SO2-Wet Scrubber";#N/A,#N/A,TRUE,"Package-SO2-Spray Drier ESP";#N/A,#N/A,TRUE,"Power-CO-TO";#N/A,#N/A,TRUE,"Power-PM-Baghouse";#N/A,#N/A,TRUE,"Power-PM-ESP";#N/A,#N/A,TRUE,"Power-PM-Venturi";#N/A,#N/A,TRUE,"Power-NOx-OxRed Scrubber";#N/A,#N/A,TRUE,"Power-NOx-SCR";#N/A,#N/A,TRUE,"Power-SO2-Wet Lime Scrubber";#N/A,#N/A,TRUE,"Power-SO2-Spray Drier ESP";#N/A,#N/A,TRUE,"No.1 PM-VOC-Super";#N/A,#N/A,TRUE,"No.1 PM-VOC-Enhanced"}</definedName>
    <definedName name="wrn.Appendix._.B." hidden="1">{#N/A,#N/A,TRUE,"(B-1) LimeKiln";#N/A,#N/A,TRUE,"(B-2) LimeSlaker";#N/A,#N/A,TRUE,"(B-3) Combo";#N/A,#N/A,TRUE,"(B-4) CRF";#N/A,#N/A,TRUE,"(B-5) SDT";#N/A,#N/A,TRUE,"(B-6) Fuel Oil";#N/A,#N/A,TRUE,"(B-7) NaturalGas"}</definedName>
    <definedName name="wrn.Appendix._.S." hidden="1">{#N/A,#N/A,TRUE,"Introduction";#N/A,#N/A,TRUE,"Emissions Inventory";#N/A,#N/A,TRUE,"Source Data"}</definedName>
    <definedName name="wrn.COMPLETEPRINT." hidden="1">{#N/A,#N/A,FALSE,"Rates";#N/A,#N/A,FALSE,"Summary";#N/A,#N/A,FALSE,"Boilers";#N/A,#N/A,FALSE,"Cyclones";#N/A,#N/A,FALSE,"Saws";#N/A,#N/A,FALSE,"Drops";#N/A,#N/A,FALSE,"Piles";#N/A,#N/A,FALSE,"Roads";#N/A,#N/A,FALSE,"Tanks";#N/A,#N/A,FALSE,"Kilns";#N/A,#N/A,FALSE,"Model"}</definedName>
    <definedName name="wrn.Confidential." localSheetId="19"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2"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Detail." hidden="1">{"summary",#N/A,FALSE,"WCTREND";"invrcvbl",#N/A,FALSE,"WCTREND";"sectdol",#N/A,FALSE,"WCTREND";"sectmsu",#N/A,FALSE,"WCTREND"}</definedName>
    <definedName name="wrn.Executive." hidden="1">{"summary",#N/A,FALSE,"WCTREND";"invrcvbl",#N/A,FALSE,"WCTREND"}</definedName>
    <definedName name="wrn.Full._.Year._.Report." hidden="1">{"Report 1",#N/A,FALSE,"1998 3-Month Trade";"Report 2",#N/A,FALSE,"1998 3-Month Trade"}</definedName>
    <definedName name="wrn.Redacted." localSheetId="19"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2"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PORT." hidden="1">{"REPORT",#N/A,FALSE,"AUG95"}</definedName>
    <definedName name="wrn.title5." localSheetId="19" hidden="1">{"crudeheater",#N/A,FALSE,"1-74";"bargedock",#N/A,FALSE,"17-74";"flare",#N/A,FALSE,"18-74";"fcccracker",#N/A,FALSE,"1-77";"vacuumheater",#N/A,FALSE,"2-77";"boilers",#N/A,FALSE,"4-77 &amp; 5-77";"sru",#N/A,FALSE,"6-77";"fug1",#N/A,FALSE,"1-81";"hotoil",#N/A,FALSE,"2-82";"fccu",#N/A,FALSE,"1-85";"refheater",#N/A,FALSE,"2-85";"vaporcom",#N/A,FALSE,"1-91";"chargeheat",#N/A,FALSE,"2-91";"strippreb",#N/A,FALSE,"3-91";"tanks",#N/A,FALSE,"Tanks";"tank941",#N/A,FALSE,"Tank 941";"toxics",#N/A,FALSE,"Speciations";"summary",#N/A,FALSE,"Summary"}</definedName>
    <definedName name="wrn.title5." localSheetId="2" hidden="1">{"crudeheater",#N/A,FALSE,"1-74";"bargedock",#N/A,FALSE,"17-74";"flare",#N/A,FALSE,"18-74";"fcccracker",#N/A,FALSE,"1-77";"vacuumheater",#N/A,FALSE,"2-77";"boilers",#N/A,FALSE,"4-77 &amp; 5-77";"sru",#N/A,FALSE,"6-77";"fug1",#N/A,FALSE,"1-81";"hotoil",#N/A,FALSE,"2-82";"fccu",#N/A,FALSE,"1-85";"refheater",#N/A,FALSE,"2-85";"vaporcom",#N/A,FALSE,"1-91";"chargeheat",#N/A,FALSE,"2-91";"strippreb",#N/A,FALSE,"3-91";"tanks",#N/A,FALSE,"Tanks";"tank941",#N/A,FALSE,"Tank 941";"toxics",#N/A,FALSE,"Speciations";"summary",#N/A,FALSE,"Summary"}</definedName>
    <definedName name="wrn.title5." hidden="1">{"crudeheater",#N/A,FALSE,"1-74";"bargedock",#N/A,FALSE,"17-74";"flare",#N/A,FALSE,"18-74";"fcccracker",#N/A,FALSE,"1-77";"vacuumheater",#N/A,FALSE,"2-77";"boilers",#N/A,FALSE,"4-77 &amp; 5-77";"sru",#N/A,FALSE,"6-77";"fug1",#N/A,FALSE,"1-81";"hotoil",#N/A,FALSE,"2-82";"fccu",#N/A,FALSE,"1-85";"refheater",#N/A,FALSE,"2-85";"vaporcom",#N/A,FALSE,"1-91";"chargeheat",#N/A,FALSE,"2-91";"strippreb",#N/A,FALSE,"3-91";"tanks",#N/A,FALSE,"Tanks";"tank941",#N/A,FALSE,"Tank 941";"toxics",#N/A,FALSE,"Speciations";"summary",#N/A,FALSE,"Summary"}</definedName>
    <definedName name="wvu.uctad." hidden="1">{TRUE,TRUE,-2.75,-17,484.5,255.75,FALSE,TRUE,TRUE,TRUE,0,1,18,272,#N/A,4,26.0909090909091,2,TRUE,FALSE,3,TRUE,1,TRUE,50,"Swvu.uctad.","ACwvu.uctad.",#N/A,FALSE,FALSE,0.47,0.54,0.25,0.25,2,"","",FALSE,FALSE,FALSE,FALSE,1,#N/A,1,1,"=R125C3:R166C23",FALSE,#N/A,#N/A,FALSE,FALSE,FALSE,1,600,600,FALSE,FALSE,TRUE,TRUE,TRUE}</definedName>
    <definedName name="yy" hidden="1">{TRUE,TRUE,-2.75,-17,484.5,255.75,FALSE,TRUE,TRUE,TRUE,0,1,18,272,#N/A,4,26.0909090909091,2,TRUE,FALSE,3,TRUE,1,TRUE,50,"Swvu.uctad.","ACwvu.uctad.",#N/A,FALSE,FALSE,0.47,0.54,0.25,0.25,2,"","",FALSE,FALSE,FALSE,FALSE,1,#N/A,1,1,"=R125C3:R166C23",FALSE,#N/A,#N/A,FALSE,FALSE,FALSE,1,600,600,FALSE,FALSE,TRUE,TRUE,TRUE}</definedName>
    <definedName name="Z_21701F18_ED23_11D2_883A_0080C7B7EDD9_.wvu.PrintTitles" hidden="1">'[3]1999 Volumes '!$A$1:$B$65536,'[3]1999 Volumes '!$A$1:$IV$7</definedName>
    <definedName name="Z_2593132C_E685_11D2_883A_0080C7B7EDD9_.wvu.PrintTitles" hidden="1">'[3]1999 Volumes '!$A$1:$B$65536,'[3]1999 Volumes '!$A$1:$IV$7</definedName>
    <definedName name="Z_25931379_E685_11D2_883A_0080C7B7EDD9_.wvu.PrintTitles" hidden="1">'[3]1999 Volumes '!$A$1:$B$65536,'[3]1999 Volumes '!$A$1:$IV$7</definedName>
    <definedName name="Z_640B8CB7_ED0A_11D2_883A_0080C7B7EDD9_.wvu.PrintTitles" hidden="1">'[3]1999 Volumes '!$A$1:$B$65536,'[3]1999 Volumes '!$A$1:$IV$7</definedName>
    <definedName name="Z_814B1636_EC31_11D2_883A_0080C7B7EDD9_.wvu.PrintTitles" hidden="1">'[3]1999 Volumes '!$A$1:$B$65536,'[3]1999 Volumes '!$A$1:$IV$7</definedName>
    <definedName name="Z_814B1688_EC31_11D2_883A_0080C7B7EDD9_.wvu.PrintTitles" hidden="1">'[3]1999 Volumes '!$A$1:$B$65536,'[3]1999 Volumes '!$A$1:$IV$7</definedName>
    <definedName name="Z_92640542_ECBC_11D2_883A_0080C7B7EDD9_.wvu.PrintTitles" hidden="1">'[3]1999 Volumes '!$A$1:$B$65536,'[3]1999 Volumes '!$A$1:$IV$7</definedName>
    <definedName name="Z_A4A34411_ECBA_11D2_9775_0080C7FCA63D_.wvu.PrintTitles" hidden="1">'[3]1999 Volumes '!$A$1:$B$65536,'[3]1999 Volumes '!$A$1:$IV$7</definedName>
    <definedName name="Z_B08A26B6_E741_11D2_883A_0080C7B7EDD9_.wvu.PrintTitles" hidden="1">'[3]1999 Volumes '!$A$1:$B$65536,'[3]1999 Volumes '!$A$1:$IV$7</definedName>
    <definedName name="Z_B9553477_EE57_11D2_9775_0080C7FCA63D_.wvu.PrintTitles" hidden="1">'[3]1999 Volumes '!$A$1:$B$65536,'[3]1999 Volumes '!$A$1:$IV$7</definedName>
    <definedName name="Z_C34C99F6_E6D7_11D2_883A_0080C7B7EDD9_.wvu.PrintTitles" hidden="1">'[3]1999 Volumes '!$A$1:$B$65536,'[3]1999 Volumes '!$A$1:$IV$7</definedName>
    <definedName name="Z_F08E6F97_ED87_11D2_9775_0080C7FCA63D_.wvu.PrintTitles" hidden="1">'[3]1999 Volumes '!$A$1:$B$65536,'[3]1999 Volumes '!$A$1:$IV$7</definedName>
    <definedName name="Z_F08E7DD9_ED87_11D2_9775_0080C7FCA63D_.wvu.PrintTitles" hidden="1">'[3]1999 Volumes '!$A$1:$B$65536,'[3]1999 Volumes '!$A$1:$IV$7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 i="241" l="1"/>
  <c r="D3" i="241"/>
  <c r="J17" i="227"/>
  <c r="C7" i="236"/>
  <c r="C8" i="237"/>
  <c r="C7" i="237"/>
  <c r="B37" i="236"/>
  <c r="C8" i="236"/>
  <c r="D7" i="236"/>
  <c r="F8" i="236" l="1"/>
  <c r="B38" i="236"/>
  <c r="I7" i="237"/>
  <c r="B33" i="237"/>
  <c r="I8" i="237"/>
  <c r="B34" i="237"/>
  <c r="F8" i="237"/>
  <c r="F7" i="237"/>
  <c r="D7" i="237"/>
  <c r="D8" i="237"/>
  <c r="I7" i="236"/>
  <c r="C37" i="236" s="1"/>
  <c r="I8" i="236"/>
  <c r="C38" i="236" s="1"/>
  <c r="D8" i="236"/>
  <c r="F7" i="236"/>
  <c r="C33" i="237" l="1"/>
  <c r="C6" i="236"/>
  <c r="F6" i="236" l="1"/>
  <c r="B36" i="236"/>
  <c r="L67" i="215"/>
  <c r="K67" i="215"/>
  <c r="J67" i="215"/>
  <c r="I67" i="215"/>
  <c r="H67" i="215"/>
  <c r="G67" i="215"/>
  <c r="F67" i="215"/>
  <c r="E67" i="215"/>
  <c r="D67" i="215"/>
  <c r="C7" i="238" l="1"/>
  <c r="C8" i="238"/>
  <c r="C9" i="238"/>
  <c r="D9" i="238" s="1"/>
  <c r="C10" i="238"/>
  <c r="C11" i="238"/>
  <c r="C6" i="238"/>
  <c r="C31" i="237" l="1"/>
  <c r="C41" i="239"/>
  <c r="C35" i="236"/>
  <c r="K17" i="227"/>
  <c r="L17" i="227"/>
  <c r="M17" i="227"/>
  <c r="N17" i="227"/>
  <c r="H5" i="242" l="1"/>
  <c r="H6" i="242"/>
  <c r="H7" i="242"/>
  <c r="H8" i="242"/>
  <c r="H9" i="242"/>
  <c r="H10" i="242"/>
  <c r="H11" i="242"/>
  <c r="H12" i="242"/>
  <c r="H4" i="242"/>
  <c r="H24" i="245"/>
  <c r="H25" i="245"/>
  <c r="H26" i="245"/>
  <c r="H27" i="245"/>
  <c r="H28" i="245"/>
  <c r="H29" i="245"/>
  <c r="H30" i="245"/>
  <c r="H31" i="245"/>
  <c r="H32" i="245"/>
  <c r="H33" i="245"/>
  <c r="H34" i="245"/>
  <c r="H35" i="245"/>
  <c r="H36" i="245"/>
  <c r="H37" i="245"/>
  <c r="H38" i="245"/>
  <c r="H39" i="245"/>
  <c r="H23" i="245"/>
  <c r="H17" i="245"/>
  <c r="H18" i="245"/>
  <c r="H19" i="245"/>
  <c r="H20" i="245"/>
  <c r="H21" i="245"/>
  <c r="H16" i="245"/>
  <c r="H12" i="245"/>
  <c r="H13" i="245"/>
  <c r="H14" i="245"/>
  <c r="H11" i="245"/>
  <c r="H8" i="245"/>
  <c r="H9" i="245"/>
  <c r="H7" i="245"/>
  <c r="G7" i="245"/>
  <c r="G59" i="245"/>
  <c r="G198" i="245"/>
  <c r="E198" i="245"/>
  <c r="E197" i="245"/>
  <c r="G197" i="245" s="1"/>
  <c r="G196" i="245"/>
  <c r="E196" i="245"/>
  <c r="G195" i="245"/>
  <c r="G194" i="245"/>
  <c r="G193" i="245"/>
  <c r="G192" i="245"/>
  <c r="G191" i="245"/>
  <c r="G190" i="245"/>
  <c r="G189" i="245"/>
  <c r="G188" i="245"/>
  <c r="G187" i="245"/>
  <c r="G186" i="245"/>
  <c r="G185" i="245"/>
  <c r="G184" i="245"/>
  <c r="G183" i="245"/>
  <c r="G182" i="245"/>
  <c r="G181" i="245"/>
  <c r="G180" i="245"/>
  <c r="G179" i="245"/>
  <c r="G178" i="245"/>
  <c r="G177" i="245"/>
  <c r="G176" i="245"/>
  <c r="G175" i="245"/>
  <c r="E174" i="245"/>
  <c r="G174" i="245" s="1"/>
  <c r="D174" i="245"/>
  <c r="C174" i="245"/>
  <c r="B174" i="245"/>
  <c r="G173" i="245"/>
  <c r="D172" i="245"/>
  <c r="C172" i="245"/>
  <c r="E172" i="245" s="1"/>
  <c r="G172" i="245" s="1"/>
  <c r="B172" i="245"/>
  <c r="G171" i="245"/>
  <c r="G170" i="245"/>
  <c r="G169" i="245"/>
  <c r="G168" i="245"/>
  <c r="G167" i="245"/>
  <c r="G166" i="245"/>
  <c r="G165" i="245"/>
  <c r="G164" i="245"/>
  <c r="G163" i="245"/>
  <c r="G162" i="245"/>
  <c r="G161" i="245"/>
  <c r="G160" i="245"/>
  <c r="G158" i="245"/>
  <c r="G157" i="245"/>
  <c r="E157" i="245"/>
  <c r="E156" i="245"/>
  <c r="G156" i="245" s="1"/>
  <c r="G155" i="245"/>
  <c r="E154" i="245"/>
  <c r="G154" i="245" s="1"/>
  <c r="G153" i="245"/>
  <c r="G152" i="245"/>
  <c r="G151" i="245"/>
  <c r="G150" i="245"/>
  <c r="G149" i="245"/>
  <c r="G148" i="245"/>
  <c r="G147" i="245"/>
  <c r="G146" i="245"/>
  <c r="G145" i="245"/>
  <c r="G144" i="245"/>
  <c r="G143" i="245"/>
  <c r="G142" i="245"/>
  <c r="G141" i="245"/>
  <c r="G140" i="245"/>
  <c r="G139" i="245"/>
  <c r="G138" i="245"/>
  <c r="G137" i="245"/>
  <c r="G136" i="245"/>
  <c r="G135" i="245"/>
  <c r="G134" i="245"/>
  <c r="G133" i="245"/>
  <c r="G132" i="245"/>
  <c r="G131" i="245"/>
  <c r="G130" i="245"/>
  <c r="G129" i="245"/>
  <c r="G128" i="245"/>
  <c r="G127" i="245"/>
  <c r="G126" i="245"/>
  <c r="G125" i="245"/>
  <c r="G124" i="245"/>
  <c r="G123" i="245"/>
  <c r="G122" i="245"/>
  <c r="G121" i="245"/>
  <c r="G120" i="245"/>
  <c r="E118" i="245"/>
  <c r="G118" i="245" s="1"/>
  <c r="G117" i="245"/>
  <c r="E116" i="245"/>
  <c r="G116" i="245" s="1"/>
  <c r="G115" i="245"/>
  <c r="G114" i="245"/>
  <c r="E114" i="245"/>
  <c r="G113" i="245"/>
  <c r="G112" i="245"/>
  <c r="G111" i="245"/>
  <c r="G110" i="245"/>
  <c r="G109" i="245"/>
  <c r="G108" i="245"/>
  <c r="G107" i="245"/>
  <c r="G106" i="245"/>
  <c r="G105" i="245"/>
  <c r="G104" i="245"/>
  <c r="G103" i="245"/>
  <c r="G102" i="245"/>
  <c r="G101" i="245"/>
  <c r="G100" i="245"/>
  <c r="G99" i="245"/>
  <c r="G98" i="245"/>
  <c r="G97" i="245"/>
  <c r="G96" i="245"/>
  <c r="G95" i="245"/>
  <c r="G94" i="245"/>
  <c r="G93" i="245"/>
  <c r="E92" i="245"/>
  <c r="G92" i="245" s="1"/>
  <c r="D92" i="245"/>
  <c r="C92" i="245"/>
  <c r="B92" i="245"/>
  <c r="G91" i="245"/>
  <c r="G90" i="245"/>
  <c r="G89" i="245"/>
  <c r="G88" i="245"/>
  <c r="G87" i="245"/>
  <c r="G86" i="245"/>
  <c r="G85" i="245"/>
  <c r="G84" i="245"/>
  <c r="G83" i="245"/>
  <c r="G82" i="245"/>
  <c r="G81" i="245"/>
  <c r="G80" i="245"/>
  <c r="E78" i="245"/>
  <c r="G78" i="245" s="1"/>
  <c r="E77" i="245"/>
  <c r="G77" i="245" s="1"/>
  <c r="E76" i="245"/>
  <c r="G76" i="245" s="1"/>
  <c r="G75" i="245"/>
  <c r="G74" i="245"/>
  <c r="E74" i="245"/>
  <c r="G73" i="245"/>
  <c r="G72" i="245"/>
  <c r="G71" i="245"/>
  <c r="G70" i="245"/>
  <c r="G69" i="245"/>
  <c r="G68" i="245"/>
  <c r="G67" i="245"/>
  <c r="G66" i="245"/>
  <c r="G65" i="245"/>
  <c r="G64" i="245"/>
  <c r="G63" i="245"/>
  <c r="G62" i="245"/>
  <c r="G61" i="245"/>
  <c r="G60" i="245"/>
  <c r="G58" i="245"/>
  <c r="G57" i="245"/>
  <c r="G56" i="245"/>
  <c r="G55" i="245"/>
  <c r="G54" i="245"/>
  <c r="G53" i="245"/>
  <c r="G52" i="245"/>
  <c r="G51" i="245"/>
  <c r="G50" i="245"/>
  <c r="G49" i="245"/>
  <c r="G48" i="245"/>
  <c r="G47" i="245"/>
  <c r="G46" i="245"/>
  <c r="G45" i="245"/>
  <c r="G44" i="245"/>
  <c r="G43" i="245"/>
  <c r="G42" i="245"/>
  <c r="G41" i="245"/>
  <c r="G40" i="245"/>
  <c r="G38" i="245"/>
  <c r="E38" i="245"/>
  <c r="E37" i="245"/>
  <c r="G37" i="245" s="1"/>
  <c r="E36" i="245"/>
  <c r="G36" i="245" s="1"/>
  <c r="G35" i="245"/>
  <c r="G34" i="245"/>
  <c r="E34" i="245"/>
  <c r="G33" i="245"/>
  <c r="G32" i="245"/>
  <c r="G31" i="245"/>
  <c r="G30" i="245"/>
  <c r="G29" i="245"/>
  <c r="G28" i="245"/>
  <c r="G27" i="245"/>
  <c r="G26" i="245"/>
  <c r="G25" i="245"/>
  <c r="G24" i="245"/>
  <c r="G23" i="245"/>
  <c r="G22" i="245"/>
  <c r="G21" i="245"/>
  <c r="G20" i="245"/>
  <c r="G19" i="245"/>
  <c r="G18" i="245"/>
  <c r="G17" i="245"/>
  <c r="G16" i="245"/>
  <c r="G15" i="245"/>
  <c r="G14" i="245"/>
  <c r="G13" i="245"/>
  <c r="G12" i="245"/>
  <c r="D11" i="245"/>
  <c r="C11" i="245"/>
  <c r="B11" i="245"/>
  <c r="E11" i="245" s="1"/>
  <c r="G11" i="245" s="1"/>
  <c r="G10" i="245"/>
  <c r="G9" i="245"/>
  <c r="G8" i="245"/>
  <c r="G79" i="245" l="1"/>
  <c r="G39" i="245"/>
  <c r="G199" i="245"/>
  <c r="G119" i="245"/>
  <c r="G159" i="245"/>
  <c r="F6" i="213" l="1"/>
  <c r="D6" i="213"/>
  <c r="E6" i="213" s="1"/>
  <c r="D7" i="213"/>
  <c r="E7" i="213" s="1"/>
  <c r="D8" i="213"/>
  <c r="E8" i="213" s="1"/>
  <c r="D9" i="213"/>
  <c r="E9" i="213" s="1"/>
  <c r="D10" i="213"/>
  <c r="E10" i="213" s="1"/>
  <c r="D11" i="213"/>
  <c r="E11" i="213" s="1"/>
  <c r="D12" i="213"/>
  <c r="E12" i="213" s="1"/>
  <c r="D13" i="213"/>
  <c r="E13" i="213" s="1"/>
  <c r="D14" i="213"/>
  <c r="E14" i="213" s="1"/>
  <c r="D15" i="213"/>
  <c r="E15" i="213" s="1"/>
  <c r="D16" i="213"/>
  <c r="E16" i="213" s="1"/>
  <c r="D17" i="213"/>
  <c r="E17" i="213" s="1"/>
  <c r="D18" i="213"/>
  <c r="E18" i="213" s="1"/>
  <c r="D19" i="213"/>
  <c r="E19" i="213" s="1"/>
  <c r="D20" i="213"/>
  <c r="E20" i="213" s="1"/>
  <c r="D21" i="213"/>
  <c r="E21" i="213" s="1"/>
  <c r="D22" i="213"/>
  <c r="E22" i="213" s="1"/>
  <c r="D23" i="213"/>
  <c r="E23" i="213" s="1"/>
  <c r="D24" i="213"/>
  <c r="E24" i="213" s="1"/>
  <c r="D25" i="213"/>
  <c r="E25" i="213" s="1"/>
  <c r="D26" i="213"/>
  <c r="E26" i="213" s="1"/>
  <c r="D27" i="213"/>
  <c r="E27" i="213" s="1"/>
  <c r="D28" i="213"/>
  <c r="E28" i="213" s="1"/>
  <c r="D29" i="213"/>
  <c r="E29" i="213" s="1"/>
  <c r="D30" i="213"/>
  <c r="E30" i="213" s="1"/>
  <c r="D31" i="213"/>
  <c r="E31" i="213" s="1"/>
  <c r="D32" i="213"/>
  <c r="E32" i="213" s="1"/>
  <c r="D33" i="213"/>
  <c r="E33" i="213" s="1"/>
  <c r="D34" i="213"/>
  <c r="E34" i="213" s="1"/>
  <c r="D35" i="213"/>
  <c r="E35" i="213" s="1"/>
  <c r="D36" i="213"/>
  <c r="E36" i="213" s="1"/>
  <c r="D37" i="213"/>
  <c r="E37" i="213" s="1"/>
  <c r="D38" i="213"/>
  <c r="E38" i="213" s="1"/>
  <c r="D39" i="213"/>
  <c r="E39" i="213" s="1"/>
  <c r="D40" i="213"/>
  <c r="E40" i="213" s="1"/>
  <c r="D41" i="213"/>
  <c r="E41" i="213" s="1"/>
  <c r="D42" i="213"/>
  <c r="E42" i="213" s="1"/>
  <c r="D43" i="213"/>
  <c r="E43" i="213" s="1"/>
  <c r="D44" i="213"/>
  <c r="E44" i="213" s="1"/>
  <c r="D45" i="213"/>
  <c r="E45" i="213" s="1"/>
  <c r="D46" i="213"/>
  <c r="E46" i="213" s="1"/>
  <c r="D47" i="213"/>
  <c r="E47" i="213" s="1"/>
  <c r="D48" i="213"/>
  <c r="E48" i="213" s="1"/>
  <c r="D49" i="213"/>
  <c r="E49" i="213" s="1"/>
  <c r="D50" i="213"/>
  <c r="E50" i="213" s="1"/>
  <c r="D51" i="213"/>
  <c r="E51" i="213" s="1"/>
  <c r="D52" i="213"/>
  <c r="E52" i="213" s="1"/>
  <c r="D53" i="213"/>
  <c r="E53" i="213" s="1"/>
  <c r="D54" i="213"/>
  <c r="E54" i="213" s="1"/>
  <c r="D55" i="213"/>
  <c r="E55" i="213" s="1"/>
  <c r="D56" i="213"/>
  <c r="E56" i="213" s="1"/>
  <c r="L47" i="213"/>
  <c r="K47" i="213"/>
  <c r="J47" i="213"/>
  <c r="I47" i="213"/>
  <c r="H47" i="213"/>
  <c r="G47" i="213"/>
  <c r="F47" i="213"/>
  <c r="L56" i="213"/>
  <c r="K56" i="213"/>
  <c r="J56" i="213"/>
  <c r="I56" i="213"/>
  <c r="H56" i="213"/>
  <c r="G56" i="213"/>
  <c r="F56" i="213"/>
  <c r="I55" i="213"/>
  <c r="L55" i="213"/>
  <c r="J55" i="213"/>
  <c r="G55" i="213"/>
  <c r="G54" i="213"/>
  <c r="F54" i="213"/>
  <c r="L54" i="213"/>
  <c r="K54" i="213"/>
  <c r="J54" i="213"/>
  <c r="I54" i="213"/>
  <c r="H54" i="213"/>
  <c r="L53" i="213"/>
  <c r="K53" i="213"/>
  <c r="J53" i="213"/>
  <c r="I53" i="213"/>
  <c r="H53" i="213"/>
  <c r="G53" i="213"/>
  <c r="F53" i="213"/>
  <c r="F52" i="213"/>
  <c r="L52" i="213"/>
  <c r="K52" i="213"/>
  <c r="J52" i="213"/>
  <c r="I52" i="213"/>
  <c r="G52" i="213"/>
  <c r="F51" i="213"/>
  <c r="L51" i="213"/>
  <c r="K51" i="213"/>
  <c r="J51" i="213"/>
  <c r="I51" i="213"/>
  <c r="H51" i="213"/>
  <c r="G51" i="213"/>
  <c r="H48" i="213"/>
  <c r="L48" i="213"/>
  <c r="K48" i="213"/>
  <c r="J48" i="213"/>
  <c r="I48" i="213"/>
  <c r="G48" i="213"/>
  <c r="F48" i="213"/>
  <c r="F49" i="213"/>
  <c r="L49" i="213"/>
  <c r="K49" i="213"/>
  <c r="J49" i="213"/>
  <c r="I49" i="213"/>
  <c r="H49" i="213"/>
  <c r="G49" i="213"/>
  <c r="H46" i="213"/>
  <c r="L46" i="213"/>
  <c r="K46" i="213"/>
  <c r="J46" i="213"/>
  <c r="I46" i="213"/>
  <c r="G46" i="213"/>
  <c r="F46" i="213"/>
  <c r="H45" i="213"/>
  <c r="L45" i="213"/>
  <c r="K45" i="213"/>
  <c r="J45" i="213"/>
  <c r="I45" i="213"/>
  <c r="G45" i="213"/>
  <c r="F45" i="213"/>
  <c r="L42" i="213"/>
  <c r="K42" i="213"/>
  <c r="J42" i="213"/>
  <c r="I42" i="213"/>
  <c r="H42" i="213"/>
  <c r="G42" i="213"/>
  <c r="F42" i="213"/>
  <c r="L38" i="213"/>
  <c r="K38" i="213"/>
  <c r="J38" i="213"/>
  <c r="I38" i="213"/>
  <c r="G38" i="213"/>
  <c r="F38" i="213"/>
  <c r="L33" i="213"/>
  <c r="K33" i="213"/>
  <c r="J33" i="213"/>
  <c r="I33" i="213"/>
  <c r="H33" i="213"/>
  <c r="G33" i="213"/>
  <c r="F33" i="213"/>
  <c r="J32" i="213"/>
  <c r="L32" i="213"/>
  <c r="K32" i="213"/>
  <c r="I32" i="213"/>
  <c r="G32" i="213"/>
  <c r="L29" i="213"/>
  <c r="K29" i="213"/>
  <c r="J29" i="213"/>
  <c r="I29" i="213"/>
  <c r="G29" i="213"/>
  <c r="H26" i="213"/>
  <c r="L26" i="213"/>
  <c r="K26" i="213"/>
  <c r="I26" i="213"/>
  <c r="G26" i="213"/>
  <c r="F26" i="213"/>
  <c r="J22" i="213"/>
  <c r="H22" i="213"/>
  <c r="L22" i="213"/>
  <c r="K22" i="213"/>
  <c r="I22" i="213"/>
  <c r="G22" i="213"/>
  <c r="F22" i="213"/>
  <c r="L21" i="213"/>
  <c r="K21" i="213"/>
  <c r="J21" i="213"/>
  <c r="I21" i="213"/>
  <c r="G21" i="213"/>
  <c r="L20" i="213"/>
  <c r="K20" i="213"/>
  <c r="J20" i="213"/>
  <c r="I20" i="213"/>
  <c r="H20" i="213"/>
  <c r="G20" i="213"/>
  <c r="F20" i="213"/>
  <c r="J19" i="213"/>
  <c r="F19" i="213"/>
  <c r="L19" i="213"/>
  <c r="K19" i="213"/>
  <c r="I19" i="213"/>
  <c r="H19" i="213"/>
  <c r="G19" i="213"/>
  <c r="J18" i="213"/>
  <c r="H18" i="213"/>
  <c r="L18" i="213"/>
  <c r="K18" i="213"/>
  <c r="I18" i="213"/>
  <c r="G18" i="213"/>
  <c r="F18" i="213"/>
  <c r="J16" i="213"/>
  <c r="L16" i="213"/>
  <c r="K16" i="213"/>
  <c r="I16" i="213"/>
  <c r="H16" i="213"/>
  <c r="G16" i="213"/>
  <c r="F16" i="213"/>
  <c r="H12" i="213"/>
  <c r="L12" i="213"/>
  <c r="K12" i="213"/>
  <c r="J12" i="213"/>
  <c r="I12" i="213"/>
  <c r="G12" i="213"/>
  <c r="F12" i="213"/>
  <c r="L8" i="213"/>
  <c r="K8" i="213"/>
  <c r="J8" i="213"/>
  <c r="I8" i="213"/>
  <c r="H8" i="213"/>
  <c r="G8" i="213"/>
  <c r="F8" i="213"/>
  <c r="F7" i="213"/>
  <c r="L7" i="213"/>
  <c r="K7" i="213"/>
  <c r="J7" i="213"/>
  <c r="I7" i="213"/>
  <c r="G7" i="213"/>
  <c r="J50" i="213"/>
  <c r="L50" i="213"/>
  <c r="K50" i="213"/>
  <c r="I50" i="213"/>
  <c r="G50" i="213"/>
  <c r="G44" i="213"/>
  <c r="F44" i="213"/>
  <c r="L44" i="213"/>
  <c r="J43" i="213"/>
  <c r="H43" i="213"/>
  <c r="L43" i="213"/>
  <c r="K43" i="213"/>
  <c r="I43" i="213"/>
  <c r="G43" i="213"/>
  <c r="F43" i="213"/>
  <c r="G41" i="213"/>
  <c r="F41" i="213"/>
  <c r="L41" i="213"/>
  <c r="J41" i="213"/>
  <c r="H41" i="213"/>
  <c r="K40" i="213"/>
  <c r="G40" i="213"/>
  <c r="L40" i="213"/>
  <c r="J40" i="213"/>
  <c r="I40" i="213"/>
  <c r="H40" i="213"/>
  <c r="F40" i="213"/>
  <c r="H39" i="213"/>
  <c r="L39" i="213"/>
  <c r="K39" i="213"/>
  <c r="J39" i="213"/>
  <c r="I39" i="213"/>
  <c r="G39" i="213"/>
  <c r="F39" i="213"/>
  <c r="F37" i="213"/>
  <c r="L37" i="213"/>
  <c r="K37" i="213"/>
  <c r="J37" i="213"/>
  <c r="I37" i="213"/>
  <c r="G37" i="213"/>
  <c r="K35" i="213"/>
  <c r="H35" i="213"/>
  <c r="L35" i="213"/>
  <c r="J35" i="213"/>
  <c r="G35" i="213"/>
  <c r="F35" i="213"/>
  <c r="K34" i="213"/>
  <c r="J34" i="213"/>
  <c r="L34" i="213"/>
  <c r="I34" i="213"/>
  <c r="G34" i="213"/>
  <c r="K31" i="213"/>
  <c r="G31" i="213"/>
  <c r="L31" i="213"/>
  <c r="F31" i="213"/>
  <c r="H30" i="213"/>
  <c r="F30" i="213"/>
  <c r="L30" i="213"/>
  <c r="J30" i="213"/>
  <c r="G30" i="213"/>
  <c r="F28" i="213"/>
  <c r="L28" i="213"/>
  <c r="K28" i="213"/>
  <c r="J28" i="213"/>
  <c r="I28" i="213"/>
  <c r="H28" i="213"/>
  <c r="G28" i="213"/>
  <c r="G27" i="213"/>
  <c r="F27" i="213"/>
  <c r="L27" i="213"/>
  <c r="J27" i="213"/>
  <c r="H36" i="213"/>
  <c r="L36" i="213"/>
  <c r="K36" i="213"/>
  <c r="I36" i="213"/>
  <c r="G36" i="213"/>
  <c r="F36" i="213"/>
  <c r="I25" i="213"/>
  <c r="H25" i="213"/>
  <c r="L25" i="213"/>
  <c r="K25" i="213"/>
  <c r="J25" i="213"/>
  <c r="G25" i="213"/>
  <c r="F25" i="213"/>
  <c r="G24" i="213"/>
  <c r="J24" i="213"/>
  <c r="L24" i="213"/>
  <c r="K24" i="213"/>
  <c r="I24" i="213"/>
  <c r="H24" i="213"/>
  <c r="F24" i="213"/>
  <c r="K6" i="213"/>
  <c r="H6" i="213"/>
  <c r="L6" i="213"/>
  <c r="J6" i="213"/>
  <c r="I6" i="213"/>
  <c r="G6" i="213"/>
  <c r="K23" i="213"/>
  <c r="J23" i="213"/>
  <c r="H23" i="213"/>
  <c r="L23" i="213"/>
  <c r="I23" i="213"/>
  <c r="G23" i="213"/>
  <c r="F23" i="213"/>
  <c r="L17" i="213"/>
  <c r="J17" i="213"/>
  <c r="G17" i="213"/>
  <c r="L15" i="213"/>
  <c r="K15" i="213"/>
  <c r="J15" i="213"/>
  <c r="I15" i="213"/>
  <c r="G15" i="213"/>
  <c r="J14" i="213"/>
  <c r="L14" i="213"/>
  <c r="H14" i="213"/>
  <c r="G14" i="213"/>
  <c r="F14" i="213"/>
  <c r="I13" i="213"/>
  <c r="F13" i="213"/>
  <c r="L13" i="213"/>
  <c r="J13" i="213"/>
  <c r="H13" i="213"/>
  <c r="G13" i="213"/>
  <c r="H11" i="213"/>
  <c r="L11" i="213"/>
  <c r="K11" i="213"/>
  <c r="J11" i="213"/>
  <c r="I11" i="213"/>
  <c r="G11" i="213"/>
  <c r="F11" i="213"/>
  <c r="H10" i="213"/>
  <c r="L10" i="213"/>
  <c r="J10" i="213"/>
  <c r="G10" i="213"/>
  <c r="F10" i="213"/>
  <c r="F9" i="213"/>
  <c r="L9" i="213"/>
  <c r="J9" i="213"/>
  <c r="H9" i="213"/>
  <c r="G9" i="213"/>
  <c r="K44" i="213" l="1"/>
  <c r="I44" i="213"/>
  <c r="F17" i="213"/>
  <c r="H17" i="213"/>
  <c r="I30" i="213"/>
  <c r="K30" i="213"/>
  <c r="F50" i="213"/>
  <c r="H50" i="213"/>
  <c r="H55" i="213"/>
  <c r="F55" i="213"/>
  <c r="I41" i="213"/>
  <c r="K41" i="213"/>
  <c r="K14" i="213"/>
  <c r="I14" i="213"/>
  <c r="H31" i="213"/>
  <c r="J31" i="213"/>
  <c r="I27" i="213"/>
  <c r="K27" i="213"/>
  <c r="K10" i="213"/>
  <c r="I10" i="213"/>
  <c r="I9" i="213"/>
  <c r="K9" i="213"/>
  <c r="F15" i="213"/>
  <c r="H15" i="213"/>
  <c r="F32" i="213"/>
  <c r="H32" i="213"/>
  <c r="I17" i="213"/>
  <c r="K17" i="213"/>
  <c r="J44" i="213"/>
  <c r="H44" i="213"/>
  <c r="F29" i="213"/>
  <c r="H29" i="213"/>
  <c r="F34" i="213"/>
  <c r="H34" i="213"/>
  <c r="F21" i="213"/>
  <c r="H21" i="213"/>
  <c r="K13" i="213"/>
  <c r="H27" i="213"/>
  <c r="I31" i="213"/>
  <c r="I35" i="213"/>
  <c r="H37" i="213"/>
  <c r="H7" i="213"/>
  <c r="H52" i="213"/>
  <c r="J36" i="213"/>
  <c r="J26" i="213"/>
  <c r="H38" i="213"/>
  <c r="K55" i="213"/>
  <c r="B29" i="239" l="1"/>
  <c r="B30" i="239"/>
  <c r="B31" i="239"/>
  <c r="B32" i="239"/>
  <c r="B33" i="239"/>
  <c r="B34" i="239"/>
  <c r="B35" i="239"/>
  <c r="B36" i="239"/>
  <c r="C11" i="239" l="1"/>
  <c r="C12" i="239"/>
  <c r="C13" i="239"/>
  <c r="C14" i="239"/>
  <c r="C15" i="239"/>
  <c r="C16" i="239"/>
  <c r="C17" i="239"/>
  <c r="C18" i="239"/>
  <c r="C19" i="239"/>
  <c r="C20" i="239"/>
  <c r="C21" i="239"/>
  <c r="C22" i="239"/>
  <c r="C23" i="239"/>
  <c r="C24" i="239"/>
  <c r="C9" i="239"/>
  <c r="C10" i="239"/>
  <c r="C25" i="239"/>
  <c r="B61" i="239" s="1"/>
  <c r="C8" i="239"/>
  <c r="F69" i="19"/>
  <c r="B19" i="237"/>
  <c r="B20" i="237"/>
  <c r="B21" i="237"/>
  <c r="B22" i="237"/>
  <c r="B23" i="237"/>
  <c r="B24" i="237"/>
  <c r="B25" i="237"/>
  <c r="B26" i="237"/>
  <c r="J15" i="239" l="1"/>
  <c r="B51" i="239"/>
  <c r="J10" i="239"/>
  <c r="B46" i="239"/>
  <c r="J14" i="239"/>
  <c r="B50" i="239"/>
  <c r="J13" i="239"/>
  <c r="B49" i="239"/>
  <c r="J24" i="239"/>
  <c r="B60" i="239"/>
  <c r="J12" i="239"/>
  <c r="B48" i="239"/>
  <c r="J23" i="239"/>
  <c r="B59" i="239"/>
  <c r="J11" i="239"/>
  <c r="B47" i="239"/>
  <c r="J9" i="239"/>
  <c r="B45" i="239"/>
  <c r="D22" i="239"/>
  <c r="B58" i="239"/>
  <c r="D21" i="239"/>
  <c r="B57" i="239"/>
  <c r="J20" i="239"/>
  <c r="B56" i="239"/>
  <c r="J19" i="239"/>
  <c r="B55" i="239"/>
  <c r="D18" i="239"/>
  <c r="B54" i="239"/>
  <c r="J25" i="239"/>
  <c r="F17" i="239"/>
  <c r="B53" i="239"/>
  <c r="J8" i="239"/>
  <c r="B44" i="239"/>
  <c r="J16" i="239"/>
  <c r="B52" i="239"/>
  <c r="F16" i="239"/>
  <c r="D17" i="239"/>
  <c r="D14" i="239"/>
  <c r="D25" i="239"/>
  <c r="D16" i="239"/>
  <c r="F15" i="239"/>
  <c r="D15" i="239"/>
  <c r="F14" i="239"/>
  <c r="F25" i="239"/>
  <c r="F13" i="239"/>
  <c r="J18" i="239"/>
  <c r="D13" i="239"/>
  <c r="F24" i="239"/>
  <c r="F11" i="239"/>
  <c r="J17" i="239"/>
  <c r="D12" i="239"/>
  <c r="F23" i="239"/>
  <c r="F10" i="239"/>
  <c r="D11" i="239"/>
  <c r="F22" i="239"/>
  <c r="F9" i="239"/>
  <c r="J22" i="239"/>
  <c r="F21" i="239"/>
  <c r="F8" i="239"/>
  <c r="F20" i="239"/>
  <c r="F12" i="239"/>
  <c r="D20" i="239"/>
  <c r="F19" i="239"/>
  <c r="D19" i="239"/>
  <c r="F18" i="239"/>
  <c r="J21" i="239"/>
  <c r="D10" i="239"/>
  <c r="D24" i="239"/>
  <c r="D23" i="239"/>
  <c r="D8" i="239"/>
  <c r="D9" i="239"/>
  <c r="B23" i="236" l="1"/>
  <c r="B24" i="236"/>
  <c r="B25" i="236"/>
  <c r="B26" i="236"/>
  <c r="B27" i="236"/>
  <c r="B28" i="236"/>
  <c r="B29" i="236"/>
  <c r="B30" i="236"/>
  <c r="I6" i="236" l="1"/>
  <c r="C36" i="236" s="1"/>
  <c r="C39" i="236" s="1"/>
  <c r="D6" i="236"/>
  <c r="C99" i="242"/>
  <c r="C98" i="242"/>
  <c r="C97" i="242"/>
  <c r="C96" i="242"/>
  <c r="C95" i="242"/>
  <c r="C93" i="242"/>
  <c r="C94" i="242"/>
  <c r="C92" i="242"/>
  <c r="C91" i="242"/>
  <c r="C90" i="242"/>
  <c r="C2" i="242"/>
  <c r="I13" i="242"/>
  <c r="C9" i="236" l="1"/>
  <c r="I9" i="236" s="1"/>
  <c r="D9" i="236" l="1"/>
  <c r="C72" i="242" l="1"/>
  <c r="C73" i="242"/>
  <c r="C74" i="242"/>
  <c r="C75" i="242"/>
  <c r="C76" i="242"/>
  <c r="C77" i="242"/>
  <c r="C78" i="242"/>
  <c r="C79" i="242"/>
  <c r="C80" i="242"/>
  <c r="C81" i="242"/>
  <c r="C82" i="242"/>
  <c r="C83" i="242"/>
  <c r="C84" i="242"/>
  <c r="C85" i="242"/>
  <c r="C86" i="242"/>
  <c r="C87" i="242"/>
  <c r="C88" i="242"/>
  <c r="C89" i="242"/>
  <c r="C54" i="242"/>
  <c r="C55" i="242"/>
  <c r="C56" i="242"/>
  <c r="C57" i="242"/>
  <c r="C58" i="242"/>
  <c r="C59" i="242"/>
  <c r="C60" i="242"/>
  <c r="C61" i="242"/>
  <c r="C62" i="242"/>
  <c r="C63" i="242"/>
  <c r="C64" i="242"/>
  <c r="C65" i="242"/>
  <c r="C66" i="242"/>
  <c r="C67" i="242"/>
  <c r="C68" i="242"/>
  <c r="C69" i="242"/>
  <c r="C70" i="242"/>
  <c r="C71" i="242"/>
  <c r="C45" i="242"/>
  <c r="C46" i="242"/>
  <c r="C47" i="242"/>
  <c r="C48" i="242"/>
  <c r="C49" i="242"/>
  <c r="C50" i="242"/>
  <c r="C51" i="242"/>
  <c r="C52" i="242"/>
  <c r="C53" i="242"/>
  <c r="C38" i="242"/>
  <c r="C39" i="242"/>
  <c r="C40" i="242"/>
  <c r="C41" i="242"/>
  <c r="C42" i="242"/>
  <c r="C43" i="242"/>
  <c r="C44" i="242"/>
  <c r="C25" i="242"/>
  <c r="C26" i="242"/>
  <c r="C27" i="242"/>
  <c r="C28" i="242"/>
  <c r="C29" i="242"/>
  <c r="C30" i="242"/>
  <c r="C31" i="242"/>
  <c r="C32" i="242"/>
  <c r="C33" i="242"/>
  <c r="C34" i="242"/>
  <c r="C35" i="242"/>
  <c r="C36" i="242"/>
  <c r="C37" i="242"/>
  <c r="C20" i="242"/>
  <c r="C21" i="242"/>
  <c r="C22" i="242"/>
  <c r="C23" i="242"/>
  <c r="C24" i="242"/>
  <c r="C15" i="242"/>
  <c r="C16" i="242"/>
  <c r="C17" i="242"/>
  <c r="C18" i="242"/>
  <c r="C19" i="242"/>
  <c r="C14" i="242"/>
  <c r="C12" i="242"/>
  <c r="C13" i="242"/>
  <c r="C11" i="242"/>
  <c r="C9" i="242"/>
  <c r="C10" i="242"/>
  <c r="C8" i="242"/>
  <c r="C4" i="242"/>
  <c r="C5" i="242"/>
  <c r="C6" i="242"/>
  <c r="C7" i="242"/>
  <c r="C3" i="242"/>
  <c r="B136" i="212" l="1"/>
  <c r="B26" i="238" s="1"/>
  <c r="B137" i="212"/>
  <c r="B27" i="238" s="1"/>
  <c r="B138" i="212"/>
  <c r="B28" i="238" s="1"/>
  <c r="B139" i="212"/>
  <c r="B29" i="238" s="1"/>
  <c r="B140" i="212"/>
  <c r="B30" i="238" s="1"/>
  <c r="B141" i="212"/>
  <c r="B31" i="238" s="1"/>
  <c r="B142" i="212"/>
  <c r="B32" i="238" s="1"/>
  <c r="B143" i="212"/>
  <c r="B33" i="238" s="1"/>
  <c r="B135" i="212"/>
  <c r="B149" i="212" s="1"/>
  <c r="C78" i="212"/>
  <c r="C71" i="212"/>
  <c r="C72" i="212"/>
  <c r="C73" i="212"/>
  <c r="C74" i="212"/>
  <c r="C75" i="212"/>
  <c r="C76" i="212"/>
  <c r="C77" i="212"/>
  <c r="C70" i="212"/>
  <c r="B157" i="212" l="1"/>
  <c r="B156" i="212"/>
  <c r="B155" i="212"/>
  <c r="B154" i="212"/>
  <c r="B153" i="212"/>
  <c r="B152" i="212"/>
  <c r="B151" i="212"/>
  <c r="B150" i="212"/>
  <c r="G57" i="212"/>
  <c r="G136" i="212" s="1"/>
  <c r="E136" i="212" s="1"/>
  <c r="G58" i="212"/>
  <c r="G137" i="212" s="1"/>
  <c r="E137" i="212" s="1"/>
  <c r="G59" i="212"/>
  <c r="G138" i="212" s="1"/>
  <c r="E138" i="212" s="1"/>
  <c r="G60" i="212"/>
  <c r="G139" i="212" s="1"/>
  <c r="E139" i="212" s="1"/>
  <c r="G61" i="212"/>
  <c r="G140" i="212" s="1"/>
  <c r="E140" i="212" s="1"/>
  <c r="G62" i="212"/>
  <c r="G141" i="212" s="1"/>
  <c r="E141" i="212" s="1"/>
  <c r="G63" i="212"/>
  <c r="G142" i="212" s="1"/>
  <c r="E142" i="212" s="1"/>
  <c r="G64" i="212"/>
  <c r="G143" i="212" s="1"/>
  <c r="E143" i="212" s="1"/>
  <c r="G56" i="212"/>
  <c r="C31" i="238" l="1"/>
  <c r="C33" i="238"/>
  <c r="C32" i="238"/>
  <c r="C30" i="238"/>
  <c r="C29" i="238"/>
  <c r="C28" i="238"/>
  <c r="C27" i="238"/>
  <c r="C26" i="238"/>
  <c r="L113" i="212"/>
  <c r="L117" i="212"/>
  <c r="L121" i="212"/>
  <c r="L124" i="212"/>
  <c r="L128" i="212"/>
  <c r="L101" i="212"/>
  <c r="L105" i="212"/>
  <c r="L88" i="212"/>
  <c r="L92" i="212"/>
  <c r="L100" i="212"/>
  <c r="L104" i="212"/>
  <c r="L116" i="212"/>
  <c r="L130" i="212"/>
  <c r="L91" i="212"/>
  <c r="L118" i="212"/>
  <c r="L129" i="212"/>
  <c r="L133" i="212"/>
  <c r="L90" i="212"/>
  <c r="H88" i="212"/>
  <c r="H92" i="212"/>
  <c r="H100" i="212"/>
  <c r="H104" i="212"/>
  <c r="H113" i="212"/>
  <c r="H116" i="212"/>
  <c r="H130" i="212"/>
  <c r="H91" i="212"/>
  <c r="H118" i="212"/>
  <c r="H129" i="212"/>
  <c r="H133" i="212"/>
  <c r="H90" i="212"/>
  <c r="H121" i="212"/>
  <c r="H124" i="212"/>
  <c r="H128" i="212"/>
  <c r="H117" i="212"/>
  <c r="H101" i="212"/>
  <c r="H105" i="212"/>
  <c r="M117" i="212"/>
  <c r="M124" i="212"/>
  <c r="M128" i="212"/>
  <c r="M101" i="212"/>
  <c r="M105" i="212"/>
  <c r="M113" i="212"/>
  <c r="M88" i="212"/>
  <c r="M92" i="212"/>
  <c r="M100" i="212"/>
  <c r="M104" i="212"/>
  <c r="M116" i="212"/>
  <c r="M130" i="212"/>
  <c r="M121" i="212"/>
  <c r="E567" i="213" s="1"/>
  <c r="M91" i="212"/>
  <c r="M133" i="212"/>
  <c r="M90" i="212"/>
  <c r="M118" i="212"/>
  <c r="M129" i="212"/>
  <c r="K124" i="212"/>
  <c r="K128" i="212"/>
  <c r="K101" i="212"/>
  <c r="K105" i="212"/>
  <c r="K117" i="212"/>
  <c r="K88" i="212"/>
  <c r="K92" i="212"/>
  <c r="K100" i="212"/>
  <c r="K104" i="212"/>
  <c r="K113" i="212"/>
  <c r="K116" i="212"/>
  <c r="K130" i="212"/>
  <c r="K91" i="212"/>
  <c r="K118" i="212"/>
  <c r="K129" i="212"/>
  <c r="K121" i="212"/>
  <c r="K133" i="212"/>
  <c r="K90" i="212"/>
  <c r="I116" i="212"/>
  <c r="I88" i="212"/>
  <c r="I92" i="212"/>
  <c r="I100" i="212"/>
  <c r="I104" i="212"/>
  <c r="I113" i="212"/>
  <c r="I130" i="212"/>
  <c r="I91" i="212"/>
  <c r="I118" i="212"/>
  <c r="I129" i="212"/>
  <c r="I133" i="212"/>
  <c r="I90" i="212"/>
  <c r="I101" i="212"/>
  <c r="I105" i="212"/>
  <c r="I128" i="212"/>
  <c r="I117" i="212"/>
  <c r="I124" i="212"/>
  <c r="I121" i="212"/>
  <c r="G113" i="212"/>
  <c r="G116" i="212"/>
  <c r="G130" i="212"/>
  <c r="G91" i="212"/>
  <c r="G118" i="212"/>
  <c r="G129" i="212"/>
  <c r="G133" i="212"/>
  <c r="G90" i="212"/>
  <c r="G121" i="212"/>
  <c r="G117" i="212"/>
  <c r="G128" i="212"/>
  <c r="G124" i="212"/>
  <c r="G88" i="212"/>
  <c r="G92" i="212"/>
  <c r="G100" i="212"/>
  <c r="G104" i="212"/>
  <c r="G101" i="212"/>
  <c r="G105" i="212"/>
  <c r="J88" i="212"/>
  <c r="F116" i="212"/>
  <c r="F130" i="212"/>
  <c r="F91" i="212"/>
  <c r="F118" i="212"/>
  <c r="F129" i="212"/>
  <c r="F133" i="212"/>
  <c r="F90" i="212"/>
  <c r="F121" i="212"/>
  <c r="F124" i="212"/>
  <c r="F128" i="212"/>
  <c r="F101" i="212"/>
  <c r="F105" i="212"/>
  <c r="F88" i="212"/>
  <c r="F100" i="212"/>
  <c r="F92" i="212"/>
  <c r="F104" i="212"/>
  <c r="F117" i="212"/>
  <c r="F113" i="212"/>
  <c r="C56" i="212"/>
  <c r="G135" i="212"/>
  <c r="E135" i="212" s="1"/>
  <c r="D36" i="238"/>
  <c r="D35" i="238"/>
  <c r="G32" i="237"/>
  <c r="G31" i="237"/>
  <c r="G60" i="239"/>
  <c r="G59" i="239"/>
  <c r="E130" i="212" l="1"/>
  <c r="E91" i="212"/>
  <c r="E118" i="212"/>
  <c r="E129" i="212"/>
  <c r="E133" i="212"/>
  <c r="E90" i="212"/>
  <c r="E121" i="212"/>
  <c r="E124" i="212"/>
  <c r="E128" i="212"/>
  <c r="E101" i="212"/>
  <c r="E105" i="212"/>
  <c r="E117" i="212"/>
  <c r="E113" i="212"/>
  <c r="E116" i="212"/>
  <c r="E88" i="212"/>
  <c r="E92" i="212"/>
  <c r="E100" i="212"/>
  <c r="E104" i="212"/>
  <c r="E37" i="212"/>
  <c r="E49" i="212"/>
  <c r="E12" i="212"/>
  <c r="E9" i="212"/>
  <c r="E39" i="212"/>
  <c r="E42" i="212"/>
  <c r="E54" i="212"/>
  <c r="E22" i="212"/>
  <c r="E26" i="212"/>
  <c r="E45" i="212"/>
  <c r="E13" i="212"/>
  <c r="E50" i="212"/>
  <c r="E34" i="212"/>
  <c r="E25" i="212"/>
  <c r="E21" i="212"/>
  <c r="E51" i="212"/>
  <c r="E11" i="212"/>
  <c r="E38" i="212"/>
  <c r="G36" i="236"/>
  <c r="G35" i="236"/>
  <c r="D7" i="238"/>
  <c r="D8" i="238"/>
  <c r="D10" i="238"/>
  <c r="D11" i="238"/>
  <c r="D6" i="238"/>
  <c r="F9" i="236"/>
  <c r="C268" i="213"/>
  <c r="E268" i="213" s="1"/>
  <c r="G10" i="238" l="1"/>
  <c r="E10" i="238" s="1"/>
  <c r="G11" i="238"/>
  <c r="G9" i="238"/>
  <c r="E9" i="238" s="1"/>
  <c r="G7" i="238"/>
  <c r="E7" i="238" s="1"/>
  <c r="G8" i="238"/>
  <c r="E8" i="238" s="1"/>
  <c r="G6" i="238"/>
  <c r="E6" i="238" s="1"/>
  <c r="E11" i="238" s="1"/>
  <c r="D37" i="238" s="1"/>
  <c r="B39" i="236"/>
  <c r="C344" i="213" l="1"/>
  <c r="C345" i="213"/>
  <c r="C346" i="213"/>
  <c r="E346" i="213" s="1"/>
  <c r="C338" i="213"/>
  <c r="C339" i="213"/>
  <c r="C340" i="213"/>
  <c r="C341" i="213"/>
  <c r="E341" i="213" s="1"/>
  <c r="C342" i="213"/>
  <c r="E342" i="213" s="1"/>
  <c r="C343" i="213"/>
  <c r="E343" i="213" s="1"/>
  <c r="C326" i="213"/>
  <c r="E326" i="213" s="1"/>
  <c r="C327" i="213"/>
  <c r="C328" i="213"/>
  <c r="C329" i="213"/>
  <c r="E329" i="213" s="1"/>
  <c r="C330" i="213"/>
  <c r="E330" i="213" s="1"/>
  <c r="C331" i="213"/>
  <c r="E331" i="213" s="1"/>
  <c r="C332" i="213"/>
  <c r="C333" i="213"/>
  <c r="C334" i="213"/>
  <c r="E334" i="213" s="1"/>
  <c r="C335" i="213"/>
  <c r="C336" i="213"/>
  <c r="C337" i="213"/>
  <c r="E337" i="213" s="1"/>
  <c r="C307" i="213"/>
  <c r="C308" i="213"/>
  <c r="C309" i="213"/>
  <c r="C310" i="213"/>
  <c r="C311" i="213"/>
  <c r="C312" i="213"/>
  <c r="C313" i="213"/>
  <c r="E313" i="213" s="1"/>
  <c r="C314" i="213"/>
  <c r="E314" i="213" s="1"/>
  <c r="C315" i="213"/>
  <c r="C316" i="213"/>
  <c r="C317" i="213"/>
  <c r="E317" i="213" s="1"/>
  <c r="C318" i="213"/>
  <c r="E318" i="213" s="1"/>
  <c r="C319" i="213"/>
  <c r="C320" i="213"/>
  <c r="C321" i="213"/>
  <c r="C322" i="213"/>
  <c r="C323" i="213"/>
  <c r="C324" i="213"/>
  <c r="C325" i="213"/>
  <c r="C297" i="213"/>
  <c r="C298" i="213"/>
  <c r="C299" i="213"/>
  <c r="C300" i="213"/>
  <c r="C301" i="213"/>
  <c r="E301" i="213" s="1"/>
  <c r="C302" i="213"/>
  <c r="C303" i="213"/>
  <c r="E303" i="213" s="1"/>
  <c r="C304" i="213"/>
  <c r="E304" i="213" s="1"/>
  <c r="C305" i="213"/>
  <c r="E305" i="213" s="1"/>
  <c r="C306" i="213"/>
  <c r="C296" i="213"/>
  <c r="C7" i="239"/>
  <c r="C6" i="239"/>
  <c r="J6" i="239" s="1"/>
  <c r="B28" i="239"/>
  <c r="B18" i="237"/>
  <c r="C6" i="237"/>
  <c r="B22" i="236"/>
  <c r="F6" i="237" l="1"/>
  <c r="I6" i="237"/>
  <c r="D6" i="237"/>
  <c r="B42" i="239"/>
  <c r="D6" i="239"/>
  <c r="F7" i="239"/>
  <c r="B43" i="239"/>
  <c r="J7" i="239"/>
  <c r="D7" i="239"/>
  <c r="F6" i="239"/>
  <c r="C504" i="213"/>
  <c r="E504" i="213" s="1"/>
  <c r="C505" i="213"/>
  <c r="E505" i="213" s="1"/>
  <c r="C506" i="213"/>
  <c r="C507" i="213"/>
  <c r="C508" i="213"/>
  <c r="E508" i="213" s="1"/>
  <c r="C509" i="213"/>
  <c r="C510" i="213"/>
  <c r="C511" i="213"/>
  <c r="E511" i="213" s="1"/>
  <c r="C512" i="213"/>
  <c r="C513" i="213"/>
  <c r="C514" i="213"/>
  <c r="C515" i="213"/>
  <c r="E515" i="213" s="1"/>
  <c r="C516" i="213"/>
  <c r="E516" i="213" s="1"/>
  <c r="C517" i="213"/>
  <c r="E517" i="213" s="1"/>
  <c r="C518" i="213"/>
  <c r="C519" i="213"/>
  <c r="C520" i="213"/>
  <c r="E520" i="213" s="1"/>
  <c r="C492" i="213"/>
  <c r="E492" i="213" s="1"/>
  <c r="C493" i="213"/>
  <c r="C494" i="213"/>
  <c r="C495" i="213"/>
  <c r="C496" i="213"/>
  <c r="C497" i="213"/>
  <c r="C498" i="213"/>
  <c r="C499" i="213"/>
  <c r="C500" i="213"/>
  <c r="E500" i="213" s="1"/>
  <c r="C501" i="213"/>
  <c r="C502" i="213"/>
  <c r="C503" i="213"/>
  <c r="E503" i="213" s="1"/>
  <c r="C471" i="213"/>
  <c r="C472" i="213"/>
  <c r="C473" i="213"/>
  <c r="C474" i="213"/>
  <c r="C475" i="213"/>
  <c r="E475" i="213" s="1"/>
  <c r="C476" i="213"/>
  <c r="C477" i="213"/>
  <c r="E477" i="213" s="1"/>
  <c r="C478" i="213"/>
  <c r="E478" i="213" s="1"/>
  <c r="C479" i="213"/>
  <c r="E479" i="213" s="1"/>
  <c r="C480" i="213"/>
  <c r="C481" i="213"/>
  <c r="C482" i="213"/>
  <c r="C483" i="213"/>
  <c r="C484" i="213"/>
  <c r="C485" i="213"/>
  <c r="C486" i="213"/>
  <c r="C487" i="213"/>
  <c r="E487" i="213" s="1"/>
  <c r="C488" i="213"/>
  <c r="E488" i="213" s="1"/>
  <c r="C489" i="213"/>
  <c r="C490" i="213"/>
  <c r="C491" i="213"/>
  <c r="E491" i="213" s="1"/>
  <c r="C568" i="213"/>
  <c r="C569" i="213"/>
  <c r="C570" i="213"/>
  <c r="E570" i="213" s="1"/>
  <c r="C571" i="213"/>
  <c r="C572" i="213"/>
  <c r="C573" i="213"/>
  <c r="C574" i="213"/>
  <c r="E574" i="213" s="1"/>
  <c r="C575" i="213"/>
  <c r="E575" i="213" s="1"/>
  <c r="C576" i="213"/>
  <c r="E576" i="213" s="1"/>
  <c r="C577" i="213"/>
  <c r="C578" i="213"/>
  <c r="C579" i="213"/>
  <c r="E579" i="213" s="1"/>
  <c r="C547" i="213"/>
  <c r="E547" i="213" s="1"/>
  <c r="C548" i="213"/>
  <c r="C549" i="213"/>
  <c r="C550" i="213"/>
  <c r="E550" i="213" s="1"/>
  <c r="C551" i="213"/>
  <c r="E551" i="213" s="1"/>
  <c r="C552" i="213"/>
  <c r="C553" i="213"/>
  <c r="C554" i="213"/>
  <c r="C555" i="213"/>
  <c r="C556" i="213"/>
  <c r="C557" i="213"/>
  <c r="C558" i="213"/>
  <c r="C559" i="213"/>
  <c r="E559" i="213" s="1"/>
  <c r="C560" i="213"/>
  <c r="C561" i="213"/>
  <c r="C562" i="213"/>
  <c r="E562" i="213" s="1"/>
  <c r="C563" i="213"/>
  <c r="E563" i="213" s="1"/>
  <c r="C564" i="213"/>
  <c r="E564" i="213" s="1"/>
  <c r="C565" i="213"/>
  <c r="C566" i="213"/>
  <c r="C530" i="213"/>
  <c r="C531" i="213"/>
  <c r="C532" i="213"/>
  <c r="C533" i="213"/>
  <c r="C534" i="213"/>
  <c r="E534" i="213" s="1"/>
  <c r="C535" i="213"/>
  <c r="C536" i="213"/>
  <c r="E536" i="213" s="1"/>
  <c r="C537" i="213"/>
  <c r="E537" i="213" s="1"/>
  <c r="C538" i="213"/>
  <c r="E538" i="213" s="1"/>
  <c r="C539" i="213"/>
  <c r="C540" i="213"/>
  <c r="C541" i="213"/>
  <c r="C542" i="213"/>
  <c r="C543" i="213"/>
  <c r="C544" i="213"/>
  <c r="C545" i="213"/>
  <c r="C546" i="213"/>
  <c r="E546" i="213" s="1"/>
  <c r="C529" i="213"/>
  <c r="H6" i="239" l="1"/>
  <c r="H14" i="239"/>
  <c r="H15" i="239"/>
  <c r="H24" i="239"/>
  <c r="H23" i="239"/>
  <c r="H21" i="239"/>
  <c r="H8" i="239"/>
  <c r="H17" i="239"/>
  <c r="H25" i="239"/>
  <c r="H18" i="239"/>
  <c r="H19" i="239"/>
  <c r="H11" i="239"/>
  <c r="H20" i="239"/>
  <c r="H13" i="239"/>
  <c r="H9" i="239"/>
  <c r="H10" i="239"/>
  <c r="H22" i="239"/>
  <c r="H12" i="239"/>
  <c r="H16" i="239"/>
  <c r="H7" i="239"/>
  <c r="B32" i="237"/>
  <c r="L509" i="213"/>
  <c r="L510" i="213"/>
  <c r="L511" i="213"/>
  <c r="L512" i="213"/>
  <c r="L513" i="213"/>
  <c r="L514" i="213"/>
  <c r="L516" i="213"/>
  <c r="K509" i="213"/>
  <c r="K510" i="213"/>
  <c r="K511" i="213"/>
  <c r="K513" i="213"/>
  <c r="K514" i="213"/>
  <c r="K515" i="213"/>
  <c r="K516" i="213"/>
  <c r="K517" i="213"/>
  <c r="J509" i="213"/>
  <c r="J510" i="213"/>
  <c r="J511" i="213"/>
  <c r="J512" i="213"/>
  <c r="J513" i="213"/>
  <c r="J515" i="213"/>
  <c r="J516" i="213"/>
  <c r="J517" i="213"/>
  <c r="I509" i="213"/>
  <c r="I510" i="213"/>
  <c r="I511" i="213"/>
  <c r="I513" i="213"/>
  <c r="I514" i="213"/>
  <c r="I515" i="213"/>
  <c r="I516" i="213"/>
  <c r="I517" i="213"/>
  <c r="H509" i="213"/>
  <c r="H510" i="213"/>
  <c r="H511" i="213"/>
  <c r="H512" i="213"/>
  <c r="H513" i="213"/>
  <c r="H515" i="213"/>
  <c r="H516" i="213"/>
  <c r="H517" i="213"/>
  <c r="G509" i="213"/>
  <c r="G510" i="213"/>
  <c r="G511" i="213"/>
  <c r="G513" i="213"/>
  <c r="G514" i="213"/>
  <c r="G515" i="213"/>
  <c r="G516" i="213"/>
  <c r="F510" i="213"/>
  <c r="F511" i="213"/>
  <c r="F512" i="213"/>
  <c r="F513" i="213"/>
  <c r="L517" i="213"/>
  <c r="J518" i="213"/>
  <c r="J519" i="213"/>
  <c r="I520" i="213"/>
  <c r="F516" i="213"/>
  <c r="F517" i="213"/>
  <c r="L489" i="213"/>
  <c r="L490" i="213"/>
  <c r="L491" i="213"/>
  <c r="L493" i="213"/>
  <c r="L494" i="213"/>
  <c r="L496" i="213"/>
  <c r="L497" i="213"/>
  <c r="L499" i="213"/>
  <c r="K490" i="213"/>
  <c r="K492" i="213"/>
  <c r="K493" i="213"/>
  <c r="K496" i="213"/>
  <c r="K497" i="213"/>
  <c r="K502" i="213"/>
  <c r="J489" i="213"/>
  <c r="J491" i="213"/>
  <c r="J492" i="213"/>
  <c r="J497" i="213"/>
  <c r="J499" i="213"/>
  <c r="J501" i="213"/>
  <c r="I490" i="213"/>
  <c r="I492" i="213"/>
  <c r="I493" i="213"/>
  <c r="I496" i="213"/>
  <c r="I497" i="213"/>
  <c r="I502" i="213"/>
  <c r="H489" i="213"/>
  <c r="H491" i="213"/>
  <c r="H492" i="213"/>
  <c r="H497" i="213"/>
  <c r="G490" i="213"/>
  <c r="G492" i="213"/>
  <c r="G493" i="213"/>
  <c r="L199" i="213" l="1"/>
  <c r="L548" i="213"/>
  <c r="H455" i="213"/>
  <c r="H281" i="213"/>
  <c r="H572" i="213"/>
  <c r="L222" i="213"/>
  <c r="L571" i="213"/>
  <c r="L107" i="213"/>
  <c r="L572" i="213"/>
  <c r="H222" i="213"/>
  <c r="H280" i="213"/>
  <c r="H571" i="213"/>
  <c r="H199" i="213"/>
  <c r="H257" i="213"/>
  <c r="H548" i="213"/>
  <c r="G339" i="213"/>
  <c r="G281" i="213"/>
  <c r="G572" i="213"/>
  <c r="K223" i="213"/>
  <c r="K281" i="213"/>
  <c r="K572" i="213"/>
  <c r="J572" i="213"/>
  <c r="J281" i="213"/>
  <c r="F281" i="213"/>
  <c r="F572" i="213"/>
  <c r="J338" i="213"/>
  <c r="J571" i="213"/>
  <c r="J280" i="213"/>
  <c r="J373" i="213"/>
  <c r="J548" i="213"/>
  <c r="J257" i="213"/>
  <c r="F338" i="213"/>
  <c r="F571" i="213"/>
  <c r="F280" i="213"/>
  <c r="I281" i="213"/>
  <c r="I572" i="213"/>
  <c r="K397" i="213"/>
  <c r="L397" i="213"/>
  <c r="J455" i="213"/>
  <c r="F455" i="213"/>
  <c r="F397" i="213"/>
  <c r="J454" i="213"/>
  <c r="J396" i="213"/>
  <c r="J222" i="213"/>
  <c r="J431" i="213"/>
  <c r="J397" i="213"/>
  <c r="I455" i="213"/>
  <c r="I397" i="213"/>
  <c r="L339" i="213"/>
  <c r="L455" i="213"/>
  <c r="L223" i="213"/>
  <c r="H397" i="213"/>
  <c r="K339" i="213"/>
  <c r="K455" i="213"/>
  <c r="L257" i="213"/>
  <c r="L431" i="213"/>
  <c r="L315" i="213"/>
  <c r="F222" i="213"/>
  <c r="J199" i="213"/>
  <c r="G397" i="213"/>
  <c r="J339" i="213"/>
  <c r="H431" i="213"/>
  <c r="L280" i="213"/>
  <c r="L454" i="213"/>
  <c r="J223" i="213"/>
  <c r="L396" i="213"/>
  <c r="I339" i="213"/>
  <c r="L281" i="213"/>
  <c r="H454" i="213"/>
  <c r="H338" i="213"/>
  <c r="I223" i="213"/>
  <c r="H339" i="213"/>
  <c r="F454" i="213"/>
  <c r="H223" i="213"/>
  <c r="H315" i="213"/>
  <c r="H373" i="213"/>
  <c r="G455" i="213"/>
  <c r="K107" i="213"/>
  <c r="G223" i="213"/>
  <c r="H396" i="213"/>
  <c r="F339" i="213"/>
  <c r="J315" i="213"/>
  <c r="F223" i="213"/>
  <c r="L373" i="213"/>
  <c r="F396" i="213"/>
  <c r="L338" i="213"/>
  <c r="L165" i="213"/>
  <c r="H164" i="213"/>
  <c r="K165" i="213"/>
  <c r="F164" i="213"/>
  <c r="J165" i="213"/>
  <c r="I165" i="213"/>
  <c r="H165" i="213"/>
  <c r="G165" i="213"/>
  <c r="L141" i="213"/>
  <c r="F165" i="213"/>
  <c r="J141" i="213"/>
  <c r="L164" i="213"/>
  <c r="H141" i="213"/>
  <c r="J164" i="213"/>
  <c r="H107" i="213"/>
  <c r="F107" i="213"/>
  <c r="L106" i="213"/>
  <c r="J106" i="213"/>
  <c r="H106" i="213"/>
  <c r="J107" i="213"/>
  <c r="F106" i="213"/>
  <c r="I107" i="213"/>
  <c r="G107" i="213"/>
  <c r="L83" i="213"/>
  <c r="J83" i="213"/>
  <c r="H83" i="213"/>
  <c r="F83" i="213"/>
  <c r="C65" i="213"/>
  <c r="C66" i="213"/>
  <c r="C67" i="213"/>
  <c r="C68" i="213"/>
  <c r="C69" i="213"/>
  <c r="C70" i="213"/>
  <c r="C71" i="213"/>
  <c r="C72" i="213"/>
  <c r="C73" i="213"/>
  <c r="C74" i="213"/>
  <c r="C75" i="213"/>
  <c r="C76" i="213"/>
  <c r="C77" i="213"/>
  <c r="C78" i="213"/>
  <c r="C79" i="213"/>
  <c r="C80" i="213"/>
  <c r="C81" i="213"/>
  <c r="C82" i="213"/>
  <c r="C84" i="213"/>
  <c r="C85" i="213"/>
  <c r="C86" i="213"/>
  <c r="C87" i="213"/>
  <c r="C88" i="213"/>
  <c r="C89" i="213"/>
  <c r="C90" i="213"/>
  <c r="C91" i="213"/>
  <c r="C92" i="213"/>
  <c r="C93" i="213"/>
  <c r="C94" i="213"/>
  <c r="C95" i="213"/>
  <c r="C96" i="213"/>
  <c r="C97" i="213"/>
  <c r="C98" i="213"/>
  <c r="C99" i="213"/>
  <c r="C100" i="213"/>
  <c r="C101" i="213"/>
  <c r="C102" i="213"/>
  <c r="C103" i="213"/>
  <c r="C104" i="213"/>
  <c r="C105" i="213"/>
  <c r="C108" i="213"/>
  <c r="C109" i="213"/>
  <c r="C110" i="213"/>
  <c r="C111" i="213"/>
  <c r="C112" i="213"/>
  <c r="C113" i="213"/>
  <c r="C114" i="213"/>
  <c r="C64" i="213"/>
  <c r="E114" i="213" l="1"/>
  <c r="D114" i="213"/>
  <c r="D99" i="213"/>
  <c r="E99" i="213"/>
  <c r="D98" i="213"/>
  <c r="E98" i="213"/>
  <c r="D86" i="213"/>
  <c r="E86" i="213"/>
  <c r="E73" i="213"/>
  <c r="D73" i="213"/>
  <c r="D85" i="213"/>
  <c r="E85" i="213"/>
  <c r="D71" i="213"/>
  <c r="E71" i="213"/>
  <c r="D69" i="213"/>
  <c r="E69" i="213"/>
  <c r="D111" i="213"/>
  <c r="E111" i="213"/>
  <c r="E82" i="213"/>
  <c r="D82" i="213"/>
  <c r="E81" i="213"/>
  <c r="D81" i="213"/>
  <c r="E72" i="213"/>
  <c r="D72" i="213"/>
  <c r="E110" i="213"/>
  <c r="D110" i="213"/>
  <c r="G109" i="213"/>
  <c r="E109" i="213"/>
  <c r="D109" i="213"/>
  <c r="E97" i="213"/>
  <c r="D97" i="213"/>
  <c r="D94" i="213"/>
  <c r="E94" i="213"/>
  <c r="E105" i="213"/>
  <c r="D105" i="213"/>
  <c r="D102" i="213"/>
  <c r="E102" i="213"/>
  <c r="L550" i="213"/>
  <c r="J550" i="213"/>
  <c r="H550" i="213"/>
  <c r="L553" i="213"/>
  <c r="I552" i="213"/>
  <c r="L552" i="213"/>
  <c r="K552" i="213"/>
  <c r="G552" i="213"/>
  <c r="L549" i="213"/>
  <c r="I549" i="213"/>
  <c r="K549" i="213"/>
  <c r="G549" i="213"/>
  <c r="J551" i="213"/>
  <c r="K551" i="213"/>
  <c r="G551" i="213"/>
  <c r="H551" i="213"/>
  <c r="I551" i="213"/>
  <c r="K108" i="213"/>
  <c r="L108" i="213"/>
  <c r="G108" i="213"/>
  <c r="I108" i="213"/>
  <c r="L111" i="213"/>
  <c r="F111" i="213"/>
  <c r="H111" i="213"/>
  <c r="I111" i="213"/>
  <c r="J111" i="213"/>
  <c r="K111" i="213"/>
  <c r="H110" i="213"/>
  <c r="I110" i="213"/>
  <c r="J110" i="213"/>
  <c r="K110" i="213"/>
  <c r="L110" i="213"/>
  <c r="F110" i="213"/>
  <c r="G110" i="213"/>
  <c r="F109" i="213"/>
  <c r="H109" i="213"/>
  <c r="I109" i="213"/>
  <c r="J109" i="213"/>
  <c r="K109" i="213"/>
  <c r="H85" i="213"/>
  <c r="J85" i="213"/>
  <c r="L85" i="213"/>
  <c r="K84" i="213"/>
  <c r="L84" i="213"/>
  <c r="G84" i="213"/>
  <c r="I84" i="213"/>
  <c r="C28" i="239" l="1"/>
  <c r="C18" i="237"/>
  <c r="C22" i="236"/>
  <c r="G85" i="213" l="1"/>
  <c r="K85" i="213" l="1"/>
  <c r="I85" i="213"/>
  <c r="C62" i="212" l="1"/>
  <c r="C34" i="239" l="1"/>
  <c r="C24" i="237"/>
  <c r="C28" i="236"/>
  <c r="K39" i="212"/>
  <c r="K34" i="212"/>
  <c r="K38" i="212"/>
  <c r="K42" i="212"/>
  <c r="K50" i="212"/>
  <c r="K54" i="212"/>
  <c r="K25" i="212"/>
  <c r="K21" i="212"/>
  <c r="K37" i="212"/>
  <c r="K11" i="212"/>
  <c r="K49" i="212"/>
  <c r="K51" i="212"/>
  <c r="K12" i="212"/>
  <c r="K45" i="212"/>
  <c r="K22" i="212"/>
  <c r="K13" i="212"/>
  <c r="K9" i="212"/>
  <c r="K26" i="212"/>
  <c r="C63" i="212"/>
  <c r="C35" i="239" l="1"/>
  <c r="C42" i="239" s="1"/>
  <c r="C25" i="237"/>
  <c r="C32" i="237" s="1"/>
  <c r="C34" i="237" s="1"/>
  <c r="C29" i="236"/>
  <c r="C59" i="239"/>
  <c r="C58" i="239"/>
  <c r="C57" i="239"/>
  <c r="L39" i="212"/>
  <c r="L51" i="212"/>
  <c r="L25" i="212"/>
  <c r="L34" i="212"/>
  <c r="L38" i="212"/>
  <c r="L42" i="212"/>
  <c r="L50" i="212"/>
  <c r="L54" i="212"/>
  <c r="L37" i="212"/>
  <c r="L45" i="212"/>
  <c r="L49" i="212"/>
  <c r="L11" i="212"/>
  <c r="L13" i="212"/>
  <c r="L21" i="212"/>
  <c r="L12" i="212"/>
  <c r="L9" i="212"/>
  <c r="L22" i="212"/>
  <c r="L26" i="212"/>
  <c r="B25" i="238"/>
  <c r="B348" i="213"/>
  <c r="C238" i="213"/>
  <c r="C239" i="213"/>
  <c r="C240" i="213"/>
  <c r="C241" i="213"/>
  <c r="C242" i="213"/>
  <c r="C243" i="213"/>
  <c r="E243" i="213" s="1"/>
  <c r="C244" i="213"/>
  <c r="C245" i="213"/>
  <c r="E245" i="213" s="1"/>
  <c r="C246" i="213"/>
  <c r="E246" i="213" s="1"/>
  <c r="C60" i="212"/>
  <c r="D492" i="213" l="1"/>
  <c r="D508" i="213"/>
  <c r="D500" i="213"/>
  <c r="I500" i="213" s="1"/>
  <c r="D487" i="213"/>
  <c r="D488" i="213"/>
  <c r="D504" i="213"/>
  <c r="I504" i="213" s="1"/>
  <c r="D475" i="213"/>
  <c r="D478" i="213"/>
  <c r="D491" i="213"/>
  <c r="G491" i="213" s="1"/>
  <c r="D479" i="213"/>
  <c r="D515" i="213"/>
  <c r="F515" i="213" s="1"/>
  <c r="D517" i="213"/>
  <c r="D505" i="213"/>
  <c r="D477" i="213"/>
  <c r="D511" i="213"/>
  <c r="D503" i="213"/>
  <c r="I503" i="213" s="1"/>
  <c r="D520" i="213"/>
  <c r="D516" i="213"/>
  <c r="C32" i="239"/>
  <c r="C22" i="237"/>
  <c r="C26" i="236"/>
  <c r="I34" i="212"/>
  <c r="I38" i="212"/>
  <c r="I42" i="212"/>
  <c r="I50" i="212"/>
  <c r="I54" i="212"/>
  <c r="I37" i="212"/>
  <c r="I45" i="212"/>
  <c r="I49" i="212"/>
  <c r="I51" i="212"/>
  <c r="I13" i="212"/>
  <c r="I39" i="212"/>
  <c r="I25" i="212"/>
  <c r="I21" i="212"/>
  <c r="I11" i="212"/>
  <c r="I12" i="212"/>
  <c r="I9" i="212"/>
  <c r="I22" i="212"/>
  <c r="I26" i="212"/>
  <c r="J500" i="213"/>
  <c r="C25" i="238"/>
  <c r="L109" i="213"/>
  <c r="K555" i="213"/>
  <c r="L555" i="213"/>
  <c r="I555" i="213"/>
  <c r="G568" i="213"/>
  <c r="K568" i="213"/>
  <c r="L568" i="213"/>
  <c r="I568" i="213"/>
  <c r="J568" i="213"/>
  <c r="H568" i="213"/>
  <c r="J577" i="213"/>
  <c r="H576" i="213"/>
  <c r="F576" i="213"/>
  <c r="I576" i="213"/>
  <c r="K576" i="213"/>
  <c r="J576" i="213"/>
  <c r="L576" i="213"/>
  <c r="H556" i="213"/>
  <c r="K556" i="213"/>
  <c r="L556" i="213"/>
  <c r="J556" i="213"/>
  <c r="I556" i="213"/>
  <c r="I561" i="213"/>
  <c r="K561" i="213"/>
  <c r="I579" i="213"/>
  <c r="I574" i="213"/>
  <c r="J574" i="213"/>
  <c r="H574" i="213"/>
  <c r="G574" i="213"/>
  <c r="K574" i="213"/>
  <c r="J560" i="213"/>
  <c r="H575" i="213"/>
  <c r="F575" i="213"/>
  <c r="J575" i="213"/>
  <c r="I575" i="213"/>
  <c r="K575" i="213"/>
  <c r="L575" i="213"/>
  <c r="G575" i="213"/>
  <c r="I573" i="213"/>
  <c r="K573" i="213"/>
  <c r="G573" i="213"/>
  <c r="L573" i="213"/>
  <c r="I570" i="213"/>
  <c r="K570" i="213"/>
  <c r="L570" i="213"/>
  <c r="J570" i="213"/>
  <c r="H570" i="213"/>
  <c r="G570" i="213"/>
  <c r="F570" i="213"/>
  <c r="L558" i="213"/>
  <c r="J558" i="213"/>
  <c r="J578" i="213"/>
  <c r="L569" i="213"/>
  <c r="K569" i="213"/>
  <c r="I569" i="213"/>
  <c r="F569" i="213"/>
  <c r="J569" i="213"/>
  <c r="G569" i="213"/>
  <c r="H569" i="213"/>
  <c r="C56" i="239" l="1"/>
  <c r="C54" i="239"/>
  <c r="C52" i="239"/>
  <c r="K500" i="213"/>
  <c r="K491" i="213"/>
  <c r="I491" i="213"/>
  <c r="D343" i="213"/>
  <c r="D341" i="213"/>
  <c r="D301" i="213"/>
  <c r="D304" i="213"/>
  <c r="D334" i="213"/>
  <c r="D318" i="213"/>
  <c r="D342" i="213"/>
  <c r="D303" i="213"/>
  <c r="D330" i="213"/>
  <c r="D314" i="213"/>
  <c r="D313" i="213"/>
  <c r="D326" i="213"/>
  <c r="D346" i="213"/>
  <c r="K503" i="213"/>
  <c r="D317" i="213"/>
  <c r="I317" i="213" s="1"/>
  <c r="D337" i="213"/>
  <c r="D329" i="213"/>
  <c r="D331" i="213"/>
  <c r="D305" i="213"/>
  <c r="C45" i="239"/>
  <c r="C46" i="239"/>
  <c r="C49" i="239"/>
  <c r="H318" i="213"/>
  <c r="I318" i="213"/>
  <c r="J318" i="213"/>
  <c r="K318" i="213"/>
  <c r="L318" i="213"/>
  <c r="G318" i="213"/>
  <c r="G335" i="213"/>
  <c r="F335" i="213"/>
  <c r="H335" i="213"/>
  <c r="I335" i="213"/>
  <c r="J335" i="213"/>
  <c r="K335" i="213"/>
  <c r="L335" i="213"/>
  <c r="L341" i="213"/>
  <c r="G341" i="213"/>
  <c r="H341" i="213"/>
  <c r="I341" i="213"/>
  <c r="J341" i="213"/>
  <c r="K341" i="213"/>
  <c r="F341" i="213"/>
  <c r="G340" i="213"/>
  <c r="K340" i="213"/>
  <c r="I340" i="213"/>
  <c r="L340" i="213"/>
  <c r="L320" i="213"/>
  <c r="H317" i="213"/>
  <c r="J317" i="213"/>
  <c r="L317" i="213"/>
  <c r="G336" i="213"/>
  <c r="I336" i="213"/>
  <c r="L336" i="213"/>
  <c r="J336" i="213"/>
  <c r="K336" i="213"/>
  <c r="F336" i="213"/>
  <c r="H336" i="213"/>
  <c r="G319" i="213"/>
  <c r="K319" i="213"/>
  <c r="I319" i="213"/>
  <c r="L319" i="213"/>
  <c r="F342" i="213"/>
  <c r="I342" i="213"/>
  <c r="G342" i="213"/>
  <c r="H342" i="213"/>
  <c r="J342" i="213"/>
  <c r="K342" i="213"/>
  <c r="L342" i="213"/>
  <c r="G316" i="213"/>
  <c r="I316" i="213"/>
  <c r="K316" i="213"/>
  <c r="L316" i="213"/>
  <c r="K343" i="213"/>
  <c r="H343" i="213"/>
  <c r="I343" i="213"/>
  <c r="J343" i="213"/>
  <c r="L343" i="213"/>
  <c r="F343" i="213"/>
  <c r="F337" i="213"/>
  <c r="G337" i="213"/>
  <c r="H337" i="213"/>
  <c r="I337" i="213"/>
  <c r="J337" i="213"/>
  <c r="K337" i="213"/>
  <c r="L337" i="213"/>
  <c r="G317" i="213" l="1"/>
  <c r="K317" i="213"/>
  <c r="L500" i="213" l="1"/>
  <c r="L492" i="213"/>
  <c r="L515" i="213"/>
  <c r="F506" i="213" l="1"/>
  <c r="G506" i="213"/>
  <c r="H506" i="213"/>
  <c r="I506" i="213"/>
  <c r="J506" i="213"/>
  <c r="K506" i="213"/>
  <c r="L506" i="213"/>
  <c r="F103" i="213"/>
  <c r="G103" i="213"/>
  <c r="H103" i="213"/>
  <c r="I103" i="213"/>
  <c r="J103" i="213"/>
  <c r="K103" i="213"/>
  <c r="L103" i="213"/>
  <c r="F104" i="213"/>
  <c r="G104" i="213"/>
  <c r="H104" i="213"/>
  <c r="I104" i="213"/>
  <c r="J104" i="213"/>
  <c r="K104" i="213"/>
  <c r="L104" i="213"/>
  <c r="F105" i="213"/>
  <c r="G105" i="213"/>
  <c r="H105" i="213"/>
  <c r="I105" i="213"/>
  <c r="J105" i="213"/>
  <c r="K105" i="213"/>
  <c r="L105" i="213"/>
  <c r="G517" i="213"/>
  <c r="F518" i="213"/>
  <c r="H518" i="213"/>
  <c r="J112" i="213"/>
  <c r="J113" i="213"/>
  <c r="I114" i="213"/>
  <c r="F474" i="213"/>
  <c r="H474" i="213"/>
  <c r="J474" i="213"/>
  <c r="F475" i="213"/>
  <c r="G475" i="213"/>
  <c r="H475" i="213"/>
  <c r="I475" i="213"/>
  <c r="J475" i="213"/>
  <c r="K475" i="213"/>
  <c r="L475" i="213"/>
  <c r="F476" i="213"/>
  <c r="G476" i="213"/>
  <c r="H476" i="213"/>
  <c r="I476" i="213"/>
  <c r="J476" i="213"/>
  <c r="K476" i="213"/>
  <c r="L476" i="213"/>
  <c r="F477" i="213"/>
  <c r="G477" i="213"/>
  <c r="H477" i="213"/>
  <c r="I477" i="213"/>
  <c r="J477" i="213"/>
  <c r="K477" i="213"/>
  <c r="L477" i="213"/>
  <c r="F478" i="213"/>
  <c r="G478" i="213"/>
  <c r="H478" i="213"/>
  <c r="I478" i="213"/>
  <c r="J478" i="213"/>
  <c r="K478" i="213"/>
  <c r="L478" i="213"/>
  <c r="F479" i="213"/>
  <c r="G479" i="213"/>
  <c r="H479" i="213"/>
  <c r="I479" i="213"/>
  <c r="J479" i="213"/>
  <c r="K479" i="213"/>
  <c r="L479" i="213"/>
  <c r="G480" i="213"/>
  <c r="I480" i="213"/>
  <c r="K480" i="213"/>
  <c r="L480" i="213"/>
  <c r="G483" i="213"/>
  <c r="I483" i="213"/>
  <c r="K483" i="213"/>
  <c r="L483" i="213"/>
  <c r="F484" i="213"/>
  <c r="G484" i="213"/>
  <c r="H484" i="213"/>
  <c r="I484" i="213"/>
  <c r="J484" i="213"/>
  <c r="K484" i="213"/>
  <c r="L484" i="213"/>
  <c r="G485" i="213"/>
  <c r="I485" i="213"/>
  <c r="K485" i="213"/>
  <c r="L485" i="213"/>
  <c r="G486" i="213"/>
  <c r="I486" i="213"/>
  <c r="K486" i="213"/>
  <c r="L486" i="213"/>
  <c r="F487" i="213"/>
  <c r="G487" i="213"/>
  <c r="H487" i="213"/>
  <c r="I487" i="213"/>
  <c r="J487" i="213"/>
  <c r="K487" i="213"/>
  <c r="L487" i="213"/>
  <c r="F488" i="213"/>
  <c r="G488" i="213"/>
  <c r="H488" i="213"/>
  <c r="I488" i="213"/>
  <c r="J488" i="213"/>
  <c r="K488" i="213"/>
  <c r="L488" i="213"/>
  <c r="F491" i="213"/>
  <c r="F492" i="213"/>
  <c r="G86" i="213"/>
  <c r="H86" i="213"/>
  <c r="I86" i="213"/>
  <c r="J86" i="213"/>
  <c r="K86" i="213"/>
  <c r="L86" i="213"/>
  <c r="G87" i="213"/>
  <c r="I87" i="213"/>
  <c r="K87" i="213"/>
  <c r="L87" i="213"/>
  <c r="L88" i="213"/>
  <c r="G496" i="213"/>
  <c r="I90" i="213"/>
  <c r="K90" i="213"/>
  <c r="L90" i="213"/>
  <c r="F497" i="213"/>
  <c r="G497" i="213"/>
  <c r="H91" i="213"/>
  <c r="I91" i="213"/>
  <c r="J91" i="213"/>
  <c r="K91" i="213"/>
  <c r="L91" i="213"/>
  <c r="F499" i="213"/>
  <c r="H499" i="213"/>
  <c r="J93" i="213"/>
  <c r="L93" i="213"/>
  <c r="F500" i="213"/>
  <c r="G500" i="213"/>
  <c r="H500" i="213"/>
  <c r="I94" i="213"/>
  <c r="J94" i="213"/>
  <c r="K94" i="213"/>
  <c r="L94" i="213"/>
  <c r="F501" i="213"/>
  <c r="H501" i="213"/>
  <c r="J95" i="213"/>
  <c r="G502" i="213"/>
  <c r="I96" i="213"/>
  <c r="K96" i="213"/>
  <c r="L502" i="213"/>
  <c r="F503" i="213"/>
  <c r="G503" i="213"/>
  <c r="H503" i="213"/>
  <c r="I97" i="213"/>
  <c r="J503" i="213"/>
  <c r="K97" i="213"/>
  <c r="L503" i="213"/>
  <c r="F504" i="213"/>
  <c r="G504" i="213"/>
  <c r="H504" i="213"/>
  <c r="I98" i="213"/>
  <c r="J504" i="213"/>
  <c r="K504" i="213"/>
  <c r="L504" i="213"/>
  <c r="F505" i="213"/>
  <c r="G505" i="213"/>
  <c r="H505" i="213"/>
  <c r="I505" i="213"/>
  <c r="J505" i="213"/>
  <c r="K505" i="213"/>
  <c r="L505" i="213"/>
  <c r="F471" i="213"/>
  <c r="G471" i="213"/>
  <c r="H471" i="213"/>
  <c r="I471" i="213"/>
  <c r="J471" i="213"/>
  <c r="K471" i="213"/>
  <c r="L471" i="213"/>
  <c r="F472" i="213"/>
  <c r="G472" i="213"/>
  <c r="H472" i="213"/>
  <c r="I472" i="213"/>
  <c r="J472" i="213"/>
  <c r="K472" i="213"/>
  <c r="L472" i="213"/>
  <c r="H579" i="213" l="1"/>
  <c r="H520" i="213"/>
  <c r="G579" i="213"/>
  <c r="G520" i="213"/>
  <c r="F579" i="213"/>
  <c r="F520" i="213"/>
  <c r="L508" i="213"/>
  <c r="K508" i="213"/>
  <c r="J508" i="213"/>
  <c r="I508" i="213"/>
  <c r="H578" i="213"/>
  <c r="H519" i="213"/>
  <c r="H508" i="213"/>
  <c r="G508" i="213"/>
  <c r="L579" i="213"/>
  <c r="L520" i="213"/>
  <c r="F578" i="213"/>
  <c r="F519" i="213"/>
  <c r="F508" i="213"/>
  <c r="K579" i="213"/>
  <c r="K520" i="213"/>
  <c r="J579" i="213"/>
  <c r="J520" i="213"/>
  <c r="H577" i="213"/>
  <c r="F577" i="213"/>
  <c r="G576" i="213"/>
  <c r="L65" i="213"/>
  <c r="L530" i="213"/>
  <c r="G99" i="213"/>
  <c r="F94" i="213"/>
  <c r="K82" i="213"/>
  <c r="F81" i="213"/>
  <c r="G74" i="213"/>
  <c r="G539" i="213"/>
  <c r="I72" i="213"/>
  <c r="K70" i="213"/>
  <c r="K535" i="213"/>
  <c r="K244" i="213"/>
  <c r="F69" i="213"/>
  <c r="F534" i="213"/>
  <c r="F243" i="213"/>
  <c r="K65" i="213"/>
  <c r="K530" i="213"/>
  <c r="K239" i="213"/>
  <c r="F99" i="213"/>
  <c r="F564" i="213"/>
  <c r="H97" i="213"/>
  <c r="H562" i="213"/>
  <c r="J82" i="213"/>
  <c r="L80" i="213"/>
  <c r="L545" i="213"/>
  <c r="G79" i="213"/>
  <c r="G544" i="213"/>
  <c r="I77" i="213"/>
  <c r="I542" i="213"/>
  <c r="H72" i="213"/>
  <c r="J70" i="213"/>
  <c r="J535" i="213"/>
  <c r="J244" i="213"/>
  <c r="H99" i="213"/>
  <c r="H564" i="213"/>
  <c r="I79" i="213"/>
  <c r="I544" i="213"/>
  <c r="J65" i="213"/>
  <c r="J530" i="213"/>
  <c r="J239" i="213"/>
  <c r="L98" i="213"/>
  <c r="G97" i="213"/>
  <c r="I82" i="213"/>
  <c r="K80" i="213"/>
  <c r="K545" i="213"/>
  <c r="L73" i="213"/>
  <c r="L538" i="213"/>
  <c r="G72" i="213"/>
  <c r="I70" i="213"/>
  <c r="I535" i="213"/>
  <c r="I244" i="213"/>
  <c r="G81" i="213"/>
  <c r="I65" i="213"/>
  <c r="I530" i="213"/>
  <c r="I239" i="213"/>
  <c r="K98" i="213"/>
  <c r="F97" i="213"/>
  <c r="H95" i="213"/>
  <c r="H560" i="213"/>
  <c r="G90" i="213"/>
  <c r="G555" i="213"/>
  <c r="H82" i="213"/>
  <c r="L78" i="213"/>
  <c r="L543" i="213"/>
  <c r="G77" i="213"/>
  <c r="G542" i="213"/>
  <c r="K73" i="213"/>
  <c r="K538" i="213"/>
  <c r="F72" i="213"/>
  <c r="H70" i="213"/>
  <c r="H535" i="213"/>
  <c r="H244" i="213"/>
  <c r="J68" i="213"/>
  <c r="J533" i="213"/>
  <c r="J242" i="213"/>
  <c r="L70" i="213"/>
  <c r="L535" i="213"/>
  <c r="H65" i="213"/>
  <c r="H530" i="213"/>
  <c r="H239" i="213"/>
  <c r="J98" i="213"/>
  <c r="J563" i="213"/>
  <c r="L96" i="213"/>
  <c r="L561" i="213"/>
  <c r="G82" i="213"/>
  <c r="I80" i="213"/>
  <c r="I545" i="213"/>
  <c r="K78" i="213"/>
  <c r="K543" i="213"/>
  <c r="J73" i="213"/>
  <c r="J538" i="213"/>
  <c r="L71" i="213"/>
  <c r="G70" i="213"/>
  <c r="G535" i="213"/>
  <c r="G244" i="213"/>
  <c r="L100" i="213"/>
  <c r="L565" i="213"/>
  <c r="L66" i="213"/>
  <c r="L531" i="213"/>
  <c r="G65" i="213"/>
  <c r="G530" i="213"/>
  <c r="G239" i="213"/>
  <c r="F95" i="213"/>
  <c r="H93" i="213"/>
  <c r="H558" i="213"/>
  <c r="F82" i="213"/>
  <c r="J78" i="213"/>
  <c r="J543" i="213"/>
  <c r="I73" i="213"/>
  <c r="I538" i="213"/>
  <c r="K71" i="213"/>
  <c r="F70" i="213"/>
  <c r="F535" i="213"/>
  <c r="F244" i="213"/>
  <c r="H68" i="213"/>
  <c r="H533" i="213"/>
  <c r="H242" i="213"/>
  <c r="K100" i="213"/>
  <c r="K565" i="213"/>
  <c r="F66" i="213"/>
  <c r="F531" i="213"/>
  <c r="F240" i="213"/>
  <c r="G69" i="213"/>
  <c r="K66" i="213"/>
  <c r="K531" i="213"/>
  <c r="K240" i="213"/>
  <c r="F65" i="213"/>
  <c r="F530" i="213"/>
  <c r="F239" i="213"/>
  <c r="H98" i="213"/>
  <c r="H563" i="213"/>
  <c r="L81" i="213"/>
  <c r="G80" i="213"/>
  <c r="G545" i="213"/>
  <c r="I78" i="213"/>
  <c r="I543" i="213"/>
  <c r="H73" i="213"/>
  <c r="H538" i="213"/>
  <c r="J71" i="213"/>
  <c r="J536" i="213"/>
  <c r="J245" i="213"/>
  <c r="L69" i="213"/>
  <c r="J100" i="213"/>
  <c r="J565" i="213"/>
  <c r="L82" i="213"/>
  <c r="J66" i="213"/>
  <c r="J531" i="213"/>
  <c r="J240" i="213"/>
  <c r="L99" i="213"/>
  <c r="G98" i="213"/>
  <c r="F93" i="213"/>
  <c r="K81" i="213"/>
  <c r="H78" i="213"/>
  <c r="H543" i="213"/>
  <c r="L74" i="213"/>
  <c r="L539" i="213"/>
  <c r="G73" i="213"/>
  <c r="G538" i="213"/>
  <c r="I71" i="213"/>
  <c r="K69" i="213"/>
  <c r="F68" i="213"/>
  <c r="I100" i="213"/>
  <c r="I565" i="213"/>
  <c r="J97" i="213"/>
  <c r="J562" i="213"/>
  <c r="J72" i="213"/>
  <c r="I66" i="213"/>
  <c r="I531" i="213"/>
  <c r="I240" i="213"/>
  <c r="K99" i="213"/>
  <c r="F98" i="213"/>
  <c r="F563" i="213"/>
  <c r="G91" i="213"/>
  <c r="G556" i="213"/>
  <c r="F318" i="213"/>
  <c r="F551" i="213"/>
  <c r="J81" i="213"/>
  <c r="L79" i="213"/>
  <c r="L544" i="213"/>
  <c r="G78" i="213"/>
  <c r="G543" i="213"/>
  <c r="K74" i="213"/>
  <c r="K539" i="213"/>
  <c r="F73" i="213"/>
  <c r="H71" i="213"/>
  <c r="H536" i="213"/>
  <c r="H245" i="213"/>
  <c r="J69" i="213"/>
  <c r="J534" i="213"/>
  <c r="J243" i="213"/>
  <c r="H100" i="213"/>
  <c r="H565" i="213"/>
  <c r="K77" i="213"/>
  <c r="K542" i="213"/>
  <c r="H66" i="213"/>
  <c r="H531" i="213"/>
  <c r="H240" i="213"/>
  <c r="J99" i="213"/>
  <c r="J564" i="213"/>
  <c r="L97" i="213"/>
  <c r="G96" i="213"/>
  <c r="G561" i="213"/>
  <c r="F91" i="213"/>
  <c r="I81" i="213"/>
  <c r="K79" i="213"/>
  <c r="K544" i="213"/>
  <c r="F78" i="213"/>
  <c r="L72" i="213"/>
  <c r="G71" i="213"/>
  <c r="I69" i="213"/>
  <c r="G100" i="213"/>
  <c r="G565" i="213"/>
  <c r="G94" i="213"/>
  <c r="G66" i="213"/>
  <c r="G531" i="213"/>
  <c r="G240" i="213"/>
  <c r="I99" i="213"/>
  <c r="H94" i="213"/>
  <c r="H81" i="213"/>
  <c r="L77" i="213"/>
  <c r="L542" i="213"/>
  <c r="I74" i="213"/>
  <c r="I539" i="213"/>
  <c r="K72" i="213"/>
  <c r="F71" i="213"/>
  <c r="F536" i="213"/>
  <c r="F245" i="213"/>
  <c r="H69" i="213"/>
  <c r="H534" i="213"/>
  <c r="H243" i="213"/>
  <c r="F100" i="213"/>
  <c r="F565" i="213"/>
  <c r="H114" i="213"/>
  <c r="G114" i="213"/>
  <c r="F114" i="213"/>
  <c r="L114" i="213"/>
  <c r="K114" i="213"/>
  <c r="J114" i="213"/>
  <c r="H112" i="213"/>
  <c r="L334" i="213"/>
  <c r="F112" i="213"/>
  <c r="K334" i="213"/>
  <c r="J334" i="213"/>
  <c r="I334" i="213"/>
  <c r="H113" i="213"/>
  <c r="H334" i="213"/>
  <c r="G334" i="213"/>
  <c r="F113" i="213"/>
  <c r="F334" i="213"/>
  <c r="G111" i="213"/>
  <c r="G343" i="213"/>
  <c r="F85" i="213"/>
  <c r="F317" i="213"/>
  <c r="L102" i="213"/>
  <c r="K102" i="213"/>
  <c r="J102" i="213"/>
  <c r="I102" i="213"/>
  <c r="H102" i="213"/>
  <c r="G102" i="213"/>
  <c r="F102" i="213"/>
  <c r="F86" i="213"/>
  <c r="L304" i="213"/>
  <c r="F303" i="213"/>
  <c r="H346" i="213"/>
  <c r="F329" i="213"/>
  <c r="H314" i="213"/>
  <c r="H325" i="213"/>
  <c r="F314" i="213"/>
  <c r="H330" i="213"/>
  <c r="H304" i="213"/>
  <c r="H344" i="213"/>
  <c r="H327" i="213"/>
  <c r="F327" i="213"/>
  <c r="F325" i="213"/>
  <c r="H323" i="213"/>
  <c r="F330" i="213"/>
  <c r="F323" i="213"/>
  <c r="H326" i="213"/>
  <c r="H313" i="213"/>
  <c r="H331" i="213"/>
  <c r="F326" i="213"/>
  <c r="F313" i="213"/>
  <c r="F331" i="213"/>
  <c r="H329" i="213"/>
  <c r="F346" i="213"/>
  <c r="F304" i="213"/>
  <c r="F344" i="213"/>
  <c r="L303" i="213"/>
  <c r="H305" i="213"/>
  <c r="H345" i="213"/>
  <c r="H332" i="213"/>
  <c r="F305" i="213"/>
  <c r="H303" i="213"/>
  <c r="F345" i="213"/>
  <c r="F332" i="213"/>
  <c r="I313" i="213"/>
  <c r="K346" i="213"/>
  <c r="K304" i="213"/>
  <c r="J346" i="213"/>
  <c r="J329" i="213"/>
  <c r="K322" i="213"/>
  <c r="J304" i="213"/>
  <c r="I346" i="213"/>
  <c r="J344" i="213"/>
  <c r="K330" i="213"/>
  <c r="I328" i="213"/>
  <c r="J331" i="213"/>
  <c r="I326" i="213"/>
  <c r="I331" i="213"/>
  <c r="K329" i="213"/>
  <c r="I329" i="213"/>
  <c r="K314" i="213"/>
  <c r="I304" i="213"/>
  <c r="J327" i="213"/>
  <c r="I322" i="213"/>
  <c r="J314" i="213"/>
  <c r="J325" i="213"/>
  <c r="I314" i="213"/>
  <c r="K305" i="213"/>
  <c r="K332" i="213"/>
  <c r="J330" i="213"/>
  <c r="K323" i="213"/>
  <c r="J305" i="213"/>
  <c r="J345" i="213"/>
  <c r="J332" i="213"/>
  <c r="I330" i="213"/>
  <c r="K328" i="213"/>
  <c r="J323" i="213"/>
  <c r="I305" i="213"/>
  <c r="K303" i="213"/>
  <c r="I332" i="213"/>
  <c r="I323" i="213"/>
  <c r="J303" i="213"/>
  <c r="K326" i="213"/>
  <c r="K313" i="213"/>
  <c r="I303" i="213"/>
  <c r="K331" i="213"/>
  <c r="J326" i="213"/>
  <c r="J313" i="213"/>
  <c r="G303" i="213"/>
  <c r="G326" i="213"/>
  <c r="G313" i="213"/>
  <c r="G328" i="213"/>
  <c r="G331" i="213"/>
  <c r="G346" i="213"/>
  <c r="G329" i="213"/>
  <c r="G304" i="213"/>
  <c r="G322" i="213"/>
  <c r="G314" i="213"/>
  <c r="G330" i="213"/>
  <c r="G305" i="213"/>
  <c r="G332" i="213"/>
  <c r="G323" i="213"/>
  <c r="L326" i="213"/>
  <c r="L332" i="213"/>
  <c r="L325" i="213"/>
  <c r="L328" i="213"/>
  <c r="L330" i="213"/>
  <c r="L322" i="213"/>
  <c r="L313" i="213"/>
  <c r="L305" i="213"/>
  <c r="L331" i="213"/>
  <c r="L323" i="213"/>
  <c r="L314" i="213"/>
  <c r="L329" i="213"/>
  <c r="L346" i="213"/>
  <c r="L244" i="213"/>
  <c r="L239" i="213"/>
  <c r="L240" i="213"/>
  <c r="B522" i="213"/>
  <c r="B581" i="213"/>
  <c r="B464" i="213"/>
  <c r="B290" i="213"/>
  <c r="B406" i="213"/>
  <c r="B232" i="213"/>
  <c r="C57" i="212" l="1"/>
  <c r="C29" i="239" l="1"/>
  <c r="C19" i="237"/>
  <c r="C23" i="236"/>
  <c r="F37" i="212"/>
  <c r="F45" i="212"/>
  <c r="F49" i="212"/>
  <c r="F39" i="212"/>
  <c r="F51" i="212"/>
  <c r="F22" i="212"/>
  <c r="F26" i="212"/>
  <c r="F42" i="212"/>
  <c r="F54" i="212"/>
  <c r="F13" i="212"/>
  <c r="F9" i="212"/>
  <c r="F25" i="212"/>
  <c r="F21" i="212"/>
  <c r="F12" i="212"/>
  <c r="F50" i="212"/>
  <c r="F11" i="212"/>
  <c r="F34" i="212"/>
  <c r="F38" i="212"/>
  <c r="C48" i="239" l="1"/>
  <c r="C47" i="239"/>
  <c r="C44" i="239"/>
  <c r="C53" i="239"/>
  <c r="C55" i="239"/>
  <c r="C470" i="213"/>
  <c r="C458" i="213"/>
  <c r="C459" i="213"/>
  <c r="C460" i="213"/>
  <c r="C461" i="213"/>
  <c r="C462" i="213"/>
  <c r="C456" i="213"/>
  <c r="C457" i="213"/>
  <c r="C448" i="213"/>
  <c r="C449" i="213"/>
  <c r="C450" i="213"/>
  <c r="C451" i="213"/>
  <c r="C452" i="213"/>
  <c r="C453" i="213"/>
  <c r="C430" i="213"/>
  <c r="C432" i="213"/>
  <c r="C433" i="213"/>
  <c r="C434" i="213"/>
  <c r="C435" i="213"/>
  <c r="C436" i="213"/>
  <c r="C437" i="213"/>
  <c r="C438" i="213"/>
  <c r="C439" i="213"/>
  <c r="C440" i="213"/>
  <c r="C441" i="213"/>
  <c r="C442" i="213"/>
  <c r="C443" i="213"/>
  <c r="C444" i="213"/>
  <c r="C445" i="213"/>
  <c r="C446" i="213"/>
  <c r="C447" i="213"/>
  <c r="C413" i="213"/>
  <c r="C414" i="213"/>
  <c r="C415" i="213"/>
  <c r="C416" i="213"/>
  <c r="C417" i="213"/>
  <c r="C418" i="213"/>
  <c r="C419" i="213"/>
  <c r="C420" i="213"/>
  <c r="C421" i="213"/>
  <c r="C422" i="213"/>
  <c r="C423" i="213"/>
  <c r="C424" i="213"/>
  <c r="C425" i="213"/>
  <c r="C426" i="213"/>
  <c r="C427" i="213"/>
  <c r="C428" i="213"/>
  <c r="C429" i="213"/>
  <c r="C412" i="213"/>
  <c r="C285" i="213"/>
  <c r="E285" i="213" s="1"/>
  <c r="C286" i="213"/>
  <c r="C287" i="213"/>
  <c r="C288" i="213"/>
  <c r="E288" i="213" s="1"/>
  <c r="C284" i="213"/>
  <c r="E284" i="213" s="1"/>
  <c r="C271" i="213"/>
  <c r="E271" i="213" s="1"/>
  <c r="C272" i="213"/>
  <c r="E272" i="213" s="1"/>
  <c r="C273" i="213"/>
  <c r="E273" i="213" s="1"/>
  <c r="C274" i="213"/>
  <c r="C275" i="213"/>
  <c r="C276" i="213"/>
  <c r="E276" i="213" s="1"/>
  <c r="C277" i="213"/>
  <c r="C278" i="213"/>
  <c r="C279" i="213"/>
  <c r="E279" i="213" s="1"/>
  <c r="C282" i="213"/>
  <c r="C283" i="213"/>
  <c r="E283" i="213" s="1"/>
  <c r="C247" i="213"/>
  <c r="E247" i="213" s="1"/>
  <c r="C248" i="213"/>
  <c r="C249" i="213"/>
  <c r="C250" i="213"/>
  <c r="C251" i="213"/>
  <c r="C252" i="213"/>
  <c r="C253" i="213"/>
  <c r="C254" i="213"/>
  <c r="C255" i="213"/>
  <c r="E255" i="213" s="1"/>
  <c r="C256" i="213"/>
  <c r="E256" i="213" s="1"/>
  <c r="C258" i="213"/>
  <c r="C259" i="213"/>
  <c r="E259" i="213" s="1"/>
  <c r="C260" i="213"/>
  <c r="E260" i="213" s="1"/>
  <c r="C261" i="213"/>
  <c r="C262" i="213"/>
  <c r="C263" i="213"/>
  <c r="C264" i="213"/>
  <c r="C265" i="213"/>
  <c r="C266" i="213"/>
  <c r="C267" i="213"/>
  <c r="C269" i="213"/>
  <c r="C270" i="213"/>
  <c r="C404" i="213"/>
  <c r="C401" i="213"/>
  <c r="C402" i="213"/>
  <c r="C403" i="213"/>
  <c r="C355" i="213"/>
  <c r="C356" i="213"/>
  <c r="C357" i="213"/>
  <c r="C358" i="213"/>
  <c r="C359" i="213"/>
  <c r="E359" i="213" s="1"/>
  <c r="C360" i="213"/>
  <c r="C361" i="213"/>
  <c r="C362" i="213"/>
  <c r="C363" i="213"/>
  <c r="C364" i="213"/>
  <c r="C365" i="213"/>
  <c r="C366" i="213"/>
  <c r="C367" i="213"/>
  <c r="C368" i="213"/>
  <c r="C369" i="213"/>
  <c r="C370" i="213"/>
  <c r="C371" i="213"/>
  <c r="C372" i="213"/>
  <c r="C374" i="213"/>
  <c r="C375" i="213"/>
  <c r="C376" i="213"/>
  <c r="C377" i="213"/>
  <c r="C378" i="213"/>
  <c r="C379" i="213"/>
  <c r="C380" i="213"/>
  <c r="C381" i="213"/>
  <c r="C382" i="213"/>
  <c r="C383" i="213"/>
  <c r="C384" i="213"/>
  <c r="C385" i="213"/>
  <c r="C386" i="213"/>
  <c r="C387" i="213"/>
  <c r="C388" i="213"/>
  <c r="C389" i="213"/>
  <c r="C390" i="213"/>
  <c r="C391" i="213"/>
  <c r="C392" i="213"/>
  <c r="C393" i="213"/>
  <c r="C394" i="213"/>
  <c r="C395" i="213"/>
  <c r="C398" i="213"/>
  <c r="C399" i="213"/>
  <c r="C400" i="213"/>
  <c r="C354" i="213"/>
  <c r="C229" i="213"/>
  <c r="C230" i="213"/>
  <c r="E230" i="213" s="1"/>
  <c r="C181" i="213"/>
  <c r="C182" i="213"/>
  <c r="C183" i="213"/>
  <c r="C184" i="213"/>
  <c r="C185" i="213"/>
  <c r="E185" i="213" s="1"/>
  <c r="C186" i="213"/>
  <c r="C187" i="213"/>
  <c r="E187" i="213" s="1"/>
  <c r="C188" i="213"/>
  <c r="E188" i="213" s="1"/>
  <c r="C189" i="213"/>
  <c r="E189" i="213" s="1"/>
  <c r="C190" i="213"/>
  <c r="C191" i="213"/>
  <c r="C192" i="213"/>
  <c r="C193" i="213"/>
  <c r="C194" i="213"/>
  <c r="C195" i="213"/>
  <c r="C196" i="213"/>
  <c r="C197" i="213"/>
  <c r="E197" i="213" s="1"/>
  <c r="C198" i="213"/>
  <c r="E198" i="213" s="1"/>
  <c r="C200" i="213"/>
  <c r="C201" i="213"/>
  <c r="E201" i="213" s="1"/>
  <c r="C202" i="213"/>
  <c r="E202" i="213" s="1"/>
  <c r="C203" i="213"/>
  <c r="C204" i="213"/>
  <c r="C205" i="213"/>
  <c r="C206" i="213"/>
  <c r="C207" i="213"/>
  <c r="C208" i="213"/>
  <c r="C209" i="213"/>
  <c r="C210" i="213"/>
  <c r="E210" i="213" s="1"/>
  <c r="C211" i="213"/>
  <c r="C212" i="213"/>
  <c r="C213" i="213"/>
  <c r="E213" i="213" s="1"/>
  <c r="C214" i="213"/>
  <c r="E214" i="213" s="1"/>
  <c r="C215" i="213"/>
  <c r="E215" i="213" s="1"/>
  <c r="C216" i="213"/>
  <c r="C217" i="213"/>
  <c r="C218" i="213"/>
  <c r="E218" i="213" s="1"/>
  <c r="C219" i="213"/>
  <c r="C220" i="213"/>
  <c r="C221" i="213"/>
  <c r="E221" i="213" s="1"/>
  <c r="C224" i="213"/>
  <c r="C225" i="213"/>
  <c r="E225" i="213" s="1"/>
  <c r="C226" i="213"/>
  <c r="E226" i="213" s="1"/>
  <c r="C227" i="213"/>
  <c r="E227" i="213" s="1"/>
  <c r="C228" i="213"/>
  <c r="C180" i="213"/>
  <c r="C172" i="213"/>
  <c r="E172" i="213" s="1"/>
  <c r="C171" i="213"/>
  <c r="C170" i="213"/>
  <c r="C169" i="213"/>
  <c r="E169" i="213" s="1"/>
  <c r="C168" i="213"/>
  <c r="E168" i="213" s="1"/>
  <c r="C167" i="213"/>
  <c r="E167" i="213" s="1"/>
  <c r="C166" i="213"/>
  <c r="C163" i="213"/>
  <c r="E163" i="213" s="1"/>
  <c r="C162" i="213"/>
  <c r="C161" i="213"/>
  <c r="C160" i="213"/>
  <c r="E160" i="213" s="1"/>
  <c r="C159" i="213"/>
  <c r="C158" i="213"/>
  <c r="C157" i="213"/>
  <c r="E157" i="213" s="1"/>
  <c r="C156" i="213"/>
  <c r="E156" i="213" s="1"/>
  <c r="C155" i="213"/>
  <c r="E155" i="213" s="1"/>
  <c r="C154" i="213"/>
  <c r="C153" i="213"/>
  <c r="C152" i="213"/>
  <c r="E152" i="213" s="1"/>
  <c r="C151" i="213"/>
  <c r="C150" i="213"/>
  <c r="C149" i="213"/>
  <c r="C148" i="213"/>
  <c r="C147" i="213"/>
  <c r="C146" i="213"/>
  <c r="C145" i="213"/>
  <c r="C144" i="213"/>
  <c r="E144" i="213" s="1"/>
  <c r="C143" i="213"/>
  <c r="E143" i="213" s="1"/>
  <c r="C142" i="213"/>
  <c r="C140" i="213"/>
  <c r="E140" i="213" s="1"/>
  <c r="C139" i="213"/>
  <c r="E139" i="213" s="1"/>
  <c r="C138" i="213"/>
  <c r="C137" i="213"/>
  <c r="C136" i="213"/>
  <c r="C135" i="213"/>
  <c r="C134" i="213"/>
  <c r="C133" i="213"/>
  <c r="C132" i="213"/>
  <c r="C131" i="213"/>
  <c r="E131" i="213" s="1"/>
  <c r="C130" i="213"/>
  <c r="E130" i="213" s="1"/>
  <c r="C129" i="213"/>
  <c r="E129" i="213" s="1"/>
  <c r="C128" i="213"/>
  <c r="C127" i="213"/>
  <c r="E127" i="213" s="1"/>
  <c r="C126" i="213"/>
  <c r="C125" i="213"/>
  <c r="C124" i="213"/>
  <c r="C123" i="213"/>
  <c r="C122" i="213"/>
  <c r="G123" i="213" l="1"/>
  <c r="E442" i="213"/>
  <c r="D442" i="213"/>
  <c r="D127" i="213"/>
  <c r="E419" i="213"/>
  <c r="D419" i="213"/>
  <c r="E453" i="213"/>
  <c r="D453" i="213"/>
  <c r="E458" i="213"/>
  <c r="D458" i="213"/>
  <c r="E429" i="213"/>
  <c r="D429" i="213"/>
  <c r="E417" i="213"/>
  <c r="D417" i="213"/>
  <c r="D155" i="213"/>
  <c r="D131" i="213"/>
  <c r="D140" i="213"/>
  <c r="E450" i="213"/>
  <c r="D450" i="213"/>
  <c r="J450" i="213" s="1"/>
  <c r="D169" i="213"/>
  <c r="D129" i="213"/>
  <c r="D152" i="213"/>
  <c r="D143" i="213"/>
  <c r="F143" i="213" s="1"/>
  <c r="D130" i="213"/>
  <c r="E457" i="213"/>
  <c r="D457" i="213"/>
  <c r="D144" i="213"/>
  <c r="E447" i="213"/>
  <c r="D447" i="213"/>
  <c r="E446" i="213"/>
  <c r="D446" i="213"/>
  <c r="E434" i="213"/>
  <c r="D434" i="213"/>
  <c r="E462" i="213"/>
  <c r="D462" i="213"/>
  <c r="D160" i="213"/>
  <c r="D139" i="213"/>
  <c r="E445" i="213"/>
  <c r="D445" i="213"/>
  <c r="F445" i="213" s="1"/>
  <c r="E433" i="213"/>
  <c r="D433" i="213"/>
  <c r="D168" i="213"/>
  <c r="E421" i="213"/>
  <c r="D421" i="213"/>
  <c r="D157" i="213"/>
  <c r="D156" i="213"/>
  <c r="E420" i="213"/>
  <c r="D420" i="213"/>
  <c r="E430" i="213"/>
  <c r="D430" i="213"/>
  <c r="E459" i="213"/>
  <c r="D459" i="213"/>
  <c r="D172" i="213"/>
  <c r="D163" i="213"/>
  <c r="D167" i="213"/>
  <c r="G270" i="213"/>
  <c r="I270" i="213"/>
  <c r="K270" i="213"/>
  <c r="I258" i="213"/>
  <c r="G258" i="213"/>
  <c r="K258" i="213"/>
  <c r="G282" i="213"/>
  <c r="K282" i="213"/>
  <c r="I282" i="213"/>
  <c r="J287" i="213"/>
  <c r="F287" i="213"/>
  <c r="H287" i="213"/>
  <c r="H269" i="213"/>
  <c r="J269" i="213"/>
  <c r="H279" i="213"/>
  <c r="G279" i="213"/>
  <c r="K279" i="213"/>
  <c r="I279" i="213"/>
  <c r="J279" i="213"/>
  <c r="F279" i="213"/>
  <c r="J286" i="213"/>
  <c r="F286" i="213"/>
  <c r="H286" i="213"/>
  <c r="K278" i="213"/>
  <c r="J278" i="213"/>
  <c r="I278" i="213"/>
  <c r="H278" i="213"/>
  <c r="G278" i="213"/>
  <c r="F278" i="213"/>
  <c r="F285" i="213"/>
  <c r="J285" i="213"/>
  <c r="H285" i="213"/>
  <c r="K285" i="213"/>
  <c r="G285" i="213"/>
  <c r="I285" i="213"/>
  <c r="J267" i="213"/>
  <c r="H267" i="213"/>
  <c r="I254" i="213"/>
  <c r="K254" i="213"/>
  <c r="G254" i="213"/>
  <c r="J277" i="213"/>
  <c r="I277" i="213"/>
  <c r="K277" i="213"/>
  <c r="G277" i="213"/>
  <c r="H277" i="213"/>
  <c r="I253" i="213"/>
  <c r="K253" i="213"/>
  <c r="G253" i="213"/>
  <c r="J265" i="213"/>
  <c r="I265" i="213"/>
  <c r="K265" i="213"/>
  <c r="H265" i="213"/>
  <c r="G265" i="213"/>
  <c r="J252" i="213"/>
  <c r="I252" i="213"/>
  <c r="G252" i="213"/>
  <c r="K252" i="213"/>
  <c r="H252" i="213"/>
  <c r="I264" i="213"/>
  <c r="K264" i="213"/>
  <c r="G264" i="213"/>
  <c r="I251" i="213"/>
  <c r="G251" i="213"/>
  <c r="K251" i="213"/>
  <c r="K274" i="213"/>
  <c r="I274" i="213"/>
  <c r="G274" i="213"/>
  <c r="F274" i="213"/>
  <c r="J274" i="213"/>
  <c r="H274" i="213"/>
  <c r="J273" i="213"/>
  <c r="F273" i="213"/>
  <c r="H273" i="213"/>
  <c r="H272" i="213"/>
  <c r="F272" i="213"/>
  <c r="J272" i="213"/>
  <c r="G261" i="213"/>
  <c r="K261" i="213"/>
  <c r="I261" i="213"/>
  <c r="G248" i="213"/>
  <c r="K248" i="213"/>
  <c r="I248" i="213"/>
  <c r="H271" i="213"/>
  <c r="J271" i="213"/>
  <c r="H260" i="213"/>
  <c r="K260" i="213"/>
  <c r="G260" i="213"/>
  <c r="F260" i="213"/>
  <c r="I260" i="213"/>
  <c r="J260" i="213"/>
  <c r="J247" i="213"/>
  <c r="G247" i="213"/>
  <c r="K247" i="213"/>
  <c r="H247" i="213"/>
  <c r="I247" i="213"/>
  <c r="J284" i="213"/>
  <c r="F284" i="213"/>
  <c r="H284" i="213"/>
  <c r="I284" i="213"/>
  <c r="G284" i="213"/>
  <c r="K284" i="213"/>
  <c r="H259" i="213"/>
  <c r="J259" i="213"/>
  <c r="J283" i="213"/>
  <c r="H283" i="213"/>
  <c r="G283" i="213"/>
  <c r="I283" i="213"/>
  <c r="K283" i="213"/>
  <c r="I288" i="213"/>
  <c r="G288" i="213"/>
  <c r="H288" i="213"/>
  <c r="F288" i="213"/>
  <c r="J288" i="213"/>
  <c r="K288" i="213"/>
  <c r="G203" i="213"/>
  <c r="I203" i="213"/>
  <c r="K203" i="213"/>
  <c r="L203" i="213"/>
  <c r="G432" i="213"/>
  <c r="K432" i="213"/>
  <c r="I432" i="213"/>
  <c r="L432" i="213"/>
  <c r="F214" i="213"/>
  <c r="H214" i="213"/>
  <c r="J214" i="213"/>
  <c r="J202" i="213"/>
  <c r="K202" i="213"/>
  <c r="F202" i="213"/>
  <c r="G202" i="213"/>
  <c r="H202" i="213"/>
  <c r="I202" i="213"/>
  <c r="H400" i="213"/>
  <c r="K400" i="213"/>
  <c r="J400" i="213"/>
  <c r="L400" i="213"/>
  <c r="F400" i="213"/>
  <c r="G400" i="213"/>
  <c r="I400" i="213"/>
  <c r="G386" i="213"/>
  <c r="I386" i="213"/>
  <c r="K386" i="213"/>
  <c r="L386" i="213"/>
  <c r="G374" i="213"/>
  <c r="I374" i="213"/>
  <c r="K374" i="213"/>
  <c r="L374" i="213"/>
  <c r="L279" i="213"/>
  <c r="F443" i="213"/>
  <c r="H443" i="213"/>
  <c r="J443" i="213"/>
  <c r="F458" i="213"/>
  <c r="G458" i="213"/>
  <c r="I458" i="213"/>
  <c r="L458" i="213"/>
  <c r="H458" i="213"/>
  <c r="J458" i="213"/>
  <c r="K458" i="213"/>
  <c r="F226" i="213"/>
  <c r="G226" i="213"/>
  <c r="H226" i="213"/>
  <c r="I226" i="213"/>
  <c r="J226" i="213"/>
  <c r="K226" i="213"/>
  <c r="L226" i="213"/>
  <c r="I212" i="213"/>
  <c r="K212" i="213"/>
  <c r="L212" i="213"/>
  <c r="G212" i="213"/>
  <c r="K200" i="213"/>
  <c r="L200" i="213"/>
  <c r="G200" i="213"/>
  <c r="I200" i="213"/>
  <c r="I398" i="213"/>
  <c r="K398" i="213"/>
  <c r="L398" i="213"/>
  <c r="G398" i="213"/>
  <c r="L267" i="213"/>
  <c r="L277" i="213"/>
  <c r="L441" i="213"/>
  <c r="H441" i="213"/>
  <c r="F441" i="213"/>
  <c r="J441" i="213"/>
  <c r="J452" i="213"/>
  <c r="K452" i="213"/>
  <c r="L452" i="213"/>
  <c r="F452" i="213"/>
  <c r="G452" i="213"/>
  <c r="H452" i="213"/>
  <c r="I452" i="213"/>
  <c r="H387" i="213"/>
  <c r="J387" i="213"/>
  <c r="G444" i="213"/>
  <c r="I444" i="213"/>
  <c r="K444" i="213"/>
  <c r="L444" i="213"/>
  <c r="H213" i="213"/>
  <c r="J213" i="213"/>
  <c r="G225" i="213"/>
  <c r="H225" i="213"/>
  <c r="I225" i="213"/>
  <c r="J225" i="213"/>
  <c r="K225" i="213"/>
  <c r="H211" i="213"/>
  <c r="J211" i="213"/>
  <c r="G395" i="213"/>
  <c r="F395" i="213"/>
  <c r="H395" i="213"/>
  <c r="I395" i="213"/>
  <c r="J395" i="213"/>
  <c r="K395" i="213"/>
  <c r="L395" i="213"/>
  <c r="J383" i="213"/>
  <c r="H383" i="213"/>
  <c r="L383" i="213"/>
  <c r="F451" i="213"/>
  <c r="G451" i="213"/>
  <c r="H451" i="213"/>
  <c r="I451" i="213"/>
  <c r="J451" i="213"/>
  <c r="K451" i="213"/>
  <c r="L451" i="213"/>
  <c r="F453" i="213"/>
  <c r="G453" i="213"/>
  <c r="H453" i="213"/>
  <c r="I453" i="213"/>
  <c r="K453" i="213"/>
  <c r="L453" i="213"/>
  <c r="J453" i="213"/>
  <c r="K224" i="213"/>
  <c r="L224" i="213"/>
  <c r="G224" i="213"/>
  <c r="I224" i="213"/>
  <c r="K394" i="213"/>
  <c r="F394" i="213"/>
  <c r="G394" i="213"/>
  <c r="H394" i="213"/>
  <c r="I394" i="213"/>
  <c r="J394" i="213"/>
  <c r="L394" i="213"/>
  <c r="L265" i="213"/>
  <c r="F439" i="213"/>
  <c r="I439" i="213"/>
  <c r="J439" i="213"/>
  <c r="G439" i="213"/>
  <c r="H439" i="213"/>
  <c r="K439" i="213"/>
  <c r="L439" i="213"/>
  <c r="F215" i="213"/>
  <c r="H215" i="213"/>
  <c r="J215" i="213"/>
  <c r="L270" i="213"/>
  <c r="H221" i="213"/>
  <c r="I221" i="213"/>
  <c r="J221" i="213"/>
  <c r="K221" i="213"/>
  <c r="L221" i="213"/>
  <c r="F221" i="213"/>
  <c r="G221" i="213"/>
  <c r="H209" i="213"/>
  <c r="J209" i="213"/>
  <c r="L209" i="213"/>
  <c r="I393" i="213"/>
  <c r="G393" i="213"/>
  <c r="H393" i="213"/>
  <c r="J393" i="213"/>
  <c r="K393" i="213"/>
  <c r="L393" i="213"/>
  <c r="I381" i="213"/>
  <c r="L381" i="213"/>
  <c r="G381" i="213"/>
  <c r="H381" i="213"/>
  <c r="J381" i="213"/>
  <c r="K381" i="213"/>
  <c r="K356" i="213"/>
  <c r="L264" i="213"/>
  <c r="L274" i="213"/>
  <c r="I438" i="213"/>
  <c r="K438" i="213"/>
  <c r="G438" i="213"/>
  <c r="L438" i="213"/>
  <c r="F220" i="213"/>
  <c r="G220" i="213"/>
  <c r="H220" i="213"/>
  <c r="I220" i="213"/>
  <c r="J220" i="213"/>
  <c r="K220" i="213"/>
  <c r="L220" i="213"/>
  <c r="G380" i="213"/>
  <c r="I380" i="213"/>
  <c r="K380" i="213"/>
  <c r="L380" i="213"/>
  <c r="J355" i="213"/>
  <c r="F448" i="213"/>
  <c r="G448" i="213"/>
  <c r="H448" i="213"/>
  <c r="I448" i="213"/>
  <c r="J448" i="213"/>
  <c r="K448" i="213"/>
  <c r="L448" i="213"/>
  <c r="G399" i="213"/>
  <c r="H399" i="213"/>
  <c r="I399" i="213"/>
  <c r="J399" i="213"/>
  <c r="K399" i="213"/>
  <c r="J219" i="213"/>
  <c r="K219" i="213"/>
  <c r="L219" i="213"/>
  <c r="G219" i="213"/>
  <c r="H219" i="213"/>
  <c r="I219" i="213"/>
  <c r="G207" i="213"/>
  <c r="H207" i="213"/>
  <c r="I207" i="213"/>
  <c r="J207" i="213"/>
  <c r="K207" i="213"/>
  <c r="L207" i="213"/>
  <c r="L262" i="213"/>
  <c r="L436" i="213"/>
  <c r="K457" i="213"/>
  <c r="G457" i="213"/>
  <c r="H457" i="213"/>
  <c r="J457" i="213"/>
  <c r="F457" i="213"/>
  <c r="I457" i="213"/>
  <c r="L258" i="213"/>
  <c r="H385" i="213"/>
  <c r="J385" i="213"/>
  <c r="L278" i="213"/>
  <c r="G206" i="213"/>
  <c r="I206" i="213"/>
  <c r="K206" i="213"/>
  <c r="L206" i="213"/>
  <c r="F390" i="213"/>
  <c r="I390" i="213"/>
  <c r="H390" i="213"/>
  <c r="J390" i="213"/>
  <c r="K390" i="213"/>
  <c r="L390" i="213"/>
  <c r="G390" i="213"/>
  <c r="L378" i="213"/>
  <c r="F402" i="213"/>
  <c r="H402" i="213"/>
  <c r="J402" i="213"/>
  <c r="L261" i="213"/>
  <c r="J447" i="213"/>
  <c r="F447" i="213"/>
  <c r="H447" i="213"/>
  <c r="G435" i="213"/>
  <c r="I435" i="213"/>
  <c r="K435" i="213"/>
  <c r="L435" i="213"/>
  <c r="G456" i="213"/>
  <c r="I456" i="213"/>
  <c r="K456" i="213"/>
  <c r="L456" i="213"/>
  <c r="F389" i="213"/>
  <c r="H389" i="213"/>
  <c r="J389" i="213"/>
  <c r="L377" i="213"/>
  <c r="G377" i="213"/>
  <c r="I377" i="213"/>
  <c r="K377" i="213"/>
  <c r="F401" i="213"/>
  <c r="G401" i="213"/>
  <c r="H401" i="213"/>
  <c r="I401" i="213"/>
  <c r="J401" i="213"/>
  <c r="K401" i="213"/>
  <c r="L401" i="213"/>
  <c r="L284" i="213"/>
  <c r="F446" i="213"/>
  <c r="H446" i="213"/>
  <c r="J446" i="213"/>
  <c r="H434" i="213"/>
  <c r="I434" i="213"/>
  <c r="F434" i="213"/>
  <c r="G434" i="213"/>
  <c r="J434" i="213"/>
  <c r="K434" i="213"/>
  <c r="L375" i="213"/>
  <c r="H375" i="213"/>
  <c r="J375" i="213"/>
  <c r="L282" i="213"/>
  <c r="H201" i="213"/>
  <c r="J201" i="213"/>
  <c r="L201" i="213"/>
  <c r="L285" i="213"/>
  <c r="F216" i="213"/>
  <c r="G216" i="213"/>
  <c r="H216" i="213"/>
  <c r="I216" i="213"/>
  <c r="J216" i="213"/>
  <c r="K216" i="213"/>
  <c r="L216" i="213"/>
  <c r="L204" i="213"/>
  <c r="H388" i="213"/>
  <c r="J388" i="213"/>
  <c r="F388" i="213"/>
  <c r="H376" i="213"/>
  <c r="K376" i="213"/>
  <c r="F376" i="213"/>
  <c r="G376" i="213"/>
  <c r="I376" i="213"/>
  <c r="J376" i="213"/>
  <c r="L259" i="213"/>
  <c r="H445" i="213"/>
  <c r="J445" i="213"/>
  <c r="H433" i="213"/>
  <c r="J433" i="213"/>
  <c r="L433" i="213"/>
  <c r="G433" i="213"/>
  <c r="F433" i="213"/>
  <c r="F169" i="213"/>
  <c r="G169" i="213"/>
  <c r="H169" i="213"/>
  <c r="I169" i="213"/>
  <c r="J169" i="213"/>
  <c r="K169" i="213"/>
  <c r="L169" i="213"/>
  <c r="G166" i="213"/>
  <c r="I166" i="213"/>
  <c r="K166" i="213"/>
  <c r="L166" i="213"/>
  <c r="J167" i="213"/>
  <c r="K167" i="213"/>
  <c r="F167" i="213"/>
  <c r="G167" i="213"/>
  <c r="H167" i="213"/>
  <c r="I167" i="213"/>
  <c r="F168" i="213"/>
  <c r="G168" i="213"/>
  <c r="H168" i="213"/>
  <c r="I168" i="213"/>
  <c r="J168" i="213"/>
  <c r="K168" i="213"/>
  <c r="L168" i="213"/>
  <c r="H143" i="213"/>
  <c r="J143" i="213"/>
  <c r="L143" i="213"/>
  <c r="H170" i="213"/>
  <c r="J170" i="213"/>
  <c r="F170" i="213"/>
  <c r="F171" i="213"/>
  <c r="H171" i="213"/>
  <c r="J171" i="213"/>
  <c r="F144" i="213"/>
  <c r="G144" i="213"/>
  <c r="H144" i="213"/>
  <c r="I144" i="213"/>
  <c r="J144" i="213"/>
  <c r="K144" i="213"/>
  <c r="I142" i="213"/>
  <c r="K142" i="213"/>
  <c r="L142" i="213"/>
  <c r="G142" i="213"/>
  <c r="I161" i="213"/>
  <c r="H161" i="213"/>
  <c r="G161" i="213"/>
  <c r="F161" i="213"/>
  <c r="F127" i="213"/>
  <c r="H127" i="213"/>
  <c r="G135" i="213"/>
  <c r="I135" i="213"/>
  <c r="I124" i="213"/>
  <c r="H124" i="213"/>
  <c r="G124" i="213"/>
  <c r="F124" i="213"/>
  <c r="H151" i="213"/>
  <c r="F151" i="213"/>
  <c r="I128" i="213"/>
  <c r="G128" i="213"/>
  <c r="F128" i="213"/>
  <c r="H128" i="213"/>
  <c r="F153" i="213"/>
  <c r="H153" i="213"/>
  <c r="F158" i="213"/>
  <c r="I158" i="213"/>
  <c r="H158" i="213"/>
  <c r="G158" i="213"/>
  <c r="I162" i="213"/>
  <c r="H162" i="213"/>
  <c r="G162" i="213"/>
  <c r="F162" i="213"/>
  <c r="H126" i="213"/>
  <c r="F126" i="213"/>
  <c r="I163" i="213"/>
  <c r="H163" i="213"/>
  <c r="F163" i="213"/>
  <c r="G163" i="213"/>
  <c r="H155" i="213"/>
  <c r="F155" i="213"/>
  <c r="I137" i="213"/>
  <c r="G137" i="213"/>
  <c r="I138" i="213"/>
  <c r="G138" i="213"/>
  <c r="H129" i="213"/>
  <c r="F129" i="213"/>
  <c r="G154" i="213"/>
  <c r="I154" i="213"/>
  <c r="H156" i="213"/>
  <c r="F156" i="213"/>
  <c r="I149" i="213"/>
  <c r="H149" i="213"/>
  <c r="G149" i="213"/>
  <c r="F149" i="213"/>
  <c r="I131" i="213"/>
  <c r="H131" i="213"/>
  <c r="G131" i="213"/>
  <c r="F131" i="213"/>
  <c r="I132" i="213"/>
  <c r="G132" i="213"/>
  <c r="I145" i="213"/>
  <c r="G145" i="213"/>
  <c r="H157" i="213"/>
  <c r="F157" i="213"/>
  <c r="G172" i="213"/>
  <c r="F172" i="213"/>
  <c r="I172" i="213"/>
  <c r="H172" i="213"/>
  <c r="G148" i="213"/>
  <c r="I148" i="213"/>
  <c r="I136" i="213"/>
  <c r="H136" i="213"/>
  <c r="G136" i="213"/>
  <c r="H123" i="213"/>
  <c r="F123" i="213"/>
  <c r="I123" i="213"/>
  <c r="G182" i="213"/>
  <c r="F181" i="213"/>
  <c r="J149" i="213"/>
  <c r="L149" i="213"/>
  <c r="L181" i="213"/>
  <c r="K149" i="213"/>
  <c r="F182" i="213"/>
  <c r="F414" i="213"/>
  <c r="L414" i="213"/>
  <c r="K414" i="213"/>
  <c r="J414" i="213"/>
  <c r="I414" i="213"/>
  <c r="H414" i="213"/>
  <c r="L123" i="213"/>
  <c r="G181" i="213"/>
  <c r="H182" i="213"/>
  <c r="J356" i="213"/>
  <c r="I356" i="213"/>
  <c r="H356" i="213"/>
  <c r="G356" i="213"/>
  <c r="F356" i="213"/>
  <c r="L356" i="213"/>
  <c r="L413" i="213"/>
  <c r="K413" i="213"/>
  <c r="J413" i="213"/>
  <c r="I413" i="213"/>
  <c r="H413" i="213"/>
  <c r="G413" i="213"/>
  <c r="L124" i="213"/>
  <c r="K123" i="213"/>
  <c r="H181" i="213"/>
  <c r="I182" i="213"/>
  <c r="I355" i="213"/>
  <c r="H355" i="213"/>
  <c r="G355" i="213"/>
  <c r="F355" i="213"/>
  <c r="L355" i="213"/>
  <c r="K355" i="213"/>
  <c r="L158" i="213"/>
  <c r="K124" i="213"/>
  <c r="J123" i="213"/>
  <c r="I181" i="213"/>
  <c r="J182" i="213"/>
  <c r="K158" i="213"/>
  <c r="J124" i="213"/>
  <c r="J181" i="213"/>
  <c r="K182" i="213"/>
  <c r="F413" i="213"/>
  <c r="J158" i="213"/>
  <c r="K181" i="213"/>
  <c r="L182" i="213"/>
  <c r="G414" i="213"/>
  <c r="L272" i="213" l="1"/>
  <c r="L273" i="213"/>
  <c r="L276" i="213"/>
  <c r="L283" i="213"/>
  <c r="L260" i="213"/>
  <c r="L268" i="213"/>
  <c r="L271" i="213"/>
  <c r="L534" i="213"/>
  <c r="L546" i="213"/>
  <c r="L563" i="213"/>
  <c r="L536" i="213"/>
  <c r="L564" i="213"/>
  <c r="L537" i="213"/>
  <c r="L567" i="213"/>
  <c r="L562" i="213"/>
  <c r="L574" i="213"/>
  <c r="L547" i="213"/>
  <c r="L551" i="213"/>
  <c r="L559" i="213"/>
  <c r="L445" i="213"/>
  <c r="L457" i="213"/>
  <c r="L446" i="213"/>
  <c r="L447" i="213"/>
  <c r="L434" i="213"/>
  <c r="L450" i="213"/>
  <c r="L442" i="213"/>
  <c r="L210" i="213"/>
  <c r="L213" i="213"/>
  <c r="L225" i="213"/>
  <c r="L218" i="213"/>
  <c r="L214" i="213"/>
  <c r="L215" i="213"/>
  <c r="L202" i="213"/>
  <c r="I450" i="213"/>
  <c r="H450" i="213"/>
  <c r="K450" i="213"/>
  <c r="F450" i="213"/>
  <c r="G450" i="213"/>
  <c r="K433" i="213"/>
  <c r="I433" i="213"/>
  <c r="C64" i="212"/>
  <c r="C36" i="239" l="1"/>
  <c r="C60" i="239" s="1"/>
  <c r="C26" i="237"/>
  <c r="C30" i="236"/>
  <c r="M25" i="212"/>
  <c r="M39" i="212"/>
  <c r="M51" i="212"/>
  <c r="M26" i="212"/>
  <c r="M22" i="212"/>
  <c r="M34" i="212"/>
  <c r="M38" i="212"/>
  <c r="M42" i="212"/>
  <c r="M11" i="212"/>
  <c r="M50" i="212"/>
  <c r="M21" i="212"/>
  <c r="M49" i="212"/>
  <c r="M12" i="212"/>
  <c r="M45" i="212"/>
  <c r="M54" i="212"/>
  <c r="M13" i="212"/>
  <c r="M9" i="212"/>
  <c r="M37" i="212"/>
  <c r="C59" i="212"/>
  <c r="C61" i="212"/>
  <c r="C58" i="212"/>
  <c r="D551" i="213" l="1"/>
  <c r="D567" i="213"/>
  <c r="G567" i="213" s="1"/>
  <c r="D550" i="213"/>
  <c r="F550" i="213" s="1"/>
  <c r="D563" i="213"/>
  <c r="I563" i="213" s="1"/>
  <c r="D559" i="213"/>
  <c r="I559" i="213" s="1"/>
  <c r="D534" i="213"/>
  <c r="K534" i="213" s="1"/>
  <c r="D538" i="213"/>
  <c r="F538" i="213" s="1"/>
  <c r="D576" i="213"/>
  <c r="D546" i="213"/>
  <c r="H546" i="213" s="1"/>
  <c r="D536" i="213"/>
  <c r="G536" i="213" s="1"/>
  <c r="D562" i="213"/>
  <c r="F562" i="213" s="1"/>
  <c r="D547" i="213"/>
  <c r="K547" i="213" s="1"/>
  <c r="D579" i="213"/>
  <c r="D570" i="213"/>
  <c r="D564" i="213"/>
  <c r="I564" i="213" s="1"/>
  <c r="D537" i="213"/>
  <c r="H537" i="213" s="1"/>
  <c r="D574" i="213"/>
  <c r="F574" i="213" s="1"/>
  <c r="D575" i="213"/>
  <c r="C33" i="239"/>
  <c r="C23" i="237"/>
  <c r="C35" i="237" s="1"/>
  <c r="C27" i="236"/>
  <c r="C40" i="236" s="1"/>
  <c r="G37" i="236" s="1"/>
  <c r="C30" i="239"/>
  <c r="C20" i="237"/>
  <c r="C24" i="236"/>
  <c r="C31" i="239"/>
  <c r="C43" i="239" s="1"/>
  <c r="C21" i="237"/>
  <c r="C25" i="236"/>
  <c r="J9" i="212"/>
  <c r="H34" i="212"/>
  <c r="H38" i="212"/>
  <c r="H42" i="212"/>
  <c r="H37" i="212"/>
  <c r="H45" i="212"/>
  <c r="H49" i="212"/>
  <c r="H26" i="212"/>
  <c r="H13" i="212"/>
  <c r="H9" i="212"/>
  <c r="H39" i="212"/>
  <c r="H54" i="212"/>
  <c r="H11" i="212"/>
  <c r="H25" i="212"/>
  <c r="H21" i="212"/>
  <c r="H51" i="212"/>
  <c r="H50" i="212"/>
  <c r="H12" i="212"/>
  <c r="H22" i="212"/>
  <c r="G37" i="212"/>
  <c r="G45" i="212"/>
  <c r="G49" i="212"/>
  <c r="G25" i="212"/>
  <c r="G21" i="212"/>
  <c r="G38" i="212"/>
  <c r="G22" i="212"/>
  <c r="G26" i="212"/>
  <c r="G13" i="212"/>
  <c r="G9" i="212"/>
  <c r="G39" i="212"/>
  <c r="G42" i="212"/>
  <c r="G54" i="212"/>
  <c r="G50" i="212"/>
  <c r="G11" i="212"/>
  <c r="G34" i="212"/>
  <c r="G51" i="212"/>
  <c r="G12" i="212"/>
  <c r="K567" i="213"/>
  <c r="J567" i="213"/>
  <c r="C51" i="239" l="1"/>
  <c r="C50" i="239"/>
  <c r="C3" i="241"/>
  <c r="G33" i="237"/>
  <c r="G3" i="241" s="1"/>
  <c r="C61" i="239"/>
  <c r="C62" i="239" s="1"/>
  <c r="G61" i="239" s="1"/>
  <c r="E3" i="241" s="1"/>
  <c r="E7" i="241" s="1"/>
  <c r="J546" i="213"/>
  <c r="G550" i="213"/>
  <c r="K559" i="213"/>
  <c r="K550" i="213"/>
  <c r="J559" i="213"/>
  <c r="G564" i="213"/>
  <c r="I550" i="213"/>
  <c r="F567" i="213"/>
  <c r="K536" i="213"/>
  <c r="K563" i="213"/>
  <c r="H567" i="213"/>
  <c r="F546" i="213"/>
  <c r="G546" i="213"/>
  <c r="I567" i="213"/>
  <c r="I546" i="213"/>
  <c r="G562" i="213"/>
  <c r="K564" i="213"/>
  <c r="I562" i="213"/>
  <c r="I536" i="213"/>
  <c r="F537" i="213"/>
  <c r="K546" i="213"/>
  <c r="J537" i="213"/>
  <c r="F559" i="213"/>
  <c r="G559" i="213"/>
  <c r="H559" i="213"/>
  <c r="K537" i="213"/>
  <c r="G563" i="213"/>
  <c r="G537" i="213"/>
  <c r="J547" i="213"/>
  <c r="G547" i="213"/>
  <c r="D359" i="213"/>
  <c r="H547" i="213"/>
  <c r="D227" i="213"/>
  <c r="D288" i="213"/>
  <c r="D272" i="213"/>
  <c r="K272" i="213" s="1"/>
  <c r="D198" i="213"/>
  <c r="I547" i="213"/>
  <c r="D210" i="213"/>
  <c r="I210" i="213" s="1"/>
  <c r="D201" i="213"/>
  <c r="F201" i="213" s="1"/>
  <c r="D273" i="213"/>
  <c r="G273" i="213" s="1"/>
  <c r="D259" i="213"/>
  <c r="F259" i="213" s="1"/>
  <c r="D188" i="213"/>
  <c r="D187" i="213"/>
  <c r="D225" i="213"/>
  <c r="F225" i="213" s="1"/>
  <c r="D243" i="213"/>
  <c r="G243" i="213" s="1"/>
  <c r="D268" i="213"/>
  <c r="I268" i="213" s="1"/>
  <c r="D245" i="213"/>
  <c r="I245" i="213" s="1"/>
  <c r="D226" i="213"/>
  <c r="D221" i="213"/>
  <c r="D247" i="213"/>
  <c r="F247" i="213" s="1"/>
  <c r="D214" i="213"/>
  <c r="G214" i="213" s="1"/>
  <c r="D213" i="213"/>
  <c r="F213" i="213" s="1"/>
  <c r="D260" i="213"/>
  <c r="D230" i="213"/>
  <c r="I537" i="213"/>
  <c r="G534" i="213"/>
  <c r="D218" i="213"/>
  <c r="J218" i="213" s="1"/>
  <c r="D256" i="213"/>
  <c r="I256" i="213" s="1"/>
  <c r="D283" i="213"/>
  <c r="F283" i="213" s="1"/>
  <c r="F547" i="213"/>
  <c r="D215" i="213"/>
  <c r="K215" i="213" s="1"/>
  <c r="D246" i="213"/>
  <c r="H246" i="213" s="1"/>
  <c r="D279" i="213"/>
  <c r="D255" i="213"/>
  <c r="I255" i="213" s="1"/>
  <c r="D197" i="213"/>
  <c r="I534" i="213"/>
  <c r="K562" i="213"/>
  <c r="D185" i="213"/>
  <c r="D284" i="213"/>
  <c r="D271" i="213"/>
  <c r="F271" i="213" s="1"/>
  <c r="D202" i="213"/>
  <c r="D189" i="213"/>
  <c r="D285" i="213"/>
  <c r="D276" i="213"/>
  <c r="I276" i="213" s="1"/>
  <c r="K201" i="213"/>
  <c r="I201" i="213"/>
  <c r="I446" i="213"/>
  <c r="K446" i="213"/>
  <c r="G446" i="213"/>
  <c r="H442" i="213"/>
  <c r="I442" i="213"/>
  <c r="J442" i="213"/>
  <c r="K442" i="213"/>
  <c r="F442" i="213"/>
  <c r="G442" i="213"/>
  <c r="I447" i="213"/>
  <c r="K447" i="213"/>
  <c r="G447" i="213"/>
  <c r="I445" i="213"/>
  <c r="K445" i="213"/>
  <c r="G445" i="213"/>
  <c r="C9" i="241" l="1"/>
  <c r="C5" i="241"/>
  <c r="C7" i="241"/>
  <c r="G9" i="241"/>
  <c r="G5" i="241"/>
  <c r="G7" i="241"/>
  <c r="K210" i="213"/>
  <c r="G246" i="213"/>
  <c r="K273" i="213"/>
  <c r="E5" i="241"/>
  <c r="E9" i="241"/>
  <c r="I272" i="213"/>
  <c r="G272" i="213"/>
  <c r="G215" i="213"/>
  <c r="I215" i="213"/>
  <c r="K276" i="213"/>
  <c r="I273" i="213"/>
  <c r="K268" i="213"/>
  <c r="K214" i="213"/>
  <c r="H218" i="213"/>
  <c r="G213" i="213"/>
  <c r="I213" i="213"/>
  <c r="I214" i="213"/>
  <c r="I243" i="213"/>
  <c r="J268" i="213"/>
  <c r="K218" i="213"/>
  <c r="K213" i="213"/>
  <c r="F268" i="213"/>
  <c r="H268" i="213"/>
  <c r="G201" i="213"/>
  <c r="G268" i="213"/>
  <c r="F256" i="213"/>
  <c r="H276" i="213"/>
  <c r="J276" i="213"/>
  <c r="K243" i="213"/>
  <c r="J256" i="213"/>
  <c r="G256" i="213"/>
  <c r="H256" i="213"/>
  <c r="K246" i="213"/>
  <c r="F246" i="213"/>
  <c r="F218" i="213"/>
  <c r="I218" i="213"/>
  <c r="H255" i="213"/>
  <c r="H210" i="213"/>
  <c r="K255" i="213"/>
  <c r="K256" i="213"/>
  <c r="G210" i="213"/>
  <c r="G255" i="213"/>
  <c r="J210" i="213"/>
  <c r="G218" i="213"/>
  <c r="F210" i="213"/>
  <c r="J255" i="213"/>
  <c r="F255" i="213"/>
  <c r="G259" i="213"/>
  <c r="K245" i="213"/>
  <c r="I259" i="213"/>
  <c r="G245" i="213"/>
  <c r="K259" i="213"/>
  <c r="F276" i="213"/>
  <c r="G271" i="213"/>
  <c r="I246" i="213"/>
  <c r="I271" i="213"/>
  <c r="G276" i="213"/>
  <c r="J246" i="213"/>
  <c r="K271" i="213"/>
  <c r="J186" i="213" l="1"/>
  <c r="J418" i="213"/>
  <c r="J128" i="213"/>
  <c r="J360" i="213"/>
  <c r="J131" i="213"/>
  <c r="J421" i="213"/>
  <c r="J363" i="213"/>
  <c r="J189" i="213"/>
  <c r="J429" i="213"/>
  <c r="J163" i="213"/>
  <c r="I227" i="213"/>
  <c r="I459" i="213"/>
  <c r="J361" i="213"/>
  <c r="J187" i="213"/>
  <c r="J129" i="213"/>
  <c r="J419" i="213"/>
  <c r="I421" i="213"/>
  <c r="I363" i="213"/>
  <c r="I189" i="213"/>
  <c r="I429" i="213"/>
  <c r="H227" i="213"/>
  <c r="H459" i="213"/>
  <c r="I419" i="213"/>
  <c r="G227" i="213"/>
  <c r="G459" i="213"/>
  <c r="H189" i="213"/>
  <c r="H421" i="213"/>
  <c r="H363" i="213"/>
  <c r="H419" i="213"/>
  <c r="H187" i="213"/>
  <c r="H361" i="213"/>
  <c r="G360" i="213"/>
  <c r="G418" i="213"/>
  <c r="G186" i="213"/>
  <c r="G189" i="213"/>
  <c r="G363" i="213"/>
  <c r="G421" i="213"/>
  <c r="G429" i="213"/>
  <c r="F227" i="213"/>
  <c r="F459" i="213"/>
  <c r="H186" i="213"/>
  <c r="H360" i="213"/>
  <c r="H418" i="213"/>
  <c r="G419" i="213"/>
  <c r="F360" i="213"/>
  <c r="F418" i="213"/>
  <c r="F186" i="213"/>
  <c r="F189" i="213"/>
  <c r="F421" i="213"/>
  <c r="F429" i="213"/>
  <c r="L161" i="213"/>
  <c r="I418" i="213"/>
  <c r="I186" i="213"/>
  <c r="I360" i="213"/>
  <c r="H429" i="213"/>
  <c r="F361" i="213"/>
  <c r="F187" i="213"/>
  <c r="F419" i="213"/>
  <c r="L162" i="213"/>
  <c r="K161" i="213"/>
  <c r="L459" i="213"/>
  <c r="L227" i="213"/>
  <c r="K419" i="213"/>
  <c r="L360" i="213"/>
  <c r="L186" i="213"/>
  <c r="L418" i="213"/>
  <c r="L128" i="213"/>
  <c r="L363" i="213"/>
  <c r="L131" i="213"/>
  <c r="L247" i="213"/>
  <c r="L421" i="213"/>
  <c r="L189" i="213"/>
  <c r="L163" i="213"/>
  <c r="K162" i="213"/>
  <c r="J161" i="213"/>
  <c r="K459" i="213"/>
  <c r="K227" i="213"/>
  <c r="K360" i="213"/>
  <c r="K128" i="213"/>
  <c r="K186" i="213"/>
  <c r="K418" i="213"/>
  <c r="K189" i="213"/>
  <c r="K131" i="213"/>
  <c r="K363" i="213"/>
  <c r="K421" i="213"/>
  <c r="K429" i="213"/>
  <c r="K163" i="213"/>
  <c r="J162" i="213"/>
  <c r="J227" i="213"/>
  <c r="J459" i="213"/>
  <c r="J130" i="212" l="1"/>
  <c r="E401" i="213" s="1"/>
  <c r="J51" i="212"/>
  <c r="J124" i="212"/>
  <c r="E395" i="213" s="1"/>
  <c r="J45" i="212"/>
  <c r="J129" i="212"/>
  <c r="E400" i="213" s="1"/>
  <c r="J50" i="212"/>
  <c r="J100" i="212"/>
  <c r="E371" i="213" s="1"/>
  <c r="J21" i="212"/>
  <c r="J92" i="212"/>
  <c r="E363" i="213" s="1"/>
  <c r="J13" i="212"/>
  <c r="J90" i="212"/>
  <c r="E361" i="213" s="1"/>
  <c r="J11" i="212"/>
  <c r="L139" i="213"/>
  <c r="J113" i="212" l="1"/>
  <c r="E384" i="213" s="1"/>
  <c r="L384" i="213" s="1"/>
  <c r="J34" i="212"/>
  <c r="D363" i="213"/>
  <c r="F363" i="213" s="1"/>
  <c r="D400" i="213"/>
  <c r="D395" i="213"/>
  <c r="D371" i="213"/>
  <c r="H371" i="213" s="1"/>
  <c r="D401" i="213"/>
  <c r="D361" i="213"/>
  <c r="G361" i="213" s="1"/>
  <c r="D384" i="213"/>
  <c r="F384" i="213" s="1"/>
  <c r="G129" i="213"/>
  <c r="G139" i="213"/>
  <c r="K139" i="213"/>
  <c r="H139" i="213"/>
  <c r="F139" i="213"/>
  <c r="I139" i="213"/>
  <c r="J139" i="213"/>
  <c r="J101" i="212" l="1"/>
  <c r="E372" i="213" s="1"/>
  <c r="L372" i="213" s="1"/>
  <c r="J22" i="212"/>
  <c r="H384" i="213"/>
  <c r="K384" i="213"/>
  <c r="J384" i="213"/>
  <c r="I384" i="213"/>
  <c r="G384" i="213"/>
  <c r="I361" i="213"/>
  <c r="I371" i="213"/>
  <c r="K371" i="213"/>
  <c r="J371" i="213"/>
  <c r="K361" i="213"/>
  <c r="G371" i="213"/>
  <c r="F371" i="213"/>
  <c r="D372" i="213"/>
  <c r="G372" i="213" s="1"/>
  <c r="J105" i="212"/>
  <c r="E376" i="213" s="1"/>
  <c r="L376" i="213" s="1"/>
  <c r="J26" i="212"/>
  <c r="J128" i="212"/>
  <c r="E399" i="213" s="1"/>
  <c r="L399" i="213" s="1"/>
  <c r="J49" i="212"/>
  <c r="J104" i="212"/>
  <c r="E375" i="213" s="1"/>
  <c r="J25" i="212"/>
  <c r="I129" i="213"/>
  <c r="K372" i="213" l="1"/>
  <c r="J372" i="213"/>
  <c r="F372" i="213"/>
  <c r="I372" i="213"/>
  <c r="H372" i="213"/>
  <c r="D375" i="213"/>
  <c r="F375" i="213" s="1"/>
  <c r="D399" i="213"/>
  <c r="F399" i="213" s="1"/>
  <c r="D376" i="213"/>
  <c r="L144" i="213"/>
  <c r="I375" i="213" l="1"/>
  <c r="G375" i="213"/>
  <c r="K375" i="213"/>
  <c r="J91" i="212"/>
  <c r="E362" i="213" s="1"/>
  <c r="J12" i="212"/>
  <c r="J118" i="212"/>
  <c r="E389" i="213" s="1"/>
  <c r="L389" i="213" s="1"/>
  <c r="J39" i="212"/>
  <c r="J121" i="212"/>
  <c r="E392" i="213" s="1"/>
  <c r="L392" i="213" s="1"/>
  <c r="J42" i="212"/>
  <c r="J133" i="212"/>
  <c r="E404" i="213" s="1"/>
  <c r="J54" i="212"/>
  <c r="J116" i="212"/>
  <c r="E387" i="213" s="1"/>
  <c r="L387" i="213" s="1"/>
  <c r="J37" i="212"/>
  <c r="J117" i="212"/>
  <c r="E388" i="213" s="1"/>
  <c r="L388" i="213" s="1"/>
  <c r="J38" i="212"/>
  <c r="L167" i="213"/>
  <c r="L140" i="213"/>
  <c r="D404" i="213" l="1"/>
  <c r="D392" i="213"/>
  <c r="K392" i="213" s="1"/>
  <c r="D388" i="213"/>
  <c r="K388" i="213" s="1"/>
  <c r="D387" i="213"/>
  <c r="F387" i="213" s="1"/>
  <c r="D389" i="213"/>
  <c r="I389" i="213" s="1"/>
  <c r="D362" i="213"/>
  <c r="J140" i="213"/>
  <c r="F140" i="213"/>
  <c r="H140" i="213"/>
  <c r="I140" i="213"/>
  <c r="K140" i="213"/>
  <c r="G140" i="213"/>
  <c r="G143" i="213"/>
  <c r="I143" i="213"/>
  <c r="K143" i="213"/>
  <c r="G367" i="213"/>
  <c r="G425" i="213"/>
  <c r="G193" i="213"/>
  <c r="I369" i="213"/>
  <c r="I427" i="213"/>
  <c r="I195" i="213"/>
  <c r="H194" i="213"/>
  <c r="H368" i="213"/>
  <c r="H426" i="213"/>
  <c r="G422" i="213"/>
  <c r="G364" i="213"/>
  <c r="G190" i="213"/>
  <c r="L135" i="213"/>
  <c r="L251" i="213"/>
  <c r="L367" i="213"/>
  <c r="L425" i="213"/>
  <c r="L193" i="213"/>
  <c r="K193" i="213"/>
  <c r="K367" i="213"/>
  <c r="K425" i="213"/>
  <c r="K135" i="213"/>
  <c r="L145" i="213"/>
  <c r="L137" i="213"/>
  <c r="L195" i="213"/>
  <c r="L253" i="213"/>
  <c r="L427" i="213"/>
  <c r="L369" i="213"/>
  <c r="K194" i="213"/>
  <c r="K368" i="213"/>
  <c r="K426" i="213"/>
  <c r="K136" i="213"/>
  <c r="L148" i="213"/>
  <c r="K145" i="213"/>
  <c r="I425" i="213"/>
  <c r="I193" i="213"/>
  <c r="I367" i="213"/>
  <c r="L138" i="213"/>
  <c r="L428" i="213"/>
  <c r="L370" i="213"/>
  <c r="L254" i="213"/>
  <c r="L196" i="213"/>
  <c r="K137" i="213"/>
  <c r="K195" i="213"/>
  <c r="K427" i="213"/>
  <c r="K369" i="213"/>
  <c r="L154" i="213"/>
  <c r="K148" i="213"/>
  <c r="K196" i="213"/>
  <c r="K370" i="213"/>
  <c r="K138" i="213"/>
  <c r="K428" i="213"/>
  <c r="I194" i="213"/>
  <c r="I426" i="213"/>
  <c r="I368" i="213"/>
  <c r="K154" i="213"/>
  <c r="I196" i="213"/>
  <c r="I370" i="213"/>
  <c r="I428" i="213"/>
  <c r="G368" i="213"/>
  <c r="G426" i="213"/>
  <c r="G194" i="213"/>
  <c r="G427" i="213"/>
  <c r="G195" i="213"/>
  <c r="G369" i="213"/>
  <c r="F368" i="213"/>
  <c r="F194" i="213"/>
  <c r="F426" i="213"/>
  <c r="G196" i="213"/>
  <c r="G428" i="213"/>
  <c r="G370" i="213"/>
  <c r="L190" i="213"/>
  <c r="L248" i="213"/>
  <c r="L422" i="213"/>
  <c r="L132" i="213"/>
  <c r="L364" i="213"/>
  <c r="L136" i="213"/>
  <c r="L368" i="213"/>
  <c r="L252" i="213"/>
  <c r="L194" i="213"/>
  <c r="L426" i="213"/>
  <c r="K132" i="213"/>
  <c r="K190" i="213"/>
  <c r="K422" i="213"/>
  <c r="K364" i="213"/>
  <c r="J136" i="213"/>
  <c r="J368" i="213"/>
  <c r="J194" i="213"/>
  <c r="J426" i="213"/>
  <c r="I190" i="213"/>
  <c r="I422" i="213"/>
  <c r="I364" i="213"/>
  <c r="I388" i="213" l="1"/>
  <c r="G388" i="213"/>
  <c r="H392" i="213"/>
  <c r="G389" i="213"/>
  <c r="K389" i="213"/>
  <c r="I392" i="213"/>
  <c r="F392" i="213"/>
  <c r="J392" i="213"/>
  <c r="G392" i="213"/>
  <c r="G387" i="213"/>
  <c r="I387" i="213"/>
  <c r="K387" i="213"/>
  <c r="L129" i="213"/>
  <c r="K129" i="213" l="1"/>
  <c r="L245" i="213" l="1"/>
  <c r="L246" i="213"/>
  <c r="L255" i="213" l="1"/>
  <c r="I160" i="213" l="1"/>
  <c r="G160" i="213"/>
  <c r="F160" i="213"/>
  <c r="H160" i="213"/>
  <c r="G155" i="213"/>
  <c r="I155" i="213"/>
  <c r="I152" i="213"/>
  <c r="H152" i="213"/>
  <c r="F152" i="213"/>
  <c r="G152" i="213"/>
  <c r="L301" i="213"/>
  <c r="L243" i="213"/>
  <c r="F130" i="213"/>
  <c r="G157" i="213" l="1"/>
  <c r="I157" i="213"/>
  <c r="H130" i="213"/>
  <c r="I130" i="213"/>
  <c r="G130" i="213"/>
  <c r="G156" i="213"/>
  <c r="I156" i="213"/>
  <c r="G127" i="213"/>
  <c r="I127" i="213"/>
  <c r="H301" i="213"/>
  <c r="J301" i="213"/>
  <c r="F301" i="213"/>
  <c r="G301" i="213"/>
  <c r="I301" i="213"/>
  <c r="K301" i="213"/>
  <c r="H358" i="213" l="1"/>
  <c r="H416" i="213"/>
  <c r="H184" i="213"/>
  <c r="I417" i="213"/>
  <c r="I359" i="213"/>
  <c r="J420" i="213"/>
  <c r="J362" i="213"/>
  <c r="L256" i="213"/>
  <c r="J151" i="213"/>
  <c r="J156" i="213"/>
  <c r="H404" i="213"/>
  <c r="H230" i="213"/>
  <c r="H462" i="213"/>
  <c r="F460" i="213"/>
  <c r="F228" i="213"/>
  <c r="J185" i="213"/>
  <c r="J359" i="213"/>
  <c r="J417" i="213"/>
  <c r="J127" i="213"/>
  <c r="K362" i="213"/>
  <c r="K420" i="213"/>
  <c r="L146" i="213"/>
  <c r="G404" i="213"/>
  <c r="G230" i="213"/>
  <c r="G462" i="213"/>
  <c r="F229" i="213"/>
  <c r="F403" i="213"/>
  <c r="F461" i="213"/>
  <c r="J184" i="213"/>
  <c r="J358" i="213"/>
  <c r="J126" i="213"/>
  <c r="J416" i="213"/>
  <c r="K417" i="213"/>
  <c r="K359" i="213"/>
  <c r="F430" i="213"/>
  <c r="L151" i="213"/>
  <c r="J155" i="213"/>
  <c r="F404" i="213"/>
  <c r="F230" i="213"/>
  <c r="F462" i="213"/>
  <c r="G430" i="213"/>
  <c r="F362" i="213"/>
  <c r="F420" i="213"/>
  <c r="H430" i="213"/>
  <c r="J153" i="213"/>
  <c r="L404" i="213"/>
  <c r="L230" i="213"/>
  <c r="L172" i="213"/>
  <c r="L462" i="213"/>
  <c r="L288" i="213"/>
  <c r="J228" i="213"/>
  <c r="J460" i="213"/>
  <c r="F185" i="213"/>
  <c r="F359" i="213"/>
  <c r="F417" i="213"/>
  <c r="G362" i="213"/>
  <c r="G420" i="213"/>
  <c r="I430" i="213"/>
  <c r="K230" i="213"/>
  <c r="K172" i="213"/>
  <c r="K404" i="213"/>
  <c r="K462" i="213"/>
  <c r="J229" i="213"/>
  <c r="J403" i="213"/>
  <c r="J461" i="213"/>
  <c r="F184" i="213"/>
  <c r="F358" i="213"/>
  <c r="F416" i="213"/>
  <c r="G417" i="213"/>
  <c r="G359" i="213"/>
  <c r="H362" i="213"/>
  <c r="H420" i="213"/>
  <c r="J430" i="213"/>
  <c r="J157" i="213"/>
  <c r="J172" i="213"/>
  <c r="J404" i="213"/>
  <c r="J230" i="213"/>
  <c r="J462" i="213"/>
  <c r="H460" i="213"/>
  <c r="H228" i="213"/>
  <c r="H359" i="213"/>
  <c r="H417" i="213"/>
  <c r="H185" i="213"/>
  <c r="I362" i="213"/>
  <c r="I420" i="213"/>
  <c r="K430" i="213"/>
  <c r="I230" i="213"/>
  <c r="I404" i="213"/>
  <c r="I462" i="213"/>
  <c r="H403" i="213"/>
  <c r="H461" i="213"/>
  <c r="H229" i="213"/>
  <c r="F147" i="212"/>
  <c r="G147" i="212" s="1"/>
  <c r="E111" i="212" s="1"/>
  <c r="F146" i="212"/>
  <c r="G146" i="212" s="1"/>
  <c r="E107" i="212" s="1"/>
  <c r="F68" i="212"/>
  <c r="G68" i="212" s="1"/>
  <c r="J32" i="212" s="1"/>
  <c r="F67" i="212"/>
  <c r="G67" i="212" s="1"/>
  <c r="E5" i="212" s="1"/>
  <c r="F111" i="212" l="1"/>
  <c r="E150" i="213" s="1"/>
  <c r="I111" i="212"/>
  <c r="E324" i="213" s="1"/>
  <c r="L111" i="212"/>
  <c r="E498" i="213" s="1"/>
  <c r="M111" i="212"/>
  <c r="E557" i="213" s="1"/>
  <c r="H111" i="212"/>
  <c r="E266" i="213" s="1"/>
  <c r="K111" i="212"/>
  <c r="E440" i="213" s="1"/>
  <c r="L440" i="213" s="1"/>
  <c r="G111" i="212"/>
  <c r="E208" i="213" s="1"/>
  <c r="L208" i="213" s="1"/>
  <c r="E92" i="213"/>
  <c r="L92" i="213" s="1"/>
  <c r="J111" i="212"/>
  <c r="E382" i="213" s="1"/>
  <c r="L382" i="213" s="1"/>
  <c r="E32" i="212"/>
  <c r="K32" i="212"/>
  <c r="L32" i="212"/>
  <c r="I32" i="212"/>
  <c r="F32" i="212"/>
  <c r="M32" i="212"/>
  <c r="G32" i="212"/>
  <c r="H32" i="212"/>
  <c r="E47" i="212"/>
  <c r="E19" i="212"/>
  <c r="E35" i="212"/>
  <c r="E6" i="212"/>
  <c r="E20" i="212"/>
  <c r="E31" i="212"/>
  <c r="E33" i="212"/>
  <c r="E36" i="212"/>
  <c r="E18" i="212"/>
  <c r="E30" i="212"/>
  <c r="E27" i="212"/>
  <c r="E10" i="212"/>
  <c r="E53" i="212"/>
  <c r="E24" i="212"/>
  <c r="E41" i="212"/>
  <c r="E16" i="212"/>
  <c r="E46" i="212"/>
  <c r="E8" i="212"/>
  <c r="E4" i="212"/>
  <c r="E17" i="212"/>
  <c r="E43" i="212"/>
  <c r="E40" i="212"/>
  <c r="E7" i="212"/>
  <c r="E44" i="212"/>
  <c r="E48" i="212"/>
  <c r="E52" i="212"/>
  <c r="E15" i="212"/>
  <c r="E23" i="212"/>
  <c r="E14" i="212"/>
  <c r="K31" i="212"/>
  <c r="K18" i="212"/>
  <c r="K19" i="212"/>
  <c r="K15" i="212"/>
  <c r="K52" i="212"/>
  <c r="K24" i="212"/>
  <c r="K16" i="212"/>
  <c r="K20" i="212"/>
  <c r="K44" i="212"/>
  <c r="K36" i="212"/>
  <c r="K17" i="212"/>
  <c r="K40" i="212"/>
  <c r="K10" i="212"/>
  <c r="K6" i="212"/>
  <c r="K4" i="212"/>
  <c r="K7" i="212"/>
  <c r="K14" i="212"/>
  <c r="K33" i="212"/>
  <c r="K47" i="212"/>
  <c r="K8" i="212"/>
  <c r="K35" i="212"/>
  <c r="K53" i="212"/>
  <c r="K48" i="212"/>
  <c r="K23" i="212"/>
  <c r="K30" i="212"/>
  <c r="K43" i="212"/>
  <c r="K27" i="212"/>
  <c r="K41" i="212"/>
  <c r="K46" i="212"/>
  <c r="K5" i="212"/>
  <c r="L53" i="212"/>
  <c r="L19" i="212"/>
  <c r="L14" i="212"/>
  <c r="L40" i="212"/>
  <c r="L30" i="212"/>
  <c r="L4" i="212"/>
  <c r="L36" i="212"/>
  <c r="L17" i="212"/>
  <c r="L33" i="212"/>
  <c r="L8" i="212"/>
  <c r="L18" i="212"/>
  <c r="L24" i="212"/>
  <c r="L46" i="212"/>
  <c r="L15" i="212"/>
  <c r="L16" i="212"/>
  <c r="L20" i="212"/>
  <c r="L35" i="212"/>
  <c r="L7" i="212"/>
  <c r="L5" i="212"/>
  <c r="L48" i="212"/>
  <c r="L31" i="212"/>
  <c r="L44" i="212"/>
  <c r="L10" i="212"/>
  <c r="L52" i="212"/>
  <c r="L43" i="212"/>
  <c r="L23" i="212"/>
  <c r="L47" i="212"/>
  <c r="L41" i="212"/>
  <c r="L6" i="212"/>
  <c r="L27" i="212"/>
  <c r="I53" i="212"/>
  <c r="I5" i="212"/>
  <c r="I15" i="212"/>
  <c r="I29" i="212"/>
  <c r="I6" i="212"/>
  <c r="I43" i="212"/>
  <c r="I52" i="212"/>
  <c r="I30" i="212"/>
  <c r="I35" i="212"/>
  <c r="I17" i="212"/>
  <c r="I18" i="212"/>
  <c r="I36" i="212"/>
  <c r="I14" i="212"/>
  <c r="I7" i="212"/>
  <c r="I48" i="212"/>
  <c r="I46" i="212"/>
  <c r="I40" i="212"/>
  <c r="I10" i="212"/>
  <c r="I16" i="212"/>
  <c r="I44" i="212"/>
  <c r="I27" i="212"/>
  <c r="I31" i="212"/>
  <c r="I24" i="212"/>
  <c r="I47" i="212"/>
  <c r="I19" i="212"/>
  <c r="I41" i="212"/>
  <c r="I20" i="212"/>
  <c r="I8" i="212"/>
  <c r="I23" i="212"/>
  <c r="I33" i="212"/>
  <c r="I4" i="212"/>
  <c r="F40" i="212"/>
  <c r="F15" i="212"/>
  <c r="F14" i="212"/>
  <c r="F31" i="212"/>
  <c r="F23" i="212"/>
  <c r="F35" i="212"/>
  <c r="F10" i="212"/>
  <c r="F5" i="212"/>
  <c r="F46" i="212"/>
  <c r="F44" i="212"/>
  <c r="F16" i="212"/>
  <c r="F19" i="212"/>
  <c r="F24" i="212"/>
  <c r="F8" i="212"/>
  <c r="F4" i="212"/>
  <c r="F43" i="212"/>
  <c r="F30" i="212"/>
  <c r="F48" i="212"/>
  <c r="F41" i="212"/>
  <c r="F18" i="212"/>
  <c r="F52" i="212"/>
  <c r="F7" i="212"/>
  <c r="F17" i="212"/>
  <c r="F53" i="212"/>
  <c r="F47" i="212"/>
  <c r="F6" i="212"/>
  <c r="F33" i="212"/>
  <c r="F36" i="212"/>
  <c r="F27" i="212"/>
  <c r="F20" i="212"/>
  <c r="M18" i="212"/>
  <c r="M7" i="212"/>
  <c r="M14" i="212"/>
  <c r="M52" i="212"/>
  <c r="M10" i="212"/>
  <c r="M24" i="212"/>
  <c r="M20" i="212"/>
  <c r="M15" i="212"/>
  <c r="M40" i="212"/>
  <c r="M44" i="212"/>
  <c r="M5" i="212"/>
  <c r="M6" i="212"/>
  <c r="M4" i="212"/>
  <c r="M35" i="212"/>
  <c r="M27" i="212"/>
  <c r="M31" i="212"/>
  <c r="M17" i="212"/>
  <c r="M28" i="212"/>
  <c r="M23" i="212"/>
  <c r="M48" i="212"/>
  <c r="M43" i="212"/>
  <c r="M19" i="212"/>
  <c r="M46" i="212"/>
  <c r="M36" i="212"/>
  <c r="M47" i="212"/>
  <c r="M41" i="212"/>
  <c r="M8" i="212"/>
  <c r="M30" i="212"/>
  <c r="M53" i="212"/>
  <c r="M16" i="212"/>
  <c r="M33" i="212"/>
  <c r="J23" i="212"/>
  <c r="H5" i="212"/>
  <c r="H48" i="212"/>
  <c r="G52" i="212"/>
  <c r="G7" i="212"/>
  <c r="J15" i="212"/>
  <c r="H41" i="212"/>
  <c r="H15" i="212"/>
  <c r="H52" i="212"/>
  <c r="G41" i="212"/>
  <c r="G31" i="212"/>
  <c r="G35" i="212"/>
  <c r="J7" i="212"/>
  <c r="H31" i="212"/>
  <c r="H16" i="212"/>
  <c r="G33" i="212"/>
  <c r="J52" i="212"/>
  <c r="H20" i="212"/>
  <c r="H18" i="212"/>
  <c r="G14" i="212"/>
  <c r="G44" i="212"/>
  <c r="J33" i="212"/>
  <c r="H53" i="212"/>
  <c r="H23" i="212"/>
  <c r="H8" i="212"/>
  <c r="G53" i="212"/>
  <c r="G47" i="212"/>
  <c r="G10" i="212"/>
  <c r="G46" i="212"/>
  <c r="G17" i="212"/>
  <c r="G18" i="212"/>
  <c r="G23" i="212"/>
  <c r="J8" i="212"/>
  <c r="H30" i="212"/>
  <c r="H27" i="212"/>
  <c r="H43" i="212"/>
  <c r="H4" i="212"/>
  <c r="G30" i="212"/>
  <c r="G6" i="212"/>
  <c r="G19" i="212"/>
  <c r="G24" i="212"/>
  <c r="J35" i="212"/>
  <c r="J4" i="212"/>
  <c r="H24" i="212"/>
  <c r="H19" i="212"/>
  <c r="H44" i="212"/>
  <c r="J53" i="212"/>
  <c r="H35" i="212"/>
  <c r="H47" i="212"/>
  <c r="H7" i="212"/>
  <c r="H46" i="212"/>
  <c r="G20" i="212"/>
  <c r="G48" i="212"/>
  <c r="G16" i="212"/>
  <c r="G4" i="212"/>
  <c r="H36" i="212"/>
  <c r="H14" i="212"/>
  <c r="H33" i="212"/>
  <c r="G36" i="212"/>
  <c r="G43" i="212"/>
  <c r="J46" i="212"/>
  <c r="H17" i="212"/>
  <c r="H10" i="212"/>
  <c r="G40" i="212"/>
  <c r="G5" i="212"/>
  <c r="G8" i="212"/>
  <c r="G15" i="212"/>
  <c r="H40" i="212"/>
  <c r="J48" i="212"/>
  <c r="H6" i="212"/>
  <c r="G27" i="212"/>
  <c r="J5" i="212"/>
  <c r="J6" i="212"/>
  <c r="J47" i="212"/>
  <c r="J16" i="212"/>
  <c r="J31" i="212"/>
  <c r="J17" i="212"/>
  <c r="J44" i="212"/>
  <c r="J30" i="212"/>
  <c r="J10" i="212"/>
  <c r="J19" i="212"/>
  <c r="J18" i="212"/>
  <c r="J40" i="212"/>
  <c r="J24" i="212"/>
  <c r="J27" i="212"/>
  <c r="J36" i="212"/>
  <c r="J41" i="212"/>
  <c r="J20" i="212"/>
  <c r="J43" i="212"/>
  <c r="J14" i="212"/>
  <c r="L109" i="212"/>
  <c r="E496" i="213" s="1"/>
  <c r="L84" i="212"/>
  <c r="E471" i="213" s="1"/>
  <c r="L98" i="212"/>
  <c r="E485" i="213" s="1"/>
  <c r="H99" i="212"/>
  <c r="E254" i="213" s="1"/>
  <c r="H94" i="212"/>
  <c r="E249" i="213" s="1"/>
  <c r="M132" i="212"/>
  <c r="E578" i="213" s="1"/>
  <c r="L578" i="213" s="1"/>
  <c r="M131" i="212"/>
  <c r="E577" i="213" s="1"/>
  <c r="L577" i="213" s="1"/>
  <c r="M122" i="212"/>
  <c r="E568" i="213" s="1"/>
  <c r="M102" i="212"/>
  <c r="E548" i="213" s="1"/>
  <c r="K85" i="212"/>
  <c r="E414" i="213" s="1"/>
  <c r="K131" i="212"/>
  <c r="E460" i="213" s="1"/>
  <c r="K110" i="212"/>
  <c r="E439" i="213" s="1"/>
  <c r="I131" i="212"/>
  <c r="E344" i="213" s="1"/>
  <c r="L344" i="213" s="1"/>
  <c r="I89" i="212"/>
  <c r="E302" i="213" s="1"/>
  <c r="G122" i="212"/>
  <c r="E219" i="213" s="1"/>
  <c r="F127" i="212"/>
  <c r="E166" i="213" s="1"/>
  <c r="M108" i="212"/>
  <c r="E554" i="213" s="1"/>
  <c r="F132" i="212"/>
  <c r="E171" i="213" s="1"/>
  <c r="J108" i="212"/>
  <c r="E379" i="213" s="1"/>
  <c r="L379" i="213" s="1"/>
  <c r="F112" i="212"/>
  <c r="E151" i="213" s="1"/>
  <c r="G108" i="212"/>
  <c r="E205" i="213" s="1"/>
  <c r="L205" i="213" s="1"/>
  <c r="G93" i="212"/>
  <c r="E190" i="213" s="1"/>
  <c r="F99" i="212"/>
  <c r="E138" i="213" s="1"/>
  <c r="I127" i="212"/>
  <c r="E340" i="213" s="1"/>
  <c r="K107" i="212"/>
  <c r="E436" i="213" s="1"/>
  <c r="G107" i="212"/>
  <c r="E204" i="213" s="1"/>
  <c r="L85" i="212"/>
  <c r="E472" i="213" s="1"/>
  <c r="L95" i="212"/>
  <c r="E482" i="213" s="1"/>
  <c r="L102" i="212"/>
  <c r="E489" i="213" s="1"/>
  <c r="H103" i="212"/>
  <c r="E258" i="213" s="1"/>
  <c r="H98" i="212"/>
  <c r="E253" i="213" s="1"/>
  <c r="H97" i="212"/>
  <c r="E252" i="213" s="1"/>
  <c r="M109" i="212"/>
  <c r="E555" i="213" s="1"/>
  <c r="M84" i="212"/>
  <c r="E530" i="213" s="1"/>
  <c r="M95" i="212"/>
  <c r="E541" i="213" s="1"/>
  <c r="L541" i="213" s="1"/>
  <c r="K89" i="212"/>
  <c r="E418" i="213" s="1"/>
  <c r="K84" i="212"/>
  <c r="E413" i="213" s="1"/>
  <c r="K87" i="212"/>
  <c r="E416" i="213" s="1"/>
  <c r="K86" i="212"/>
  <c r="E415" i="213" s="1"/>
  <c r="I112" i="212"/>
  <c r="E325" i="213" s="1"/>
  <c r="I110" i="212"/>
  <c r="E323" i="213" s="1"/>
  <c r="I93" i="212"/>
  <c r="E306" i="213" s="1"/>
  <c r="G126" i="212"/>
  <c r="E223" i="213" s="1"/>
  <c r="G114" i="212"/>
  <c r="E211" i="213" s="1"/>
  <c r="L211" i="213" s="1"/>
  <c r="J112" i="212"/>
  <c r="E383" i="213" s="1"/>
  <c r="F122" i="212"/>
  <c r="E161" i="213" s="1"/>
  <c r="F126" i="212"/>
  <c r="E165" i="213" s="1"/>
  <c r="I108" i="212"/>
  <c r="E321" i="213" s="1"/>
  <c r="L321" i="213" s="1"/>
  <c r="H108" i="212"/>
  <c r="E263" i="213" s="1"/>
  <c r="L263" i="213" s="1"/>
  <c r="F106" i="212"/>
  <c r="E145" i="213" s="1"/>
  <c r="G119" i="212"/>
  <c r="E216" i="213" s="1"/>
  <c r="J131" i="212"/>
  <c r="E402" i="213" s="1"/>
  <c r="L402" i="213" s="1"/>
  <c r="L89" i="212"/>
  <c r="E476" i="213" s="1"/>
  <c r="L99" i="212"/>
  <c r="E486" i="213" s="1"/>
  <c r="L106" i="212"/>
  <c r="E493" i="213" s="1"/>
  <c r="H115" i="212"/>
  <c r="E270" i="213" s="1"/>
  <c r="H102" i="212"/>
  <c r="E257" i="213" s="1"/>
  <c r="H109" i="212"/>
  <c r="E264" i="213" s="1"/>
  <c r="M85" i="212"/>
  <c r="E531" i="213" s="1"/>
  <c r="M106" i="212"/>
  <c r="E552" i="213" s="1"/>
  <c r="K93" i="212"/>
  <c r="E422" i="213" s="1"/>
  <c r="I84" i="212"/>
  <c r="E297" i="213" s="1"/>
  <c r="I87" i="212"/>
  <c r="E300" i="213" s="1"/>
  <c r="L300" i="213" s="1"/>
  <c r="I86" i="212"/>
  <c r="E299" i="213" s="1"/>
  <c r="L299" i="213" s="1"/>
  <c r="I97" i="212"/>
  <c r="E310" i="213" s="1"/>
  <c r="G110" i="212"/>
  <c r="E207" i="213" s="1"/>
  <c r="G132" i="212"/>
  <c r="E229" i="213" s="1"/>
  <c r="G131" i="212"/>
  <c r="E228" i="213" s="1"/>
  <c r="J83" i="212"/>
  <c r="E354" i="213" s="1"/>
  <c r="F110" i="212"/>
  <c r="E149" i="213" s="1"/>
  <c r="F123" i="212"/>
  <c r="E162" i="213" s="1"/>
  <c r="G99" i="212"/>
  <c r="E196" i="213" s="1"/>
  <c r="F95" i="212"/>
  <c r="E134" i="213" s="1"/>
  <c r="F102" i="212"/>
  <c r="E141" i="213" s="1"/>
  <c r="F96" i="212"/>
  <c r="E135" i="213" s="1"/>
  <c r="I85" i="212"/>
  <c r="E298" i="213" s="1"/>
  <c r="F120" i="212"/>
  <c r="E159" i="213" s="1"/>
  <c r="M107" i="212"/>
  <c r="E553" i="213" s="1"/>
  <c r="F107" i="212"/>
  <c r="E146" i="213" s="1"/>
  <c r="L93" i="212"/>
  <c r="E480" i="213" s="1"/>
  <c r="L96" i="212"/>
  <c r="E483" i="213" s="1"/>
  <c r="L103" i="212"/>
  <c r="E490" i="213" s="1"/>
  <c r="H112" i="212"/>
  <c r="E267" i="213" s="1"/>
  <c r="H106" i="212"/>
  <c r="E261" i="213" s="1"/>
  <c r="H89" i="212"/>
  <c r="E244" i="213" s="1"/>
  <c r="M89" i="212"/>
  <c r="E535" i="213" s="1"/>
  <c r="M87" i="212"/>
  <c r="E533" i="213" s="1"/>
  <c r="L533" i="213" s="1"/>
  <c r="K97" i="212"/>
  <c r="E426" i="213" s="1"/>
  <c r="K95" i="212"/>
  <c r="E424" i="213" s="1"/>
  <c r="K94" i="212"/>
  <c r="E423" i="213" s="1"/>
  <c r="G87" i="212"/>
  <c r="E184" i="213" s="1"/>
  <c r="G86" i="212"/>
  <c r="E183" i="213" s="1"/>
  <c r="G127" i="212"/>
  <c r="E224" i="213" s="1"/>
  <c r="G109" i="212"/>
  <c r="E206" i="213" s="1"/>
  <c r="J87" i="212"/>
  <c r="E358" i="213" s="1"/>
  <c r="F86" i="212"/>
  <c r="E125" i="213" s="1"/>
  <c r="F109" i="212"/>
  <c r="E148" i="213" s="1"/>
  <c r="I103" i="212"/>
  <c r="E316" i="213" s="1"/>
  <c r="F98" i="212"/>
  <c r="E137" i="213" s="1"/>
  <c r="F103" i="212"/>
  <c r="E142" i="213" s="1"/>
  <c r="I126" i="212"/>
  <c r="E339" i="213" s="1"/>
  <c r="L97" i="212"/>
  <c r="E484" i="213" s="1"/>
  <c r="L115" i="212"/>
  <c r="E502" i="213" s="1"/>
  <c r="L125" i="212"/>
  <c r="E512" i="213" s="1"/>
  <c r="H119" i="212"/>
  <c r="E274" i="213" s="1"/>
  <c r="H83" i="212"/>
  <c r="E238" i="213" s="1"/>
  <c r="L238" i="213" s="1"/>
  <c r="H120" i="212"/>
  <c r="E275" i="213" s="1"/>
  <c r="L275" i="213" s="1"/>
  <c r="M93" i="212"/>
  <c r="E539" i="213" s="1"/>
  <c r="M96" i="212"/>
  <c r="E542" i="213" s="1"/>
  <c r="M99" i="212"/>
  <c r="E545" i="213" s="1"/>
  <c r="K96" i="212"/>
  <c r="E425" i="213" s="1"/>
  <c r="K99" i="212"/>
  <c r="E428" i="213" s="1"/>
  <c r="K98" i="212"/>
  <c r="E427" i="213" s="1"/>
  <c r="I95" i="212"/>
  <c r="E308" i="213" s="1"/>
  <c r="L308" i="213" s="1"/>
  <c r="I94" i="212"/>
  <c r="E307" i="213" s="1"/>
  <c r="L307" i="213" s="1"/>
  <c r="G85" i="212"/>
  <c r="E182" i="213" s="1"/>
  <c r="J114" i="212"/>
  <c r="E385" i="213" s="1"/>
  <c r="L385" i="213" s="1"/>
  <c r="F87" i="212"/>
  <c r="E126" i="213" s="1"/>
  <c r="F85" i="212"/>
  <c r="E124" i="213" s="1"/>
  <c r="I102" i="212"/>
  <c r="E315" i="213" s="1"/>
  <c r="F93" i="212"/>
  <c r="E132" i="213" s="1"/>
  <c r="M98" i="212"/>
  <c r="E544" i="213" s="1"/>
  <c r="L107" i="212"/>
  <c r="E494" i="213" s="1"/>
  <c r="H123" i="212"/>
  <c r="E278" i="213" s="1"/>
  <c r="H114" i="212"/>
  <c r="E269" i="213" s="1"/>
  <c r="L269" i="213" s="1"/>
  <c r="H85" i="212"/>
  <c r="E240" i="213" s="1"/>
  <c r="M97" i="212"/>
  <c r="E543" i="213" s="1"/>
  <c r="M103" i="212"/>
  <c r="E549" i="213" s="1"/>
  <c r="M125" i="212"/>
  <c r="E571" i="213" s="1"/>
  <c r="K103" i="212"/>
  <c r="E432" i="213" s="1"/>
  <c r="K102" i="212"/>
  <c r="E431" i="213" s="1"/>
  <c r="I96" i="212"/>
  <c r="E309" i="213" s="1"/>
  <c r="I99" i="212"/>
  <c r="E312" i="213" s="1"/>
  <c r="I98" i="212"/>
  <c r="E311" i="213" s="1"/>
  <c r="G95" i="212"/>
  <c r="E192" i="213" s="1"/>
  <c r="G94" i="212"/>
  <c r="E191" i="213" s="1"/>
  <c r="G123" i="212"/>
  <c r="E220" i="213" s="1"/>
  <c r="G89" i="212"/>
  <c r="E186" i="213" s="1"/>
  <c r="J132" i="212"/>
  <c r="E403" i="213" s="1"/>
  <c r="F94" i="212"/>
  <c r="E133" i="213" s="1"/>
  <c r="F89" i="212"/>
  <c r="E128" i="213" s="1"/>
  <c r="L108" i="212"/>
  <c r="E495" i="213" s="1"/>
  <c r="L495" i="213" s="1"/>
  <c r="G98" i="212"/>
  <c r="E195" i="213" s="1"/>
  <c r="F97" i="212"/>
  <c r="E136" i="213" s="1"/>
  <c r="F108" i="212"/>
  <c r="E147" i="213" s="1"/>
  <c r="K108" i="212"/>
  <c r="E437" i="213" s="1"/>
  <c r="L437" i="213" s="1"/>
  <c r="H127" i="212"/>
  <c r="E282" i="213" s="1"/>
  <c r="H122" i="212"/>
  <c r="E277" i="213" s="1"/>
  <c r="H125" i="212"/>
  <c r="E280" i="213" s="1"/>
  <c r="M112" i="212"/>
  <c r="E558" i="213" s="1"/>
  <c r="M126" i="212"/>
  <c r="E572" i="213" s="1"/>
  <c r="K106" i="212"/>
  <c r="E435" i="213" s="1"/>
  <c r="J86" i="212"/>
  <c r="E357" i="213" s="1"/>
  <c r="K126" i="212"/>
  <c r="E455" i="213" s="1"/>
  <c r="J107" i="212"/>
  <c r="E378" i="213" s="1"/>
  <c r="L114" i="212"/>
  <c r="E501" i="213" s="1"/>
  <c r="L501" i="213" s="1"/>
  <c r="L83" i="212"/>
  <c r="E470" i="213" s="1"/>
  <c r="L470" i="213" s="1"/>
  <c r="L119" i="212"/>
  <c r="E506" i="213" s="1"/>
  <c r="H131" i="212"/>
  <c r="E286" i="213" s="1"/>
  <c r="L286" i="213" s="1"/>
  <c r="H126" i="212"/>
  <c r="E281" i="213" s="1"/>
  <c r="M83" i="212"/>
  <c r="E529" i="213" s="1"/>
  <c r="L529" i="213" s="1"/>
  <c r="M110" i="212"/>
  <c r="E556" i="213" s="1"/>
  <c r="K114" i="212"/>
  <c r="E443" i="213" s="1"/>
  <c r="L443" i="213" s="1"/>
  <c r="K120" i="212"/>
  <c r="E449" i="213" s="1"/>
  <c r="L449" i="213" s="1"/>
  <c r="K125" i="212"/>
  <c r="E454" i="213" s="1"/>
  <c r="I83" i="212"/>
  <c r="E296" i="213" s="1"/>
  <c r="L296" i="213" s="1"/>
  <c r="I106" i="212"/>
  <c r="E319" i="213" s="1"/>
  <c r="G103" i="212"/>
  <c r="E200" i="213" s="1"/>
  <c r="G102" i="212"/>
  <c r="E199" i="213" s="1"/>
  <c r="G120" i="212"/>
  <c r="E217" i="213" s="1"/>
  <c r="L217" i="213" s="1"/>
  <c r="G97" i="212"/>
  <c r="E194" i="213" s="1"/>
  <c r="J94" i="212"/>
  <c r="E365" i="213" s="1"/>
  <c r="G125" i="212"/>
  <c r="E222" i="213" s="1"/>
  <c r="L120" i="212"/>
  <c r="E507" i="213" s="1"/>
  <c r="L507" i="213" s="1"/>
  <c r="L122" i="212"/>
  <c r="E509" i="213" s="1"/>
  <c r="L110" i="212"/>
  <c r="E497" i="213" s="1"/>
  <c r="H84" i="212"/>
  <c r="E239" i="213" s="1"/>
  <c r="H132" i="212"/>
  <c r="E287" i="213" s="1"/>
  <c r="M114" i="212"/>
  <c r="E560" i="213" s="1"/>
  <c r="L560" i="213" s="1"/>
  <c r="M120" i="212"/>
  <c r="E566" i="213" s="1"/>
  <c r="L566" i="213" s="1"/>
  <c r="M119" i="212"/>
  <c r="E565" i="213" s="1"/>
  <c r="M86" i="212"/>
  <c r="E532" i="213" s="1"/>
  <c r="L532" i="213" s="1"/>
  <c r="K112" i="212"/>
  <c r="E441" i="213" s="1"/>
  <c r="I115" i="212"/>
  <c r="E328" i="213" s="1"/>
  <c r="I114" i="212"/>
  <c r="E327" i="213" s="1"/>
  <c r="L327" i="213" s="1"/>
  <c r="G106" i="212"/>
  <c r="E203" i="213" s="1"/>
  <c r="G84" i="212"/>
  <c r="E181" i="213" s="1"/>
  <c r="J102" i="212"/>
  <c r="E373" i="213" s="1"/>
  <c r="G83" i="212"/>
  <c r="E180" i="213" s="1"/>
  <c r="I107" i="212"/>
  <c r="E320" i="213" s="1"/>
  <c r="L123" i="212"/>
  <c r="E510" i="213" s="1"/>
  <c r="L126" i="212"/>
  <c r="E513" i="213" s="1"/>
  <c r="L86" i="212"/>
  <c r="E473" i="213" s="1"/>
  <c r="L473" i="213" s="1"/>
  <c r="H87" i="212"/>
  <c r="E242" i="213" s="1"/>
  <c r="L242" i="213" s="1"/>
  <c r="H110" i="212"/>
  <c r="E265" i="213" s="1"/>
  <c r="M115" i="212"/>
  <c r="E561" i="213" s="1"/>
  <c r="K83" i="212"/>
  <c r="E412" i="213" s="1"/>
  <c r="K119" i="212"/>
  <c r="E448" i="213" s="1"/>
  <c r="I120" i="212"/>
  <c r="E333" i="213" s="1"/>
  <c r="L333" i="213" s="1"/>
  <c r="I119" i="212"/>
  <c r="E332" i="213" s="1"/>
  <c r="I132" i="212"/>
  <c r="E345" i="213" s="1"/>
  <c r="L345" i="213" s="1"/>
  <c r="G115" i="212"/>
  <c r="E212" i="213" s="1"/>
  <c r="J125" i="212"/>
  <c r="E396" i="213" s="1"/>
  <c r="F84" i="212"/>
  <c r="E123" i="213" s="1"/>
  <c r="M123" i="212"/>
  <c r="E569" i="213" s="1"/>
  <c r="K122" i="212"/>
  <c r="E451" i="213" s="1"/>
  <c r="I123" i="212"/>
  <c r="E336" i="213" s="1"/>
  <c r="I122" i="212"/>
  <c r="E335" i="213" s="1"/>
  <c r="I109" i="212"/>
  <c r="E322" i="213" s="1"/>
  <c r="G112" i="212"/>
  <c r="E209" i="213" s="1"/>
  <c r="J127" i="212"/>
  <c r="E398" i="213" s="1"/>
  <c r="F83" i="212"/>
  <c r="E122" i="213" s="1"/>
  <c r="K127" i="212"/>
  <c r="E456" i="213" s="1"/>
  <c r="L132" i="212"/>
  <c r="E519" i="213" s="1"/>
  <c r="L519" i="213" s="1"/>
  <c r="L127" i="212"/>
  <c r="E514" i="213" s="1"/>
  <c r="H86" i="212"/>
  <c r="E241" i="213" s="1"/>
  <c r="L241" i="213" s="1"/>
  <c r="H93" i="212"/>
  <c r="E248" i="213" s="1"/>
  <c r="M94" i="212"/>
  <c r="E540" i="213" s="1"/>
  <c r="L540" i="213" s="1"/>
  <c r="K132" i="212"/>
  <c r="E461" i="213" s="1"/>
  <c r="K123" i="212"/>
  <c r="E452" i="213" s="1"/>
  <c r="K115" i="212"/>
  <c r="E444" i="213" s="1"/>
  <c r="I125" i="212"/>
  <c r="E338" i="213" s="1"/>
  <c r="F115" i="212"/>
  <c r="E154" i="213" s="1"/>
  <c r="F125" i="212"/>
  <c r="E164" i="213" s="1"/>
  <c r="F114" i="212"/>
  <c r="E153" i="213" s="1"/>
  <c r="F131" i="212"/>
  <c r="E170" i="213" s="1"/>
  <c r="L170" i="213" s="1"/>
  <c r="K109" i="212"/>
  <c r="E438" i="213" s="1"/>
  <c r="F119" i="212"/>
  <c r="E158" i="213" s="1"/>
  <c r="H107" i="212"/>
  <c r="E262" i="213" s="1"/>
  <c r="L112" i="212"/>
  <c r="E499" i="213" s="1"/>
  <c r="L131" i="212"/>
  <c r="E518" i="213" s="1"/>
  <c r="L518" i="213" s="1"/>
  <c r="L87" i="212"/>
  <c r="E474" i="213" s="1"/>
  <c r="L474" i="213" s="1"/>
  <c r="L94" i="212"/>
  <c r="E481" i="213" s="1"/>
  <c r="L481" i="213" s="1"/>
  <c r="H96" i="212"/>
  <c r="E251" i="213" s="1"/>
  <c r="H95" i="212"/>
  <c r="E250" i="213" s="1"/>
  <c r="M127" i="212"/>
  <c r="E573" i="213" s="1"/>
  <c r="G96" i="212"/>
  <c r="E193" i="213" s="1"/>
  <c r="E88" i="213"/>
  <c r="E125" i="212"/>
  <c r="E106" i="213" s="1"/>
  <c r="E114" i="212"/>
  <c r="E95" i="213" s="1"/>
  <c r="L95" i="213" s="1"/>
  <c r="E123" i="212"/>
  <c r="E104" i="213" s="1"/>
  <c r="E131" i="212"/>
  <c r="E112" i="213" s="1"/>
  <c r="L112" i="213" s="1"/>
  <c r="E108" i="212"/>
  <c r="E89" i="213" s="1"/>
  <c r="L89" i="213" s="1"/>
  <c r="E119" i="212"/>
  <c r="E100" i="213" s="1"/>
  <c r="E127" i="212"/>
  <c r="E108" i="213" s="1"/>
  <c r="E122" i="212"/>
  <c r="E103" i="213" s="1"/>
  <c r="E126" i="212"/>
  <c r="E107" i="213" s="1"/>
  <c r="E110" i="212"/>
  <c r="E91" i="213" s="1"/>
  <c r="E132" i="212"/>
  <c r="E113" i="213" s="1"/>
  <c r="L113" i="213" s="1"/>
  <c r="E86" i="212"/>
  <c r="E67" i="213" s="1"/>
  <c r="L67" i="213" s="1"/>
  <c r="E109" i="212"/>
  <c r="E90" i="213" s="1"/>
  <c r="E120" i="212"/>
  <c r="E101" i="213" s="1"/>
  <c r="L101" i="213" s="1"/>
  <c r="E89" i="212"/>
  <c r="E70" i="213" s="1"/>
  <c r="E83" i="212"/>
  <c r="E64" i="213" s="1"/>
  <c r="L64" i="213" s="1"/>
  <c r="E97" i="212"/>
  <c r="E78" i="213" s="1"/>
  <c r="E87" i="212"/>
  <c r="E68" i="213" s="1"/>
  <c r="L68" i="213" s="1"/>
  <c r="E85" i="212"/>
  <c r="E66" i="213" s="1"/>
  <c r="E112" i="212"/>
  <c r="E93" i="213" s="1"/>
  <c r="E93" i="212"/>
  <c r="E74" i="213" s="1"/>
  <c r="E84" i="212"/>
  <c r="E65" i="213" s="1"/>
  <c r="E94" i="212"/>
  <c r="E75" i="213" s="1"/>
  <c r="L75" i="213" s="1"/>
  <c r="E102" i="212"/>
  <c r="E83" i="213" s="1"/>
  <c r="E95" i="212"/>
  <c r="E76" i="213" s="1"/>
  <c r="L76" i="213" s="1"/>
  <c r="E98" i="212"/>
  <c r="E79" i="213" s="1"/>
  <c r="E99" i="212"/>
  <c r="E80" i="213" s="1"/>
  <c r="E103" i="212"/>
  <c r="E84" i="213" s="1"/>
  <c r="E106" i="212"/>
  <c r="E87" i="213" s="1"/>
  <c r="E115" i="212"/>
  <c r="E96" i="213" s="1"/>
  <c r="E96" i="212"/>
  <c r="E77" i="213" s="1"/>
  <c r="J84" i="212"/>
  <c r="E355" i="213" s="1"/>
  <c r="J85" i="212"/>
  <c r="E356" i="213" s="1"/>
  <c r="J126" i="212"/>
  <c r="E397" i="213" s="1"/>
  <c r="J95" i="212"/>
  <c r="E366" i="213" s="1"/>
  <c r="J110" i="212"/>
  <c r="E381" i="213" s="1"/>
  <c r="J96" i="212"/>
  <c r="E367" i="213" s="1"/>
  <c r="J123" i="212"/>
  <c r="E394" i="213" s="1"/>
  <c r="J109" i="212"/>
  <c r="E380" i="213" s="1"/>
  <c r="J89" i="212"/>
  <c r="E360" i="213" s="1"/>
  <c r="J98" i="212"/>
  <c r="E369" i="213" s="1"/>
  <c r="J97" i="212"/>
  <c r="E368" i="213" s="1"/>
  <c r="J119" i="212"/>
  <c r="E390" i="213" s="1"/>
  <c r="J103" i="212"/>
  <c r="E374" i="213" s="1"/>
  <c r="J106" i="212"/>
  <c r="E377" i="213" s="1"/>
  <c r="J120" i="212"/>
  <c r="E391" i="213" s="1"/>
  <c r="L391" i="213" s="1"/>
  <c r="J115" i="212"/>
  <c r="E386" i="213" s="1"/>
  <c r="J99" i="212"/>
  <c r="E370" i="213" s="1"/>
  <c r="J122" i="212"/>
  <c r="E393" i="213" s="1"/>
  <c r="J93" i="212"/>
  <c r="E364" i="213" s="1"/>
  <c r="E29" i="212"/>
  <c r="E28" i="212"/>
  <c r="K28" i="212"/>
  <c r="K29" i="212"/>
  <c r="L28" i="212"/>
  <c r="L29" i="212"/>
  <c r="I28" i="212"/>
  <c r="F29" i="212"/>
  <c r="F28" i="212"/>
  <c r="M29" i="212"/>
  <c r="G28" i="212"/>
  <c r="H28" i="212"/>
  <c r="J29" i="212"/>
  <c r="G29" i="212"/>
  <c r="J28" i="212"/>
  <c r="H29" i="212"/>
  <c r="L171" i="213"/>
  <c r="L482" i="213"/>
  <c r="L554" i="213"/>
  <c r="L324" i="213"/>
  <c r="L498" i="213"/>
  <c r="L557" i="213"/>
  <c r="L266" i="213"/>
  <c r="L302" i="213"/>
  <c r="L309" i="213"/>
  <c r="L306" i="213"/>
  <c r="L310" i="213"/>
  <c r="L297" i="213"/>
  <c r="L312" i="213"/>
  <c r="L311" i="213"/>
  <c r="L298" i="213"/>
  <c r="D370" i="213" l="1"/>
  <c r="F370" i="213" s="1"/>
  <c r="D381" i="213"/>
  <c r="F381" i="213" s="1"/>
  <c r="D216" i="213"/>
  <c r="D196" i="213"/>
  <c r="D195" i="213"/>
  <c r="D186" i="213"/>
  <c r="D209" i="213"/>
  <c r="F209" i="213" s="1"/>
  <c r="D228" i="213"/>
  <c r="G228" i="213" s="1"/>
  <c r="D571" i="213"/>
  <c r="K571" i="213" s="1"/>
  <c r="D530" i="213"/>
  <c r="D145" i="213"/>
  <c r="F145" i="213" s="1"/>
  <c r="D148" i="213"/>
  <c r="H148" i="213" s="1"/>
  <c r="D141" i="213"/>
  <c r="F141" i="213" s="1"/>
  <c r="D339" i="213"/>
  <c r="D328" i="213"/>
  <c r="D493" i="213"/>
  <c r="J493" i="213" s="1"/>
  <c r="D473" i="213"/>
  <c r="G473" i="213" s="1"/>
  <c r="D470" i="213"/>
  <c r="F470" i="213" s="1"/>
  <c r="D431" i="213"/>
  <c r="F431" i="213" s="1"/>
  <c r="D448" i="213"/>
  <c r="D74" i="213"/>
  <c r="J74" i="213" s="1"/>
  <c r="D106" i="213"/>
  <c r="I106" i="213" s="1"/>
  <c r="D91" i="213"/>
  <c r="D498" i="213"/>
  <c r="I498" i="213" s="1"/>
  <c r="D146" i="213"/>
  <c r="D391" i="213"/>
  <c r="F391" i="213" s="1"/>
  <c r="D366" i="213"/>
  <c r="D244" i="213"/>
  <c r="D280" i="213"/>
  <c r="K280" i="213" s="1"/>
  <c r="D182" i="213"/>
  <c r="D223" i="213"/>
  <c r="D250" i="213"/>
  <c r="K250" i="213" s="1"/>
  <c r="D282" i="213"/>
  <c r="F282" i="213" s="1"/>
  <c r="D544" i="213"/>
  <c r="H544" i="213" s="1"/>
  <c r="D569" i="213"/>
  <c r="D154" i="213"/>
  <c r="J154" i="213" s="1"/>
  <c r="D161" i="213"/>
  <c r="D149" i="213"/>
  <c r="D316" i="213"/>
  <c r="F316" i="213" s="1"/>
  <c r="D310" i="213"/>
  <c r="D472" i="213"/>
  <c r="D501" i="213"/>
  <c r="K501" i="213" s="1"/>
  <c r="D496" i="213"/>
  <c r="F496" i="213" s="1"/>
  <c r="D456" i="213"/>
  <c r="F456" i="213" s="1"/>
  <c r="D425" i="213"/>
  <c r="F425" i="213" s="1"/>
  <c r="D83" i="213"/>
  <c r="K83" i="213" s="1"/>
  <c r="D76" i="213"/>
  <c r="F76" i="213" s="1"/>
  <c r="D80" i="213"/>
  <c r="J80" i="213" s="1"/>
  <c r="D440" i="213"/>
  <c r="K440" i="213" s="1"/>
  <c r="D147" i="213"/>
  <c r="H147" i="213" s="1"/>
  <c r="D386" i="213"/>
  <c r="J386" i="213" s="1"/>
  <c r="D265" i="213"/>
  <c r="F265" i="213" s="1"/>
  <c r="D486" i="213"/>
  <c r="J486" i="213" s="1"/>
  <c r="D377" i="213"/>
  <c r="H377" i="213" s="1"/>
  <c r="D356" i="213"/>
  <c r="D281" i="213"/>
  <c r="D238" i="213"/>
  <c r="I238" i="213" s="1"/>
  <c r="D242" i="213"/>
  <c r="F242" i="213" s="1"/>
  <c r="D357" i="213"/>
  <c r="G357" i="213" s="1"/>
  <c r="D373" i="213"/>
  <c r="F373" i="213" s="1"/>
  <c r="D573" i="213"/>
  <c r="J573" i="213" s="1"/>
  <c r="D540" i="213"/>
  <c r="I540" i="213" s="1"/>
  <c r="D124" i="213"/>
  <c r="D126" i="213"/>
  <c r="I126" i="213" s="1"/>
  <c r="D133" i="213"/>
  <c r="G133" i="213" s="1"/>
  <c r="D319" i="213"/>
  <c r="H319" i="213" s="1"/>
  <c r="D327" i="213"/>
  <c r="K327" i="213" s="1"/>
  <c r="D513" i="213"/>
  <c r="D482" i="213"/>
  <c r="G482" i="213" s="1"/>
  <c r="D480" i="213"/>
  <c r="H480" i="213" s="1"/>
  <c r="D443" i="213"/>
  <c r="I443" i="213" s="1"/>
  <c r="D452" i="213"/>
  <c r="D112" i="213"/>
  <c r="G112" i="213" s="1"/>
  <c r="D84" i="213"/>
  <c r="H84" i="213" s="1"/>
  <c r="D95" i="213"/>
  <c r="I95" i="213" s="1"/>
  <c r="D251" i="213"/>
  <c r="J251" i="213" s="1"/>
  <c r="D151" i="213"/>
  <c r="I151" i="213" s="1"/>
  <c r="D101" i="213"/>
  <c r="I101" i="213" s="1"/>
  <c r="D495" i="213"/>
  <c r="H495" i="213" s="1"/>
  <c r="D374" i="213"/>
  <c r="F374" i="213" s="1"/>
  <c r="D355" i="213"/>
  <c r="D219" i="213"/>
  <c r="F219" i="213" s="1"/>
  <c r="D269" i="213"/>
  <c r="F269" i="213" s="1"/>
  <c r="D277" i="213"/>
  <c r="F277" i="213" s="1"/>
  <c r="D257" i="213"/>
  <c r="F257" i="213" s="1"/>
  <c r="D211" i="213"/>
  <c r="F211" i="213" s="1"/>
  <c r="D558" i="213"/>
  <c r="F558" i="213" s="1"/>
  <c r="D548" i="213"/>
  <c r="F548" i="213" s="1"/>
  <c r="D545" i="213"/>
  <c r="J545" i="213" s="1"/>
  <c r="D165" i="213"/>
  <c r="D142" i="213"/>
  <c r="H142" i="213" s="1"/>
  <c r="D158" i="213"/>
  <c r="D336" i="213"/>
  <c r="D322" i="213"/>
  <c r="F322" i="213" s="1"/>
  <c r="D489" i="213"/>
  <c r="F489" i="213" s="1"/>
  <c r="D481" i="213"/>
  <c r="H481" i="213" s="1"/>
  <c r="D485" i="213"/>
  <c r="F485" i="213" s="1"/>
  <c r="D416" i="213"/>
  <c r="K416" i="213" s="1"/>
  <c r="D428" i="213"/>
  <c r="H428" i="213" s="1"/>
  <c r="D108" i="213"/>
  <c r="J108" i="213" s="1"/>
  <c r="D113" i="213"/>
  <c r="I113" i="213" s="1"/>
  <c r="D79" i="213"/>
  <c r="H79" i="213" s="1"/>
  <c r="D241" i="213"/>
  <c r="H241" i="213" s="1"/>
  <c r="D568" i="213"/>
  <c r="F568" i="213" s="1"/>
  <c r="D461" i="213"/>
  <c r="K461" i="213" s="1"/>
  <c r="D494" i="213"/>
  <c r="K494" i="213" s="1"/>
  <c r="D390" i="213"/>
  <c r="D203" i="213"/>
  <c r="F203" i="213" s="1"/>
  <c r="D212" i="213"/>
  <c r="F212" i="213" s="1"/>
  <c r="D403" i="213"/>
  <c r="K403" i="213" s="1"/>
  <c r="D261" i="213"/>
  <c r="H261" i="213" s="1"/>
  <c r="D287" i="213"/>
  <c r="G287" i="213" s="1"/>
  <c r="D207" i="213"/>
  <c r="F207" i="213" s="1"/>
  <c r="D541" i="213"/>
  <c r="I541" i="213" s="1"/>
  <c r="D553" i="213"/>
  <c r="F553" i="213" s="1"/>
  <c r="D549" i="213"/>
  <c r="F549" i="213" s="1"/>
  <c r="D171" i="213"/>
  <c r="I171" i="213" s="1"/>
  <c r="D137" i="213"/>
  <c r="J137" i="213" s="1"/>
  <c r="D296" i="213"/>
  <c r="I296" i="213" s="1"/>
  <c r="D308" i="213"/>
  <c r="I308" i="213" s="1"/>
  <c r="D344" i="213"/>
  <c r="I344" i="213" s="1"/>
  <c r="D509" i="213"/>
  <c r="F509" i="213" s="1"/>
  <c r="D512" i="213"/>
  <c r="I512" i="213" s="1"/>
  <c r="D519" i="213"/>
  <c r="K519" i="213" s="1"/>
  <c r="D455" i="213"/>
  <c r="D424" i="213"/>
  <c r="F424" i="213" s="1"/>
  <c r="D104" i="213"/>
  <c r="D65" i="213"/>
  <c r="D107" i="213"/>
  <c r="D554" i="213"/>
  <c r="F554" i="213" s="1"/>
  <c r="D444" i="213"/>
  <c r="F444" i="213" s="1"/>
  <c r="D263" i="213"/>
  <c r="F263" i="213" s="1"/>
  <c r="D368" i="213"/>
  <c r="D240" i="213"/>
  <c r="D267" i="213"/>
  <c r="F267" i="213" s="1"/>
  <c r="D278" i="213"/>
  <c r="D264" i="213"/>
  <c r="J264" i="213" s="1"/>
  <c r="D383" i="213"/>
  <c r="F383" i="213" s="1"/>
  <c r="D217" i="213"/>
  <c r="J217" i="213" s="1"/>
  <c r="D578" i="213"/>
  <c r="I578" i="213" s="1"/>
  <c r="D542" i="213"/>
  <c r="F542" i="213" s="1"/>
  <c r="D535" i="213"/>
  <c r="D135" i="213"/>
  <c r="F135" i="213" s="1"/>
  <c r="D134" i="213"/>
  <c r="G134" i="213" s="1"/>
  <c r="D325" i="213"/>
  <c r="I325" i="213" s="1"/>
  <c r="D302" i="213"/>
  <c r="D335" i="213"/>
  <c r="D518" i="213"/>
  <c r="K518" i="213" s="1"/>
  <c r="D490" i="213"/>
  <c r="F490" i="213" s="1"/>
  <c r="D413" i="213"/>
  <c r="D441" i="213"/>
  <c r="K441" i="213" s="1"/>
  <c r="D432" i="213"/>
  <c r="J432" i="213" s="1"/>
  <c r="D67" i="213"/>
  <c r="K67" i="213" s="1"/>
  <c r="D70" i="213"/>
  <c r="D382" i="213"/>
  <c r="F382" i="213" s="1"/>
  <c r="D397" i="213"/>
  <c r="D229" i="213"/>
  <c r="G229" i="213" s="1"/>
  <c r="D565" i="213"/>
  <c r="D122" i="213"/>
  <c r="F122" i="213" s="1"/>
  <c r="D323" i="213"/>
  <c r="D309" i="213"/>
  <c r="H309" i="213" s="1"/>
  <c r="D507" i="213"/>
  <c r="J507" i="213" s="1"/>
  <c r="D66" i="213"/>
  <c r="D320" i="213"/>
  <c r="K320" i="213" s="1"/>
  <c r="D378" i="213"/>
  <c r="G378" i="213" s="1"/>
  <c r="D436" i="213"/>
  <c r="I436" i="213" s="1"/>
  <c r="D369" i="213"/>
  <c r="J369" i="213" s="1"/>
  <c r="D398" i="213"/>
  <c r="H398" i="213" s="1"/>
  <c r="D248" i="213"/>
  <c r="J248" i="213" s="1"/>
  <c r="D253" i="213"/>
  <c r="F253" i="213" s="1"/>
  <c r="D358" i="213"/>
  <c r="G358" i="213" s="1"/>
  <c r="D220" i="213"/>
  <c r="D286" i="213"/>
  <c r="I286" i="213" s="1"/>
  <c r="D555" i="213"/>
  <c r="J555" i="213" s="1"/>
  <c r="D556" i="213"/>
  <c r="F556" i="213" s="1"/>
  <c r="D577" i="213"/>
  <c r="K577" i="213" s="1"/>
  <c r="D125" i="213"/>
  <c r="F125" i="213" s="1"/>
  <c r="D162" i="213"/>
  <c r="D315" i="213"/>
  <c r="F315" i="213" s="1"/>
  <c r="D332" i="213"/>
  <c r="D298" i="213"/>
  <c r="D476" i="213"/>
  <c r="D484" i="213"/>
  <c r="D454" i="213"/>
  <c r="I454" i="213" s="1"/>
  <c r="D422" i="213"/>
  <c r="F422" i="213" s="1"/>
  <c r="D460" i="213"/>
  <c r="K460" i="213" s="1"/>
  <c r="D100" i="213"/>
  <c r="D87" i="213"/>
  <c r="F87" i="213" s="1"/>
  <c r="D266" i="213"/>
  <c r="H266" i="213" s="1"/>
  <c r="D92" i="213"/>
  <c r="K92" i="213" s="1"/>
  <c r="D437" i="213"/>
  <c r="F437" i="213" s="1"/>
  <c r="D205" i="213"/>
  <c r="H205" i="213" s="1"/>
  <c r="D88" i="213"/>
  <c r="F88" i="213" s="1"/>
  <c r="D360" i="213"/>
  <c r="D274" i="213"/>
  <c r="D270" i="213"/>
  <c r="J270" i="213" s="1"/>
  <c r="D258" i="213"/>
  <c r="J258" i="213" s="1"/>
  <c r="D199" i="213"/>
  <c r="F199" i="213" s="1"/>
  <c r="D190" i="213"/>
  <c r="D249" i="213"/>
  <c r="I249" i="213" s="1"/>
  <c r="D533" i="213"/>
  <c r="F533" i="213" s="1"/>
  <c r="D552" i="213"/>
  <c r="H552" i="213" s="1"/>
  <c r="D539" i="213"/>
  <c r="H539" i="213" s="1"/>
  <c r="D170" i="213"/>
  <c r="G170" i="213" s="1"/>
  <c r="D164" i="213"/>
  <c r="K164" i="213" s="1"/>
  <c r="D300" i="213"/>
  <c r="I300" i="213" s="1"/>
  <c r="D338" i="213"/>
  <c r="G338" i="213" s="1"/>
  <c r="D321" i="213"/>
  <c r="G321" i="213" s="1"/>
  <c r="D510" i="213"/>
  <c r="D474" i="213"/>
  <c r="K474" i="213" s="1"/>
  <c r="D449" i="213"/>
  <c r="J449" i="213" s="1"/>
  <c r="D415" i="213"/>
  <c r="K415" i="213" s="1"/>
  <c r="D423" i="213"/>
  <c r="J423" i="213" s="1"/>
  <c r="D103" i="213"/>
  <c r="D90" i="213"/>
  <c r="J90" i="213" s="1"/>
  <c r="D208" i="213"/>
  <c r="J208" i="213" s="1"/>
  <c r="D379" i="213"/>
  <c r="J379" i="213" s="1"/>
  <c r="D89" i="213"/>
  <c r="J89" i="213" s="1"/>
  <c r="D380" i="213"/>
  <c r="H380" i="213" s="1"/>
  <c r="D191" i="213"/>
  <c r="D180" i="213"/>
  <c r="F180" i="213" s="1"/>
  <c r="D354" i="213"/>
  <c r="D194" i="213"/>
  <c r="D252" i="213"/>
  <c r="F252" i="213" s="1"/>
  <c r="D275" i="213"/>
  <c r="J275" i="213" s="1"/>
  <c r="D566" i="213"/>
  <c r="K566" i="213" s="1"/>
  <c r="D560" i="213"/>
  <c r="F560" i="213" s="1"/>
  <c r="D532" i="213"/>
  <c r="I532" i="213" s="1"/>
  <c r="D136" i="213"/>
  <c r="F136" i="213" s="1"/>
  <c r="D123" i="213"/>
  <c r="D312" i="213"/>
  <c r="H312" i="213" s="1"/>
  <c r="D340" i="213"/>
  <c r="J340" i="213" s="1"/>
  <c r="D307" i="213"/>
  <c r="H307" i="213" s="1"/>
  <c r="D497" i="213"/>
  <c r="D499" i="213"/>
  <c r="I499" i="213" s="1"/>
  <c r="D435" i="213"/>
  <c r="H435" i="213" s="1"/>
  <c r="D412" i="213"/>
  <c r="I412" i="213" s="1"/>
  <c r="D427" i="213"/>
  <c r="F427" i="213" s="1"/>
  <c r="D77" i="213"/>
  <c r="J77" i="213" s="1"/>
  <c r="D78" i="213"/>
  <c r="D557" i="213"/>
  <c r="H557" i="213" s="1"/>
  <c r="D506" i="213"/>
  <c r="D262" i="213"/>
  <c r="I262" i="213" s="1"/>
  <c r="D364" i="213"/>
  <c r="J364" i="213" s="1"/>
  <c r="D394" i="213"/>
  <c r="D184" i="213"/>
  <c r="D192" i="213"/>
  <c r="D385" i="213"/>
  <c r="F385" i="213" s="1"/>
  <c r="D193" i="213"/>
  <c r="D254" i="213"/>
  <c r="H254" i="213" s="1"/>
  <c r="D365" i="213"/>
  <c r="K365" i="213" s="1"/>
  <c r="D572" i="213"/>
  <c r="D529" i="213"/>
  <c r="F529" i="213" s="1"/>
  <c r="D543" i="213"/>
  <c r="F543" i="213" s="1"/>
  <c r="D159" i="213"/>
  <c r="H159" i="213" s="1"/>
  <c r="D128" i="213"/>
  <c r="D333" i="213"/>
  <c r="K333" i="213" s="1"/>
  <c r="D299" i="213"/>
  <c r="F299" i="213" s="1"/>
  <c r="D297" i="213"/>
  <c r="D514" i="213"/>
  <c r="F514" i="213" s="1"/>
  <c r="D483" i="213"/>
  <c r="J483" i="213" s="1"/>
  <c r="D451" i="213"/>
  <c r="D414" i="213"/>
  <c r="D426" i="213"/>
  <c r="D64" i="213"/>
  <c r="F64" i="213" s="1"/>
  <c r="D96" i="213"/>
  <c r="F96" i="213" s="1"/>
  <c r="D150" i="213"/>
  <c r="I150" i="213" s="1"/>
  <c r="D206" i="213"/>
  <c r="J206" i="213" s="1"/>
  <c r="D239" i="213"/>
  <c r="D132" i="213"/>
  <c r="H132" i="213" s="1"/>
  <c r="D75" i="213"/>
  <c r="I75" i="213" s="1"/>
  <c r="D204" i="213"/>
  <c r="I204" i="213" s="1"/>
  <c r="D393" i="213"/>
  <c r="F393" i="213" s="1"/>
  <c r="D367" i="213"/>
  <c r="F367" i="213" s="1"/>
  <c r="D181" i="213"/>
  <c r="D224" i="213"/>
  <c r="F224" i="213" s="1"/>
  <c r="D200" i="213"/>
  <c r="F200" i="213" s="1"/>
  <c r="D222" i="213"/>
  <c r="K222" i="213" s="1"/>
  <c r="D402" i="213"/>
  <c r="I402" i="213" s="1"/>
  <c r="D183" i="213"/>
  <c r="F183" i="213" s="1"/>
  <c r="D561" i="213"/>
  <c r="J561" i="213" s="1"/>
  <c r="D531" i="213"/>
  <c r="D138" i="213"/>
  <c r="H138" i="213" s="1"/>
  <c r="D166" i="213"/>
  <c r="F166" i="213" s="1"/>
  <c r="D153" i="213"/>
  <c r="G153" i="213" s="1"/>
  <c r="D311" i="213"/>
  <c r="H311" i="213" s="1"/>
  <c r="D306" i="213"/>
  <c r="H306" i="213" s="1"/>
  <c r="D345" i="213"/>
  <c r="G345" i="213" s="1"/>
  <c r="D471" i="213"/>
  <c r="D502" i="213"/>
  <c r="J502" i="213" s="1"/>
  <c r="D438" i="213"/>
  <c r="F438" i="213" s="1"/>
  <c r="D418" i="213"/>
  <c r="D439" i="213"/>
  <c r="D68" i="213"/>
  <c r="I68" i="213" s="1"/>
  <c r="D93" i="213"/>
  <c r="K93" i="213" s="1"/>
  <c r="D324" i="213"/>
  <c r="K324" i="213" s="1"/>
  <c r="D396" i="213"/>
  <c r="G396" i="213" s="1"/>
  <c r="L115" i="213"/>
  <c r="J587" i="213" s="1"/>
  <c r="J391" i="213"/>
  <c r="G391" i="213"/>
  <c r="H493" i="213"/>
  <c r="I141" i="213"/>
  <c r="G141" i="213"/>
  <c r="K141" i="213"/>
  <c r="H496" i="213"/>
  <c r="L521" i="213"/>
  <c r="J594" i="213" s="1"/>
  <c r="G440" i="213"/>
  <c r="I440" i="213"/>
  <c r="J440" i="213"/>
  <c r="G209" i="213"/>
  <c r="I209" i="213"/>
  <c r="K209" i="213"/>
  <c r="G146" i="213"/>
  <c r="I146" i="213"/>
  <c r="F146" i="213"/>
  <c r="H146" i="213"/>
  <c r="K312" i="213"/>
  <c r="G312" i="213"/>
  <c r="I312" i="213"/>
  <c r="G306" i="213"/>
  <c r="I306" i="213"/>
  <c r="K306" i="213"/>
  <c r="J297" i="213"/>
  <c r="I297" i="213"/>
  <c r="G297" i="213"/>
  <c r="K297" i="213"/>
  <c r="H297" i="213"/>
  <c r="F297" i="213"/>
  <c r="F300" i="213"/>
  <c r="J300" i="213"/>
  <c r="H300" i="213"/>
  <c r="G311" i="213"/>
  <c r="K311" i="213"/>
  <c r="I311" i="213"/>
  <c r="I298" i="213"/>
  <c r="H298" i="213"/>
  <c r="F298" i="213"/>
  <c r="G298" i="213"/>
  <c r="K298" i="213"/>
  <c r="J298" i="213"/>
  <c r="I309" i="213"/>
  <c r="G309" i="213"/>
  <c r="K309" i="213"/>
  <c r="F310" i="213"/>
  <c r="H310" i="213"/>
  <c r="J310" i="213"/>
  <c r="G310" i="213"/>
  <c r="K310" i="213"/>
  <c r="I310" i="213"/>
  <c r="J302" i="213"/>
  <c r="I302" i="213"/>
  <c r="H302" i="213"/>
  <c r="F302" i="213"/>
  <c r="K302" i="213"/>
  <c r="G302" i="213"/>
  <c r="H328" i="213"/>
  <c r="J328" i="213"/>
  <c r="F328" i="213"/>
  <c r="G327" i="213"/>
  <c r="I327" i="213"/>
  <c r="L347" i="213"/>
  <c r="J591" i="213" s="1"/>
  <c r="L126" i="213"/>
  <c r="L366" i="213"/>
  <c r="L365" i="213"/>
  <c r="L460" i="213"/>
  <c r="L420" i="213"/>
  <c r="L419" i="213"/>
  <c r="L359" i="213"/>
  <c r="L361" i="213"/>
  <c r="L362" i="213"/>
  <c r="L357" i="213"/>
  <c r="L287" i="213"/>
  <c r="L250" i="213"/>
  <c r="L424" i="213"/>
  <c r="L416" i="213"/>
  <c r="L417" i="213"/>
  <c r="L371" i="213"/>
  <c r="L358" i="213"/>
  <c r="L229" i="213"/>
  <c r="L429" i="213"/>
  <c r="L430" i="213"/>
  <c r="L249" i="213"/>
  <c r="L403" i="213"/>
  <c r="L228" i="213"/>
  <c r="L423" i="213"/>
  <c r="L461" i="213"/>
  <c r="F366" i="213"/>
  <c r="J366" i="213"/>
  <c r="K366" i="213"/>
  <c r="I366" i="213"/>
  <c r="H366" i="213"/>
  <c r="G366" i="213"/>
  <c r="L130" i="213"/>
  <c r="L147" i="213"/>
  <c r="L152" i="213"/>
  <c r="L133" i="213"/>
  <c r="L157" i="213"/>
  <c r="L125" i="213"/>
  <c r="L122" i="213"/>
  <c r="L150" i="213"/>
  <c r="L153" i="213"/>
  <c r="L159" i="213"/>
  <c r="L134" i="213"/>
  <c r="L160" i="213"/>
  <c r="L156" i="213"/>
  <c r="J496" i="213" l="1"/>
  <c r="J282" i="213"/>
  <c r="F74" i="213"/>
  <c r="K431" i="213"/>
  <c r="H74" i="213"/>
  <c r="H425" i="213"/>
  <c r="G431" i="213"/>
  <c r="J544" i="213"/>
  <c r="J425" i="213"/>
  <c r="I431" i="213"/>
  <c r="I482" i="213"/>
  <c r="I571" i="213"/>
  <c r="I228" i="213"/>
  <c r="K228" i="213"/>
  <c r="I250" i="213"/>
  <c r="J456" i="213"/>
  <c r="H573" i="213"/>
  <c r="H440" i="213"/>
  <c r="F440" i="213"/>
  <c r="H282" i="213"/>
  <c r="I416" i="213"/>
  <c r="J148" i="213"/>
  <c r="G403" i="213"/>
  <c r="F147" i="213"/>
  <c r="H370" i="213"/>
  <c r="J145" i="213"/>
  <c r="H145" i="213"/>
  <c r="J473" i="213"/>
  <c r="J370" i="213"/>
  <c r="H391" i="213"/>
  <c r="I133" i="213"/>
  <c r="I112" i="213"/>
  <c r="F428" i="213"/>
  <c r="K540" i="213"/>
  <c r="I83" i="213"/>
  <c r="G416" i="213"/>
  <c r="J316" i="213"/>
  <c r="G250" i="213"/>
  <c r="G495" i="213"/>
  <c r="F573" i="213"/>
  <c r="G83" i="213"/>
  <c r="K211" i="213"/>
  <c r="J428" i="213"/>
  <c r="G147" i="213"/>
  <c r="H316" i="213"/>
  <c r="F250" i="213"/>
  <c r="F540" i="213"/>
  <c r="H250" i="213"/>
  <c r="H540" i="213"/>
  <c r="K391" i="213"/>
  <c r="I241" i="213"/>
  <c r="K257" i="213"/>
  <c r="I403" i="213"/>
  <c r="I147" i="213"/>
  <c r="J542" i="213"/>
  <c r="J84" i="213"/>
  <c r="K112" i="213"/>
  <c r="J250" i="213"/>
  <c r="F493" i="213"/>
  <c r="G106" i="213"/>
  <c r="K495" i="213"/>
  <c r="H553" i="213"/>
  <c r="H322" i="213"/>
  <c r="G126" i="213"/>
  <c r="K242" i="213"/>
  <c r="H154" i="213"/>
  <c r="K106" i="213"/>
  <c r="G344" i="213"/>
  <c r="G436" i="213"/>
  <c r="K217" i="213"/>
  <c r="F435" i="213"/>
  <c r="J415" i="213"/>
  <c r="J322" i="213"/>
  <c r="F311" i="213"/>
  <c r="G325" i="213"/>
  <c r="F495" i="213"/>
  <c r="H473" i="213"/>
  <c r="G571" i="213"/>
  <c r="H427" i="213"/>
  <c r="G461" i="213"/>
  <c r="H212" i="213"/>
  <c r="J549" i="213"/>
  <c r="K241" i="213"/>
  <c r="F137" i="213"/>
  <c r="K449" i="213"/>
  <c r="H238" i="213"/>
  <c r="H320" i="213"/>
  <c r="J540" i="213"/>
  <c r="J554" i="213"/>
  <c r="F108" i="213"/>
  <c r="G242" i="213"/>
  <c r="I242" i="213"/>
  <c r="F544" i="213"/>
  <c r="F142" i="213"/>
  <c r="G441" i="213"/>
  <c r="H308" i="213"/>
  <c r="I125" i="213"/>
  <c r="J529" i="213"/>
  <c r="I553" i="213"/>
  <c r="I423" i="213"/>
  <c r="H324" i="213"/>
  <c r="G578" i="213"/>
  <c r="F84" i="213"/>
  <c r="G249" i="213"/>
  <c r="H494" i="213"/>
  <c r="K300" i="213"/>
  <c r="F154" i="213"/>
  <c r="F248" i="213"/>
  <c r="G540" i="213"/>
  <c r="J241" i="213"/>
  <c r="H379" i="213"/>
  <c r="I257" i="213"/>
  <c r="H251" i="213"/>
  <c r="F480" i="213"/>
  <c r="I122" i="213"/>
  <c r="G300" i="213"/>
  <c r="K344" i="213"/>
  <c r="I211" i="213"/>
  <c r="K578" i="213"/>
  <c r="H549" i="213"/>
  <c r="F241" i="213"/>
  <c r="I519" i="213"/>
  <c r="K171" i="213"/>
  <c r="F482" i="213"/>
  <c r="H206" i="213"/>
  <c r="H374" i="213"/>
  <c r="J480" i="213"/>
  <c r="K553" i="213"/>
  <c r="K512" i="213"/>
  <c r="G460" i="213"/>
  <c r="G217" i="213"/>
  <c r="H108" i="213"/>
  <c r="F67" i="213"/>
  <c r="J200" i="213"/>
  <c r="K267" i="213"/>
  <c r="J238" i="213"/>
  <c r="H364" i="213"/>
  <c r="F423" i="213"/>
  <c r="H217" i="213"/>
  <c r="I548" i="213"/>
  <c r="H89" i="213"/>
  <c r="G424" i="213"/>
  <c r="I461" i="213"/>
  <c r="J212" i="213"/>
  <c r="F320" i="213"/>
  <c r="F557" i="213"/>
  <c r="F251" i="213"/>
  <c r="H456" i="213"/>
  <c r="G286" i="213"/>
  <c r="J495" i="213"/>
  <c r="F379" i="213"/>
  <c r="G95" i="213"/>
  <c r="I391" i="213"/>
  <c r="I415" i="213"/>
  <c r="H137" i="213"/>
  <c r="I320" i="213"/>
  <c r="G241" i="213"/>
  <c r="I495" i="213"/>
  <c r="G257" i="213"/>
  <c r="H482" i="213"/>
  <c r="I449" i="213"/>
  <c r="K204" i="213"/>
  <c r="H514" i="213"/>
  <c r="J427" i="213"/>
  <c r="F159" i="213"/>
  <c r="I441" i="213"/>
  <c r="K113" i="213"/>
  <c r="I76" i="213"/>
  <c r="K238" i="213"/>
  <c r="J324" i="213"/>
  <c r="J438" i="213"/>
  <c r="I557" i="213"/>
  <c r="K269" i="213"/>
  <c r="I170" i="213"/>
  <c r="I558" i="213"/>
  <c r="H485" i="213"/>
  <c r="K424" i="213"/>
  <c r="F324" i="213"/>
  <c r="G205" i="213"/>
  <c r="F217" i="213"/>
  <c r="H542" i="213"/>
  <c r="H436" i="213"/>
  <c r="G519" i="213"/>
  <c r="G379" i="213"/>
  <c r="J482" i="213"/>
  <c r="K325" i="213"/>
  <c r="H133" i="213"/>
  <c r="I217" i="213"/>
  <c r="H248" i="213"/>
  <c r="F264" i="213"/>
  <c r="H67" i="213"/>
  <c r="J553" i="213"/>
  <c r="J88" i="213"/>
  <c r="F415" i="213"/>
  <c r="G449" i="213"/>
  <c r="K529" i="213"/>
  <c r="G92" i="213"/>
  <c r="K249" i="213"/>
  <c r="G553" i="213"/>
  <c r="K95" i="213"/>
  <c r="F275" i="213"/>
  <c r="H423" i="213"/>
  <c r="J311" i="213"/>
  <c r="F308" i="213"/>
  <c r="G125" i="213"/>
  <c r="H449" i="213"/>
  <c r="G529" i="213"/>
  <c r="F270" i="213"/>
  <c r="F436" i="213"/>
  <c r="H166" i="213"/>
  <c r="I67" i="213"/>
  <c r="K379" i="213"/>
  <c r="G554" i="213"/>
  <c r="I222" i="213"/>
  <c r="K423" i="213"/>
  <c r="H333" i="213"/>
  <c r="H438" i="213"/>
  <c r="H483" i="213"/>
  <c r="K436" i="213"/>
  <c r="H87" i="213"/>
  <c r="K338" i="213"/>
  <c r="K437" i="213"/>
  <c r="H532" i="213"/>
  <c r="H88" i="213"/>
  <c r="G558" i="213"/>
  <c r="K548" i="213"/>
  <c r="J312" i="213"/>
  <c r="H150" i="213"/>
  <c r="F261" i="213"/>
  <c r="F150" i="213"/>
  <c r="H415" i="213"/>
  <c r="I324" i="213"/>
  <c r="G159" i="213"/>
  <c r="F138" i="213"/>
  <c r="G211" i="213"/>
  <c r="I92" i="213"/>
  <c r="H264" i="213"/>
  <c r="F254" i="213"/>
  <c r="K482" i="213"/>
  <c r="J96" i="213"/>
  <c r="F75" i="213"/>
  <c r="J308" i="213"/>
  <c r="G324" i="213"/>
  <c r="I159" i="213"/>
  <c r="F206" i="213"/>
  <c r="H529" i="213"/>
  <c r="J436" i="213"/>
  <c r="F249" i="213"/>
  <c r="I379" i="213"/>
  <c r="H545" i="213"/>
  <c r="J552" i="213"/>
  <c r="J539" i="213"/>
  <c r="H96" i="213"/>
  <c r="G423" i="213"/>
  <c r="G415" i="213"/>
  <c r="I333" i="213"/>
  <c r="I153" i="213"/>
  <c r="I529" i="213"/>
  <c r="F262" i="213"/>
  <c r="H200" i="213"/>
  <c r="J266" i="213"/>
  <c r="K558" i="213"/>
  <c r="I93" i="213"/>
  <c r="F494" i="213"/>
  <c r="J79" i="213"/>
  <c r="F238" i="213"/>
  <c r="H125" i="213"/>
  <c r="H502" i="213"/>
  <c r="G557" i="213"/>
  <c r="K286" i="213"/>
  <c r="G67" i="213"/>
  <c r="K88" i="213"/>
  <c r="H76" i="213"/>
  <c r="J75" i="213"/>
  <c r="F312" i="213"/>
  <c r="F449" i="213"/>
  <c r="J320" i="213"/>
  <c r="H270" i="213"/>
  <c r="J557" i="213"/>
  <c r="J67" i="213"/>
  <c r="I88" i="213"/>
  <c r="I554" i="213"/>
  <c r="J485" i="213"/>
  <c r="I64" i="213"/>
  <c r="J138" i="213"/>
  <c r="G320" i="213"/>
  <c r="G269" i="213"/>
  <c r="H92" i="213"/>
  <c r="H321" i="213"/>
  <c r="G88" i="213"/>
  <c r="H554" i="213"/>
  <c r="G113" i="213"/>
  <c r="G267" i="213"/>
  <c r="K499" i="213"/>
  <c r="F432" i="213"/>
  <c r="F309" i="213"/>
  <c r="H135" i="213"/>
  <c r="G443" i="213"/>
  <c r="H422" i="213"/>
  <c r="F307" i="213"/>
  <c r="F306" i="213"/>
  <c r="J309" i="213"/>
  <c r="F133" i="213"/>
  <c r="J490" i="213"/>
  <c r="G280" i="213"/>
  <c r="J422" i="213"/>
  <c r="F333" i="213"/>
  <c r="G296" i="213"/>
  <c r="H490" i="213"/>
  <c r="I269" i="213"/>
  <c r="I280" i="213"/>
  <c r="J321" i="213"/>
  <c r="F545" i="213"/>
  <c r="F473" i="213"/>
  <c r="F539" i="213"/>
  <c r="G566" i="213"/>
  <c r="J142" i="213"/>
  <c r="G75" i="213"/>
  <c r="G560" i="213"/>
  <c r="K473" i="213"/>
  <c r="G151" i="213"/>
  <c r="G437" i="213"/>
  <c r="G76" i="213"/>
  <c r="J166" i="213"/>
  <c r="F77" i="213"/>
  <c r="G204" i="213"/>
  <c r="K76" i="213"/>
  <c r="H486" i="213"/>
  <c r="J135" i="213"/>
  <c r="G307" i="213"/>
  <c r="F296" i="213"/>
  <c r="G150" i="213"/>
  <c r="K557" i="213"/>
  <c r="H249" i="213"/>
  <c r="I489" i="213"/>
  <c r="I338" i="213"/>
  <c r="G494" i="213"/>
  <c r="I287" i="213"/>
  <c r="J76" i="213"/>
  <c r="F486" i="213"/>
  <c r="I473" i="213"/>
  <c r="H296" i="213"/>
  <c r="J444" i="213"/>
  <c r="G489" i="213"/>
  <c r="K307" i="213"/>
  <c r="K443" i="213"/>
  <c r="K315" i="213"/>
  <c r="J307" i="213"/>
  <c r="K296" i="213"/>
  <c r="H444" i="213"/>
  <c r="F502" i="213"/>
  <c r="I315" i="213"/>
  <c r="H262" i="213"/>
  <c r="K170" i="213"/>
  <c r="I266" i="213"/>
  <c r="K489" i="213"/>
  <c r="F340" i="213"/>
  <c r="K89" i="213"/>
  <c r="G512" i="213"/>
  <c r="I307" i="213"/>
  <c r="G333" i="213"/>
  <c r="G315" i="213"/>
  <c r="J306" i="213"/>
  <c r="J333" i="213"/>
  <c r="J296" i="213"/>
  <c r="F90" i="213"/>
  <c r="F258" i="213"/>
  <c r="K266" i="213"/>
  <c r="F552" i="213"/>
  <c r="I275" i="213"/>
  <c r="G454" i="213"/>
  <c r="J253" i="213"/>
  <c r="G164" i="213"/>
  <c r="H90" i="213"/>
  <c r="H258" i="213"/>
  <c r="H561" i="213"/>
  <c r="J377" i="213"/>
  <c r="J374" i="213"/>
  <c r="H386" i="213"/>
  <c r="F386" i="213"/>
  <c r="H367" i="213"/>
  <c r="F205" i="213"/>
  <c r="J92" i="213"/>
  <c r="J262" i="213"/>
  <c r="J87" i="213"/>
  <c r="K554" i="213"/>
  <c r="H77" i="213"/>
  <c r="G275" i="213"/>
  <c r="I494" i="213"/>
  <c r="I566" i="213"/>
  <c r="K287" i="213"/>
  <c r="H122" i="213"/>
  <c r="H75" i="213"/>
  <c r="F132" i="213"/>
  <c r="H340" i="213"/>
  <c r="H134" i="213"/>
  <c r="F483" i="213"/>
  <c r="J249" i="213"/>
  <c r="F266" i="213"/>
  <c r="J254" i="213"/>
  <c r="G171" i="213"/>
  <c r="I437" i="213"/>
  <c r="I518" i="213"/>
  <c r="J261" i="213"/>
  <c r="I89" i="213"/>
  <c r="G64" i="213"/>
  <c r="I164" i="213"/>
  <c r="G122" i="213"/>
  <c r="F321" i="213"/>
  <c r="G266" i="213"/>
  <c r="H437" i="213"/>
  <c r="K533" i="213"/>
  <c r="G89" i="213"/>
  <c r="J435" i="213"/>
  <c r="F561" i="213"/>
  <c r="F92" i="213"/>
  <c r="K262" i="213"/>
  <c r="K321" i="213"/>
  <c r="G222" i="213"/>
  <c r="G93" i="213"/>
  <c r="J204" i="213"/>
  <c r="F79" i="213"/>
  <c r="H253" i="213"/>
  <c r="H432" i="213"/>
  <c r="I577" i="213"/>
  <c r="G262" i="213"/>
  <c r="K275" i="213"/>
  <c r="G548" i="213"/>
  <c r="F566" i="213"/>
  <c r="F204" i="213"/>
  <c r="I263" i="213"/>
  <c r="I560" i="213"/>
  <c r="J566" i="213"/>
  <c r="I357" i="213"/>
  <c r="K382" i="213"/>
  <c r="K358" i="213"/>
  <c r="I358" i="213"/>
  <c r="F377" i="213"/>
  <c r="F364" i="213"/>
  <c r="H382" i="213"/>
  <c r="K357" i="213"/>
  <c r="F357" i="213"/>
  <c r="I365" i="213"/>
  <c r="J367" i="213"/>
  <c r="J357" i="213"/>
  <c r="G382" i="213"/>
  <c r="H365" i="213"/>
  <c r="H369" i="213"/>
  <c r="G365" i="213"/>
  <c r="H357" i="213"/>
  <c r="F369" i="213"/>
  <c r="F365" i="213"/>
  <c r="J365" i="213"/>
  <c r="G385" i="213"/>
  <c r="J378" i="213"/>
  <c r="F380" i="213"/>
  <c r="I378" i="213"/>
  <c r="J382" i="213"/>
  <c r="G402" i="213"/>
  <c r="K402" i="213"/>
  <c r="I382" i="213"/>
  <c r="I385" i="213"/>
  <c r="K378" i="213"/>
  <c r="K396" i="213"/>
  <c r="F378" i="213"/>
  <c r="H424" i="213"/>
  <c r="K308" i="213"/>
  <c r="I134" i="213"/>
  <c r="K205" i="213"/>
  <c r="I208" i="213"/>
  <c r="K470" i="213"/>
  <c r="H80" i="213"/>
  <c r="G541" i="213"/>
  <c r="F398" i="213"/>
  <c r="H224" i="213"/>
  <c r="G68" i="213"/>
  <c r="G533" i="213"/>
  <c r="K454" i="213"/>
  <c r="F532" i="213"/>
  <c r="G263" i="213"/>
  <c r="K64" i="213"/>
  <c r="H378" i="213"/>
  <c r="I460" i="213"/>
  <c r="I424" i="213"/>
  <c r="G308" i="213"/>
  <c r="F134" i="213"/>
  <c r="J205" i="213"/>
  <c r="J470" i="213"/>
  <c r="F80" i="213"/>
  <c r="K541" i="213"/>
  <c r="J398" i="213"/>
  <c r="J224" i="213"/>
  <c r="K68" i="213"/>
  <c r="K532" i="213"/>
  <c r="J263" i="213"/>
  <c r="F148" i="213"/>
  <c r="H208" i="213"/>
  <c r="J424" i="213"/>
  <c r="J132" i="213"/>
  <c r="I205" i="213"/>
  <c r="G208" i="213"/>
  <c r="J481" i="213"/>
  <c r="I470" i="213"/>
  <c r="J541" i="213"/>
  <c r="I533" i="213"/>
  <c r="I267" i="213"/>
  <c r="G532" i="213"/>
  <c r="J380" i="213"/>
  <c r="K263" i="213"/>
  <c r="H64" i="213"/>
  <c r="J514" i="213"/>
  <c r="G577" i="213"/>
  <c r="G383" i="213"/>
  <c r="G299" i="213"/>
  <c r="K345" i="213"/>
  <c r="F208" i="213"/>
  <c r="K507" i="213"/>
  <c r="F481" i="213"/>
  <c r="H470" i="213"/>
  <c r="G373" i="213"/>
  <c r="K101" i="213"/>
  <c r="F541" i="213"/>
  <c r="G199" i="213"/>
  <c r="F498" i="213"/>
  <c r="J532" i="213"/>
  <c r="H263" i="213"/>
  <c r="I383" i="213"/>
  <c r="H299" i="213"/>
  <c r="I345" i="213"/>
  <c r="K208" i="213"/>
  <c r="F507" i="213"/>
  <c r="I481" i="213"/>
  <c r="G470" i="213"/>
  <c r="I373" i="213"/>
  <c r="F101" i="213"/>
  <c r="H541" i="213"/>
  <c r="K199" i="213"/>
  <c r="G498" i="213"/>
  <c r="J64" i="213"/>
  <c r="K383" i="213"/>
  <c r="J299" i="213"/>
  <c r="H507" i="213"/>
  <c r="K373" i="213"/>
  <c r="G101" i="213"/>
  <c r="I199" i="213"/>
  <c r="K498" i="213"/>
  <c r="F555" i="213"/>
  <c r="G481" i="213"/>
  <c r="K299" i="213"/>
  <c r="G507" i="213"/>
  <c r="K481" i="213"/>
  <c r="F319" i="213"/>
  <c r="I396" i="213"/>
  <c r="H101" i="213"/>
  <c r="I321" i="213"/>
  <c r="G474" i="213"/>
  <c r="H275" i="213"/>
  <c r="J437" i="213"/>
  <c r="G501" i="213"/>
  <c r="G518" i="213"/>
  <c r="J494" i="213"/>
  <c r="H566" i="213"/>
  <c r="H204" i="213"/>
  <c r="H203" i="213"/>
  <c r="H498" i="213"/>
  <c r="F89" i="213"/>
  <c r="G499" i="213"/>
  <c r="H555" i="213"/>
  <c r="K75" i="213"/>
  <c r="K560" i="213"/>
  <c r="G238" i="213"/>
  <c r="I299" i="213"/>
  <c r="J319" i="213"/>
  <c r="J101" i="213"/>
  <c r="I474" i="213"/>
  <c r="I501" i="213"/>
  <c r="J203" i="213"/>
  <c r="J498" i="213"/>
  <c r="I507" i="213"/>
  <c r="K385" i="213"/>
  <c r="K229" i="213"/>
  <c r="I229" i="213"/>
  <c r="L198" i="213"/>
  <c r="L192" i="213"/>
  <c r="L185" i="213"/>
  <c r="L187" i="213"/>
  <c r="L183" i="213"/>
  <c r="L415" i="213"/>
  <c r="L184" i="213"/>
  <c r="L188" i="213"/>
  <c r="L191" i="213"/>
  <c r="L197" i="213"/>
  <c r="L180" i="213"/>
  <c r="J146" i="213"/>
  <c r="K146" i="213"/>
  <c r="J133" i="213"/>
  <c r="K133" i="213"/>
  <c r="K160" i="213"/>
  <c r="J160" i="213"/>
  <c r="K155" i="213"/>
  <c r="K126" i="213"/>
  <c r="K152" i="213"/>
  <c r="J152" i="213"/>
  <c r="K127" i="213"/>
  <c r="K156" i="213"/>
  <c r="K153" i="213"/>
  <c r="J147" i="213"/>
  <c r="K147" i="213"/>
  <c r="J122" i="213"/>
  <c r="K122" i="213"/>
  <c r="J150" i="213"/>
  <c r="K150" i="213"/>
  <c r="K159" i="213"/>
  <c r="J159" i="213"/>
  <c r="K157" i="213"/>
  <c r="J125" i="213"/>
  <c r="K125" i="213"/>
  <c r="L289" i="213"/>
  <c r="J590" i="213" s="1"/>
  <c r="L127" i="213"/>
  <c r="L155" i="213"/>
  <c r="I115" i="213" l="1"/>
  <c r="G587" i="213" s="1"/>
  <c r="F289" i="213"/>
  <c r="D590" i="213" s="1"/>
  <c r="G347" i="213"/>
  <c r="E591" i="213" s="1"/>
  <c r="H115" i="213"/>
  <c r="F587" i="213" s="1"/>
  <c r="J580" i="213"/>
  <c r="H595" i="213" s="1"/>
  <c r="F347" i="213"/>
  <c r="D591" i="213" s="1"/>
  <c r="H521" i="213"/>
  <c r="F594" i="213" s="1"/>
  <c r="K580" i="213"/>
  <c r="I595" i="213" s="1"/>
  <c r="K521" i="213"/>
  <c r="I594" i="213" s="1"/>
  <c r="F521" i="213"/>
  <c r="D594" i="213" s="1"/>
  <c r="F580" i="213"/>
  <c r="D595" i="213" s="1"/>
  <c r="H347" i="213"/>
  <c r="F591" i="213" s="1"/>
  <c r="G521" i="213"/>
  <c r="E594" i="213" s="1"/>
  <c r="E6" i="236" s="1" a="1"/>
  <c r="E6" i="236" s="1"/>
  <c r="G6" i="236" s="1"/>
  <c r="I347" i="213"/>
  <c r="G591" i="213" s="1"/>
  <c r="J115" i="213"/>
  <c r="H587" i="213" s="1"/>
  <c r="K115" i="213"/>
  <c r="I587" i="213" s="1"/>
  <c r="F115" i="213"/>
  <c r="D587" i="213" s="1"/>
  <c r="G115" i="213"/>
  <c r="E587" i="213" s="1"/>
  <c r="I521" i="213"/>
  <c r="G594" i="213" s="1"/>
  <c r="E6" i="239" s="1" a="1"/>
  <c r="E6" i="239" s="1"/>
  <c r="G6" i="239" s="1"/>
  <c r="J521" i="213"/>
  <c r="H594" i="213" s="1"/>
  <c r="J347" i="213"/>
  <c r="H591" i="213" s="1"/>
  <c r="K347" i="213"/>
  <c r="I591" i="213" s="1"/>
  <c r="E6" i="237" a="1"/>
  <c r="E6" i="237" s="1"/>
  <c r="G6" i="237" s="1"/>
  <c r="E18" i="239" a="1"/>
  <c r="E18" i="239" s="1"/>
  <c r="G18" i="239" s="1"/>
  <c r="E16" i="239" a="1"/>
  <c r="E16" i="239" s="1"/>
  <c r="G16" i="239" s="1"/>
  <c r="E20" i="239" a="1"/>
  <c r="E20" i="239" s="1"/>
  <c r="G20" i="239" s="1"/>
  <c r="L231" i="213"/>
  <c r="J589" i="213" s="1"/>
  <c r="L412" i="213"/>
  <c r="L463" i="213" s="1"/>
  <c r="J593" i="213" s="1"/>
  <c r="L173" i="213"/>
  <c r="J588" i="213" s="1"/>
  <c r="K134" i="213"/>
  <c r="J134" i="213"/>
  <c r="J130" i="213"/>
  <c r="K130" i="213"/>
  <c r="K151" i="213"/>
  <c r="F197" i="213"/>
  <c r="G197" i="213"/>
  <c r="K197" i="213"/>
  <c r="J197" i="213"/>
  <c r="I197" i="213"/>
  <c r="H197" i="213"/>
  <c r="H183" i="213"/>
  <c r="G183" i="213"/>
  <c r="I183" i="213"/>
  <c r="J183" i="213"/>
  <c r="K183" i="213"/>
  <c r="G188" i="213"/>
  <c r="K188" i="213"/>
  <c r="J188" i="213"/>
  <c r="I188" i="213"/>
  <c r="H188" i="213"/>
  <c r="F188" i="213"/>
  <c r="I192" i="213"/>
  <c r="H192" i="213"/>
  <c r="G192" i="213"/>
  <c r="K192" i="213"/>
  <c r="F192" i="213"/>
  <c r="J192" i="213"/>
  <c r="G198" i="213"/>
  <c r="F198" i="213"/>
  <c r="I198" i="213"/>
  <c r="K198" i="213"/>
  <c r="H198" i="213"/>
  <c r="J198" i="213"/>
  <c r="I184" i="213"/>
  <c r="K184" i="213"/>
  <c r="G184" i="213"/>
  <c r="J193" i="213"/>
  <c r="H193" i="213"/>
  <c r="F193" i="213"/>
  <c r="J412" i="213"/>
  <c r="H412" i="213"/>
  <c r="G412" i="213"/>
  <c r="F412" i="213"/>
  <c r="K412" i="213"/>
  <c r="K180" i="213"/>
  <c r="J180" i="213"/>
  <c r="G180" i="213"/>
  <c r="I180" i="213"/>
  <c r="H180" i="213"/>
  <c r="K187" i="213"/>
  <c r="I187" i="213"/>
  <c r="G187" i="213"/>
  <c r="F196" i="213"/>
  <c r="J196" i="213"/>
  <c r="H196" i="213"/>
  <c r="F354" i="213"/>
  <c r="F405" i="213" s="1"/>
  <c r="D592" i="213" s="1"/>
  <c r="G354" i="213"/>
  <c r="K354" i="213"/>
  <c r="H354" i="213"/>
  <c r="J354" i="213"/>
  <c r="I354" i="213"/>
  <c r="J195" i="213"/>
  <c r="H195" i="213"/>
  <c r="F195" i="213"/>
  <c r="I185" i="213"/>
  <c r="G185" i="213"/>
  <c r="K185" i="213"/>
  <c r="H191" i="213"/>
  <c r="G191" i="213"/>
  <c r="J191" i="213"/>
  <c r="I191" i="213"/>
  <c r="F191" i="213"/>
  <c r="K191" i="213"/>
  <c r="F190" i="213"/>
  <c r="H190" i="213"/>
  <c r="J190" i="213"/>
  <c r="G289" i="213"/>
  <c r="K289" i="213"/>
  <c r="J289" i="213"/>
  <c r="H590" i="213" s="1"/>
  <c r="I289" i="213"/>
  <c r="H289" i="213"/>
  <c r="F590" i="213" s="1"/>
  <c r="E10" i="239" l="1" a="1"/>
  <c r="E10" i="239" s="1"/>
  <c r="G10" i="239" s="1"/>
  <c r="E13" i="239" a="1"/>
  <c r="E13" i="239" s="1"/>
  <c r="G13" i="239" s="1"/>
  <c r="E9" i="239" a="1"/>
  <c r="E9" i="239" s="1"/>
  <c r="G9" i="239" s="1"/>
  <c r="I590" i="213"/>
  <c r="G590" i="213"/>
  <c r="E590" i="213"/>
  <c r="H173" i="213"/>
  <c r="F588" i="213" s="1"/>
  <c r="F173" i="213"/>
  <c r="D588" i="213" s="1"/>
  <c r="L580" i="213"/>
  <c r="J595" i="213" s="1"/>
  <c r="J173" i="213"/>
  <c r="H588" i="213" s="1"/>
  <c r="G173" i="213"/>
  <c r="E588" i="213" s="1"/>
  <c r="K173" i="213"/>
  <c r="I173" i="213"/>
  <c r="F231" i="213"/>
  <c r="D589" i="213" s="1"/>
  <c r="H463" i="213"/>
  <c r="F593" i="213" s="1"/>
  <c r="I463" i="213"/>
  <c r="G593" i="213" s="1"/>
  <c r="F463" i="213"/>
  <c r="D593" i="213" s="1"/>
  <c r="J231" i="213"/>
  <c r="H589" i="213" s="1"/>
  <c r="G463" i="213"/>
  <c r="E593" i="213" s="1"/>
  <c r="E8" i="236" s="1" a="1"/>
  <c r="E8" i="236" s="1"/>
  <c r="I231" i="213"/>
  <c r="G589" i="213" s="1"/>
  <c r="E15" i="239" s="1" a="1"/>
  <c r="E15" i="239" s="1"/>
  <c r="G15" i="239" s="1"/>
  <c r="J463" i="213"/>
  <c r="H593" i="213" s="1"/>
  <c r="G231" i="213"/>
  <c r="E589" i="213" s="1"/>
  <c r="K231" i="213"/>
  <c r="I589" i="213" s="1"/>
  <c r="E7" i="237" s="1" a="1"/>
  <c r="E7" i="237" s="1"/>
  <c r="G7" i="237" s="1"/>
  <c r="H231" i="213"/>
  <c r="F589" i="213" s="1"/>
  <c r="K463" i="213"/>
  <c r="I593" i="213" s="1"/>
  <c r="H405" i="213"/>
  <c r="F592" i="213" s="1"/>
  <c r="J405" i="213"/>
  <c r="H592" i="213" s="1"/>
  <c r="I405" i="213"/>
  <c r="G592" i="213" s="1"/>
  <c r="K405" i="213"/>
  <c r="I592" i="213" s="1"/>
  <c r="E8" i="237" s="1" a="1"/>
  <c r="E8" i="237" s="1"/>
  <c r="G8" i="237" s="1"/>
  <c r="G34" i="237" s="1"/>
  <c r="G405" i="213"/>
  <c r="E592" i="213" s="1"/>
  <c r="E9" i="236" l="1" a="1"/>
  <c r="E9" i="236" s="1"/>
  <c r="G9" i="236" s="1"/>
  <c r="C599" i="213"/>
  <c r="G607" i="213"/>
  <c r="G606" i="213"/>
  <c r="G605" i="213"/>
  <c r="G604" i="213"/>
  <c r="G603" i="213"/>
  <c r="G602" i="213"/>
  <c r="G601" i="213"/>
  <c r="C607" i="213"/>
  <c r="C606" i="213"/>
  <c r="C605" i="213"/>
  <c r="C604" i="213"/>
  <c r="C603" i="213"/>
  <c r="C602" i="213"/>
  <c r="C601" i="213"/>
  <c r="E7" i="236" a="1"/>
  <c r="E7" i="236" s="1"/>
  <c r="G7" i="236" s="1"/>
  <c r="G8" i="236"/>
  <c r="G600" i="213"/>
  <c r="G599" i="213"/>
  <c r="C600" i="213"/>
  <c r="E25" i="239" a="1"/>
  <c r="E25" i="239" s="1"/>
  <c r="G25" i="239" s="1"/>
  <c r="E7" i="239" a="1"/>
  <c r="E7" i="239" s="1"/>
  <c r="G7" i="239" s="1"/>
  <c r="E23" i="239" a="1"/>
  <c r="E23" i="239" s="1"/>
  <c r="G23" i="239" s="1"/>
  <c r="E21" i="239" a="1"/>
  <c r="E21" i="239" s="1"/>
  <c r="G21" i="239" s="1"/>
  <c r="E22" i="239" a="1"/>
  <c r="E22" i="239" s="1"/>
  <c r="G22" i="239" s="1"/>
  <c r="I588" i="213"/>
  <c r="G588" i="213"/>
  <c r="H580" i="213"/>
  <c r="F595" i="213" s="1"/>
  <c r="G580" i="213"/>
  <c r="E595" i="213" s="1"/>
  <c r="I580" i="213"/>
  <c r="G595" i="213" s="1"/>
  <c r="E24" i="239" s="1" a="1"/>
  <c r="E24" i="239" s="1"/>
  <c r="G24" i="239" s="1"/>
  <c r="D600" i="213" l="1"/>
  <c r="D607" i="213"/>
  <c r="D606" i="213"/>
  <c r="D605" i="213"/>
  <c r="D604" i="213"/>
  <c r="D603" i="213"/>
  <c r="D602" i="213"/>
  <c r="D601" i="213"/>
  <c r="E607" i="213"/>
  <c r="E606" i="213"/>
  <c r="E605" i="213"/>
  <c r="E604" i="213"/>
  <c r="E603" i="213"/>
  <c r="E602" i="213"/>
  <c r="E601" i="213"/>
  <c r="F607" i="213"/>
  <c r="F606" i="213"/>
  <c r="F605" i="213"/>
  <c r="F604" i="213"/>
  <c r="F603" i="213"/>
  <c r="F602" i="213"/>
  <c r="F601" i="213"/>
  <c r="G38" i="236"/>
  <c r="E600" i="213"/>
  <c r="E12" i="239" a="1"/>
  <c r="E12" i="239" s="1"/>
  <c r="G12" i="239" s="1"/>
  <c r="E11" i="239" a="1"/>
  <c r="E11" i="239" s="1"/>
  <c r="G11" i="239" s="1"/>
  <c r="E8" i="239" a="1"/>
  <c r="E8" i="239" s="1"/>
  <c r="G8" i="239" s="1"/>
  <c r="E599" i="213"/>
  <c r="F600" i="213"/>
  <c r="F599" i="213"/>
  <c r="H599" i="213"/>
  <c r="H600" i="213"/>
  <c r="D599" i="213"/>
  <c r="H5" i="241"/>
  <c r="H7" i="241"/>
  <c r="H9" i="241"/>
  <c r="E19" i="239" a="1"/>
  <c r="E19" i="239" s="1"/>
  <c r="G19" i="239" s="1"/>
  <c r="E14" i="239" a="1"/>
  <c r="E14" i="239" s="1"/>
  <c r="G14" i="239" s="1"/>
  <c r="E17" i="239" a="1"/>
  <c r="E17" i="239" s="1"/>
  <c r="G17" i="239" s="1"/>
  <c r="I17" i="239" s="1"/>
  <c r="I48" i="31"/>
  <c r="I47" i="31"/>
  <c r="I46" i="31"/>
  <c r="I45" i="31"/>
  <c r="I44" i="31"/>
  <c r="I43" i="31"/>
  <c r="I42" i="31"/>
  <c r="I36" i="31"/>
  <c r="I35" i="31"/>
  <c r="I34" i="31"/>
  <c r="I33" i="31"/>
  <c r="I32" i="31"/>
  <c r="I31" i="31"/>
  <c r="I30" i="31"/>
  <c r="I14" i="239" l="1"/>
  <c r="I19" i="239"/>
  <c r="I8" i="239"/>
  <c r="I24" i="239"/>
  <c r="I22" i="239"/>
  <c r="I21" i="239"/>
  <c r="I23" i="239"/>
  <c r="I7" i="239"/>
  <c r="I20" i="239"/>
  <c r="I16" i="239"/>
  <c r="I18" i="239"/>
  <c r="I6" i="239"/>
  <c r="I15" i="239"/>
  <c r="I9" i="239"/>
  <c r="I13" i="239"/>
  <c r="I10" i="239"/>
  <c r="I25" i="239"/>
  <c r="I11" i="239"/>
  <c r="I12" i="239"/>
  <c r="G62" i="239"/>
  <c r="F3" i="241" s="1"/>
  <c r="I23" i="31"/>
  <c r="I22" i="31"/>
  <c r="I21" i="31"/>
  <c r="I20" i="31"/>
  <c r="I19" i="31"/>
  <c r="I18" i="31"/>
  <c r="I17" i="31"/>
  <c r="F7" i="241" l="1"/>
  <c r="F9" i="241"/>
  <c r="F5" i="241"/>
  <c r="I11" i="31"/>
  <c r="I10" i="31"/>
  <c r="I9" i="31"/>
  <c r="I8" i="31"/>
  <c r="I7" i="31"/>
  <c r="I6" i="31"/>
  <c r="I5" i="31"/>
  <c r="L354" i="213" l="1"/>
  <c r="L405" i="213" s="1"/>
  <c r="J592" i="213" s="1"/>
  <c r="D5" i="241" l="1"/>
  <c r="D9" i="241"/>
  <c r="D7" i="241"/>
  <c r="I3" i="241" l="1"/>
  <c r="I9" i="241" s="1"/>
  <c r="I5" i="241" l="1"/>
  <c r="I7" i="241"/>
  <c r="H607" i="213"/>
  <c r="H606" i="213"/>
  <c r="H605" i="213"/>
  <c r="H604" i="213"/>
  <c r="H603" i="213"/>
  <c r="H602" i="213"/>
  <c r="H601" i="2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tc={3895373C-9614-4C0A-B447-FD06EA3AEC21}</author>
    <author>tc={112793C8-6229-44E8-9C76-20145FC142F4}</author>
  </authors>
  <commentList>
    <comment ref="D5" authorId="0" shapeId="0" xr:uid="{3895373C-9614-4C0A-B447-FD06EA3AEC21}">
      <text>
        <t>[Threaded comment]
Your version of Excel allows you to read this threaded comment; however, any edits to it will get removed if the file is opened in a newer version of Excel. Learn more: https://go.microsoft.com/fwlink/?linkid=870924
Comment:
    Updated to v0.4 (updated stack orientation and height) model results.</t>
      </text>
    </comment>
    <comment ref="D17" authorId="1" shapeId="0" xr:uid="{112793C8-6229-44E8-9C76-20145FC142F4}">
      <text>
        <t>[Threaded comment]
Your version of Excel allows you to read this threaded comment; however, any edits to it will get removed if the file is opened in a newer version of Excel. Learn more: https://go.microsoft.com/fwlink/?linkid=870924
Comment:
    Updated to v0.4 (updated stack orientation and height) model results.</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POULSEN Mike</author>
  </authors>
  <commentList>
    <comment ref="E253" authorId="0" shapeId="0" xr:uid="{22383C04-126A-45D0-9A99-0BC88E181A72}">
      <text>
        <r>
          <rPr>
            <b/>
            <sz val="9"/>
            <color indexed="81"/>
            <rFont val="Tahoma"/>
            <family val="2"/>
          </rPr>
          <t>POULSEN Mike:</t>
        </r>
        <r>
          <rPr>
            <sz val="9"/>
            <color indexed="81"/>
            <rFont val="Tahoma"/>
            <family val="2"/>
          </rPr>
          <t xml:space="preserve">
Calculated using ELAF  developed by applying ADAFs to one of three toxic endpoints for TCE.</t>
        </r>
      </text>
    </comment>
    <comment ref="I253" authorId="0" shapeId="0" xr:uid="{D854A434-4C57-434E-B312-340F661CCE5B}">
      <text>
        <r>
          <rPr>
            <b/>
            <sz val="9"/>
            <color indexed="81"/>
            <rFont val="Tahoma"/>
            <family val="2"/>
          </rPr>
          <t>POULSEN Mike:</t>
        </r>
        <r>
          <rPr>
            <sz val="9"/>
            <color indexed="81"/>
            <rFont val="Tahoma"/>
            <family val="2"/>
          </rPr>
          <t xml:space="preserve">
Calculated using ELAF  developed by applying ADAFs to one of three toxic endpoints for TCE.</t>
        </r>
      </text>
    </comment>
    <comment ref="M253" authorId="0" shapeId="0" xr:uid="{CFA059F2-F4B5-4BD4-BC68-F0F25C014335}">
      <text>
        <r>
          <rPr>
            <b/>
            <sz val="9"/>
            <color indexed="81"/>
            <rFont val="Tahoma"/>
            <family val="2"/>
          </rPr>
          <t>POULSEN Mike:</t>
        </r>
        <r>
          <rPr>
            <sz val="9"/>
            <color indexed="81"/>
            <rFont val="Tahoma"/>
            <family val="2"/>
          </rPr>
          <t xml:space="preserve">
Calculated using ELAF  developed by applying ADAFs to one of three toxic endpoints for TCE.</t>
        </r>
      </text>
    </comment>
    <comment ref="E265" authorId="0" shapeId="0" xr:uid="{79FEB799-E990-460B-A718-69981E20E098}">
      <text>
        <r>
          <rPr>
            <b/>
            <sz val="9"/>
            <color indexed="81"/>
            <rFont val="Tahoma"/>
            <family val="2"/>
          </rPr>
          <t>POULSEN Mike:</t>
        </r>
        <r>
          <rPr>
            <sz val="9"/>
            <color indexed="81"/>
            <rFont val="Tahoma"/>
            <family val="2"/>
          </rPr>
          <t xml:space="preserve">
Includes 2*TRV to remove early-life consideration already included in ABC. Calculated using ELAF specific to vinyl chloride.</t>
        </r>
      </text>
    </comment>
    <comment ref="I265" authorId="0" shapeId="0" xr:uid="{2F95968C-8789-41BD-80E9-99D77CE45E0F}">
      <text>
        <r>
          <rPr>
            <b/>
            <sz val="9"/>
            <color indexed="81"/>
            <rFont val="Tahoma"/>
            <family val="2"/>
          </rPr>
          <t>POULSEN Mike:</t>
        </r>
        <r>
          <rPr>
            <sz val="9"/>
            <color indexed="81"/>
            <rFont val="Tahoma"/>
            <family val="2"/>
          </rPr>
          <t xml:space="preserve">
Includes 2*TRV to remove early-life consideration already included in ABC. Calculated using ELAF specific to vinyl chloride.</t>
        </r>
      </text>
    </comment>
    <comment ref="M265" authorId="0" shapeId="0" xr:uid="{D0FA3753-8BB7-403A-8FA7-ADEADFB3E7D7}">
      <text>
        <r>
          <rPr>
            <b/>
            <sz val="9"/>
            <color indexed="81"/>
            <rFont val="Tahoma"/>
            <family val="2"/>
          </rPr>
          <t>POULSEN Mike:</t>
        </r>
        <r>
          <rPr>
            <sz val="9"/>
            <color indexed="81"/>
            <rFont val="Tahoma"/>
            <family val="2"/>
          </rPr>
          <t xml:space="preserve">
Includes 2*TRV to remove early-life consideration already included in ABC. Calculated using ELAF specific to vinyl chloride.</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<sst xmlns="http://schemas.openxmlformats.org/spreadsheetml/2006/main" count="6876" uniqueCount="1191">
  <si>
    <t>Table C1-1. Emission Factor Determination</t>
  </si>
  <si>
    <t>Pollutant</t>
  </si>
  <si>
    <t>CAS/DEQ ID</t>
  </si>
  <si>
    <t>Emission Factor (lbs/1000 gal)</t>
  </si>
  <si>
    <t>1,3-Butadiene</t>
  </si>
  <si>
    <t>106-99-0</t>
  </si>
  <si>
    <t>N/A</t>
  </si>
  <si>
    <t>Acenaphthene - PAH</t>
  </si>
  <si>
    <t>83-32-9</t>
  </si>
  <si>
    <t>Acenaphthylene - PAH</t>
  </si>
  <si>
    <t>208-96-8</t>
  </si>
  <si>
    <t>Acetaldehyde</t>
  </si>
  <si>
    <t>75-07-0</t>
  </si>
  <si>
    <t>Acrolein</t>
  </si>
  <si>
    <t>107-02-8</t>
  </si>
  <si>
    <t>Ammonia</t>
  </si>
  <si>
    <t>7664-41-7</t>
  </si>
  <si>
    <t>Anthracene - PAH</t>
  </si>
  <si>
    <t>120-12-7</t>
  </si>
  <si>
    <t>Antimony</t>
  </si>
  <si>
    <t>7440-36-0</t>
  </si>
  <si>
    <t>Arsenic</t>
  </si>
  <si>
    <t>7440-38-2</t>
  </si>
  <si>
    <t>Barium</t>
  </si>
  <si>
    <t>7440-39-3</t>
  </si>
  <si>
    <t>Benz[a]anthracene - PAH</t>
  </si>
  <si>
    <t>56-55-3</t>
  </si>
  <si>
    <t>Benzene</t>
  </si>
  <si>
    <t>71-43-2</t>
  </si>
  <si>
    <t>Benzo[a]pyrene - PAH</t>
  </si>
  <si>
    <t>50-32-8</t>
  </si>
  <si>
    <t>Benzo[b]fluoranthene - PAH</t>
  </si>
  <si>
    <t>205-99-2</t>
  </si>
  <si>
    <t>Benzo[e]pyrene - PAH</t>
  </si>
  <si>
    <t>192-97-2</t>
  </si>
  <si>
    <t>Benzo[g,h,i]perylene - PAH</t>
  </si>
  <si>
    <t>191-24-2</t>
  </si>
  <si>
    <t>Benzo[k]fluoranthene - PAH</t>
  </si>
  <si>
    <t>207-08-9</t>
  </si>
  <si>
    <t>Beryllium</t>
  </si>
  <si>
    <t>7440-41-7</t>
  </si>
  <si>
    <t>Cadmium</t>
  </si>
  <si>
    <t>7440-43-9</t>
  </si>
  <si>
    <t>Chlorobenzene</t>
  </si>
  <si>
    <t>108-90-7</t>
  </si>
  <si>
    <t>Chrysene - PAH</t>
  </si>
  <si>
    <t>218-01-9</t>
  </si>
  <si>
    <t>Cobalt</t>
  </si>
  <si>
    <t>7440-48-4</t>
  </si>
  <si>
    <t>Copper</t>
  </si>
  <si>
    <t>7440-50-8</t>
  </si>
  <si>
    <t>Dibenz[a,h]anthracene - PAH</t>
  </si>
  <si>
    <t>53-70-3</t>
  </si>
  <si>
    <t>Ethyl Benzene</t>
  </si>
  <si>
    <t>100-41-4</t>
  </si>
  <si>
    <t>Fluoranthene - PAH</t>
  </si>
  <si>
    <t>206-44-0</t>
  </si>
  <si>
    <t>Fluorene - PAH</t>
  </si>
  <si>
    <t>86-73-7</t>
  </si>
  <si>
    <t>Formaldehyde</t>
  </si>
  <si>
    <t>50-00-0</t>
  </si>
  <si>
    <t>Hexane</t>
  </si>
  <si>
    <t>110-54-3</t>
  </si>
  <si>
    <t>18540-29-9</t>
  </si>
  <si>
    <t>Hydrogen Chloride</t>
  </si>
  <si>
    <t>7647-01-0</t>
  </si>
  <si>
    <t>Indeno[1,2,3-cd]pyrene - PAH</t>
  </si>
  <si>
    <t>193-39-5</t>
  </si>
  <si>
    <t>Lead</t>
  </si>
  <si>
    <t>7439-92-1</t>
  </si>
  <si>
    <t>Manganese</t>
  </si>
  <si>
    <t>7439-96-5</t>
  </si>
  <si>
    <t>Mercury</t>
  </si>
  <si>
    <t>7439-97-6</t>
  </si>
  <si>
    <t>2-Methyl naphthalene - PAH</t>
  </si>
  <si>
    <t>91-57-6</t>
  </si>
  <si>
    <t>Naphthalene - PAH</t>
  </si>
  <si>
    <t>91-20-3</t>
  </si>
  <si>
    <t>Nickel</t>
  </si>
  <si>
    <t>Perylene - PAH</t>
  </si>
  <si>
    <t>198-55-0</t>
  </si>
  <si>
    <t>Phenanthrene - PAH</t>
  </si>
  <si>
    <t>85-01-8</t>
  </si>
  <si>
    <t>Phosphorus</t>
  </si>
  <si>
    <t>Propylene</t>
  </si>
  <si>
    <t>115-07-1</t>
  </si>
  <si>
    <t>Pyrene - PAH</t>
  </si>
  <si>
    <t>129-00-0</t>
  </si>
  <si>
    <t/>
  </si>
  <si>
    <t>Selenium</t>
  </si>
  <si>
    <t>7782-49-2</t>
  </si>
  <si>
    <t>Silver</t>
  </si>
  <si>
    <t>7440-22-4</t>
  </si>
  <si>
    <t>Thallium</t>
  </si>
  <si>
    <t>7440-28-0</t>
  </si>
  <si>
    <t>Toluene</t>
  </si>
  <si>
    <t>108-88-3</t>
  </si>
  <si>
    <t>Xylenes</t>
  </si>
  <si>
    <t>1330-20-7</t>
  </si>
  <si>
    <t>Zinc</t>
  </si>
  <si>
    <t>7440-66-6</t>
  </si>
  <si>
    <t>2 Stack testing was completed for the CAT 3516C 2,500 kW generators on March 5-8, 2019. Stack testing was completed at 10%, 25%, 50%, 75%, and 100% load. If all runs show non-detect values they are reported as zero emissions consistent with the Oregon DEQ guidance document: Recommended Procedures for Toxic Air Contaminant Health Risk Assessments (October 2022). These were previously approved by Oregon DEQ. Non-zero values that were not re-tested in 2021 are detailed in Table D1-5 with the three run results at 10% load and 100% load levels. A safety factor has been added to these emission factors as shown in Table D1-5.</t>
  </si>
  <si>
    <t>Table D1-2. Diesel Particulate Matter Emission Factor Determination</t>
  </si>
  <si>
    <r>
      <t xml:space="preserve">Emission Factor </t>
    </r>
    <r>
      <rPr>
        <b/>
        <vertAlign val="superscript"/>
        <sz val="10"/>
        <rFont val="Tahoma"/>
        <family val="2"/>
      </rPr>
      <t>1,2</t>
    </r>
    <r>
      <rPr>
        <b/>
        <sz val="10"/>
        <rFont val="Tahoma"/>
        <family val="2"/>
      </rPr>
      <t xml:space="preserve"> (lbs/1000 gal)</t>
    </r>
  </si>
  <si>
    <t>CAT 27
750 kW</t>
  </si>
  <si>
    <t>CAT 27
800 kW</t>
  </si>
  <si>
    <t>CAT 32
1,000 kW</t>
  </si>
  <si>
    <t>CAT 3516C Trans
1,825 kW</t>
  </si>
  <si>
    <t>CAT 3516C
2,000 kW</t>
  </si>
  <si>
    <t>CAT 3516C
2,500 kW</t>
  </si>
  <si>
    <t>MTU 2250
2,250 kW</t>
  </si>
  <si>
    <t>CAT C18
750 kW</t>
  </si>
  <si>
    <t>CAT 3512C 
1500 kW</t>
  </si>
  <si>
    <t>Diesel Particulate Matter</t>
  </si>
  <si>
    <t>The diesel particulate matter emission factor for the CAT 2500 kW engine is obtained from the 2021 stack test. The 2021 stack test determination is expanded upon in Table 3 below. Diesel particulate matter emission factors for all other engine types are obtained from the manufacturer's PM + HC data (worst-case load). The emission factor included in the manufacturer’s specifications for these units uses Method 1065 to determine PM emissions and only includes filterable particulate matter. In the absence of specific stationary source stack test information (as used for the 2,500 kW stationary generators), a factor of filterable particulate matter plus measured hydrocarbon has been used to account for condensable particulate matter per Oregon DEQ's request.</t>
  </si>
  <si>
    <t>Oregon DEQ approved emission factor of 23.38 lb/1000 gal for diesel particulate matter for units &gt; 560 kW derived based on statistic evaluation of all engine test data available in Oregon on August 15, 2022. Emission factors for units &gt; 560 kW determined by comparing the Oregon DEQ approved emission factor with Manufacturer's PM + HC data. The lesser of the two values was used for each of these units; unless the manufacturer's specification shows a higher PM value than Oregon DEQ's emission factor at the specified load level (ex. C18 750 kW). The units with an associated DPF use the below control efficiencies applied to each constituent in the PM + HC scenario.</t>
  </si>
  <si>
    <t>Table C2-1. Screening Annual Emission Summary</t>
  </si>
  <si>
    <r>
      <t xml:space="preserve">Cold Start? </t>
    </r>
    <r>
      <rPr>
        <b/>
        <vertAlign val="superscript"/>
        <sz val="10"/>
        <rFont val="Tahoma"/>
        <family val="2"/>
      </rPr>
      <t>2</t>
    </r>
  </si>
  <si>
    <r>
      <t xml:space="preserve">Maximum Projected Emissions (lbs/yr/generator) </t>
    </r>
    <r>
      <rPr>
        <b/>
        <vertAlign val="superscript"/>
        <sz val="10"/>
        <rFont val="Tahoma"/>
        <family val="2"/>
      </rPr>
      <t>1,3</t>
    </r>
  </si>
  <si>
    <t>CAT 27 - 
750 kW</t>
  </si>
  <si>
    <t>CAT 27 - 
800 kW</t>
  </si>
  <si>
    <t>CAT 32 - 
1000 kW</t>
  </si>
  <si>
    <t>CAT 3516C Trans - 
1825 kW</t>
  </si>
  <si>
    <t>CAT 3516C - 
2000 kW</t>
  </si>
  <si>
    <t>CAT 3516C - 2500 kW</t>
  </si>
  <si>
    <t>MTU 2250 - 2250 kW</t>
  </si>
  <si>
    <t>CAT C18 - 750 kW</t>
  </si>
  <si>
    <t>CAT 3512C - 1500 kW</t>
  </si>
  <si>
    <t>Yes</t>
  </si>
  <si>
    <t>Acenaphthene</t>
  </si>
  <si>
    <t>Acenaphthylene</t>
  </si>
  <si>
    <t>No</t>
  </si>
  <si>
    <t>Anthracene</t>
  </si>
  <si>
    <t>Benz[a]anthracene</t>
  </si>
  <si>
    <t>Benzo[a]pyrene</t>
  </si>
  <si>
    <t>Benzo[b]fluoranthene</t>
  </si>
  <si>
    <t>Benzo[e]pyrene</t>
  </si>
  <si>
    <t>Benzo[g,h,i]perylene</t>
  </si>
  <si>
    <t>Benzo[k]fluoranthene</t>
  </si>
  <si>
    <t>Chrysene</t>
  </si>
  <si>
    <t>Dibenz[a,h]anthracene</t>
  </si>
  <si>
    <t>Fluoranthene</t>
  </si>
  <si>
    <t>Fluorene</t>
  </si>
  <si>
    <t>Hexavalent chromium</t>
  </si>
  <si>
    <t>Indeno[1,2,3-cd]pyrene</t>
  </si>
  <si>
    <t>2-Methyl naphthalene</t>
  </si>
  <si>
    <t>Naphthalene</t>
  </si>
  <si>
    <t>Perylene</t>
  </si>
  <si>
    <t>Phenanthrene</t>
  </si>
  <si>
    <t>Pyrene</t>
  </si>
  <si>
    <t>PAHs (excluding Naphthalene)</t>
  </si>
  <si>
    <t>Estimated fuel throughput for each generator type based on 100 hours of operation at 100% load. The 100% load fuel use for the CAT 3516C 2,500 kW generator has changed with different installation years. ADS has chosen the highest fuel throughput per hour for these calculations.</t>
  </si>
  <si>
    <t>CAT 27 - 750 kW</t>
  </si>
  <si>
    <t>gallons/year for</t>
  </si>
  <si>
    <t>engine at</t>
  </si>
  <si>
    <t>gallon per hour per engine at 100% load</t>
  </si>
  <si>
    <t>CAT 27 - 800 kW</t>
  </si>
  <si>
    <t>CAT 32 - 1000 kW</t>
  </si>
  <si>
    <t>CAT 3516C Trans - 1825 kW</t>
  </si>
  <si>
    <t>CAT 3516C - 2000 kW</t>
  </si>
  <si>
    <t>Diesel PM emission rate also accounts for the cold start emissions. Spike duration, cold-start emission spike, and steady-state (warm) emissions based on data from California Energy Commission (CEC) "Air Quality Implications of Backup Generators in California. The cold-start scaling factor is derived as the ratio of the spike concentration and duration to the steady-state emissions for the initial 60 seconds. Since a cold-start curve was not developed by CEC, it is assumed that the PM will experience the same trend as HC, and formaldehyde will experience the same trend as CO. A cold start event assumes 1 minute of cold start operation with spike in emissions and the remaining 59 minutes in the hour operating steady state. The cold start emission ratio shown below on hourly basis will be applied as: the hourly emission rate with cold start event = normal hourly emission rate x (1+ratio shown below on hourly basis). Consistent with DEQ's guidance on risk assessment for emergency engines, the cold start emissions are accounted for toxics that are organics and DPM. Metal toxics do not have higher emissions during cold start events.</t>
  </si>
  <si>
    <t>Spike Duration (seconds)</t>
  </si>
  <si>
    <t>Cold-Start Emission Spike (ppm)</t>
  </si>
  <si>
    <t>Steady-State (Warm) Emissions (ppm)</t>
  </si>
  <si>
    <t>Cold-Start Scaling Factor</t>
  </si>
  <si>
    <t>Cold Start Emission Ratio on Hourly Basis</t>
  </si>
  <si>
    <t>PM and Organics</t>
  </si>
  <si>
    <t>CO and Formaldehyde</t>
  </si>
  <si>
    <t>It is assumed that each CAT generator has 28 cold start events per year (accounting for commissioning, load bank testing and bimonthly testing).</t>
  </si>
  <si>
    <t>cold start events/yr.</t>
  </si>
  <si>
    <t>Table D2-2. Screening Daily Emission Summary</t>
  </si>
  <si>
    <r>
      <t>Maximum Projected Emissions (lbs/day/generator)</t>
    </r>
    <r>
      <rPr>
        <b/>
        <vertAlign val="superscript"/>
        <sz val="10"/>
        <rFont val="Tahoma"/>
        <family val="2"/>
      </rPr>
      <t xml:space="preserve"> 1,3</t>
    </r>
  </si>
  <si>
    <t>Ammonia*</t>
  </si>
  <si>
    <t>hrs/day =</t>
  </si>
  <si>
    <t>gallons/day with</t>
  </si>
  <si>
    <t>Number of cold start events assumes 1 startup for each engine.</t>
  </si>
  <si>
    <t>cold start events/day</t>
  </si>
  <si>
    <t>Table E1-1. ODEQ Risk Based Concentrations</t>
  </si>
  <si>
    <r>
      <t>Toxic Pollutant has an RBC?</t>
    </r>
    <r>
      <rPr>
        <b/>
        <vertAlign val="superscript"/>
        <sz val="10.5"/>
        <rFont val="Tahoma"/>
        <family val="2"/>
      </rPr>
      <t xml:space="preserve"> 1</t>
    </r>
  </si>
  <si>
    <t>Non-cancer Class</t>
  </si>
  <si>
    <r>
      <t>Risk-Based Concentrations ( µg/m</t>
    </r>
    <r>
      <rPr>
        <b/>
        <vertAlign val="superscript"/>
        <sz val="10.5"/>
        <rFont val="Tahoma"/>
        <family val="2"/>
      </rPr>
      <t>3</t>
    </r>
    <r>
      <rPr>
        <b/>
        <sz val="10.5"/>
        <rFont val="Tahoma"/>
        <family val="2"/>
      </rPr>
      <t xml:space="preserve"> )</t>
    </r>
  </si>
  <si>
    <t>Residential Chronic</t>
  </si>
  <si>
    <t>Non-residential Chronic</t>
  </si>
  <si>
    <t>Acute 
Non-cancer</t>
  </si>
  <si>
    <t>Chronic Cancer</t>
  </si>
  <si>
    <t>Chronic 
Non-cancer</t>
  </si>
  <si>
    <t xml:space="preserve">Child Cancer </t>
  </si>
  <si>
    <t xml:space="preserve">Child 
Non-cancer </t>
  </si>
  <si>
    <t>Worker Cancer</t>
  </si>
  <si>
    <t>Worker 
Non-cancer</t>
  </si>
  <si>
    <r>
      <t xml:space="preserve">Benzo[a]pyrene </t>
    </r>
    <r>
      <rPr>
        <vertAlign val="superscript"/>
        <sz val="10.5"/>
        <rFont val="Tahoma"/>
        <family val="2"/>
      </rPr>
      <t>2</t>
    </r>
  </si>
  <si>
    <t>Diesel exhaust particulates</t>
  </si>
  <si>
    <t xml:space="preserve">If the toxic is listed in the Risk-Based Concentrations (Table 2) in OAR Chapter 340-245-8010, then it's considered a permitted toxic. </t>
  </si>
  <si>
    <t>For emission units that are using total PAHs, RBCs for benzo(a)pyrene are only included for non-cancer risk categories because the chronic cancer risks are accounted for under PAHs.</t>
  </si>
  <si>
    <t>Table E2-1. Screening Risk Equivalent Emission Rate - CAT 27 - 750 kW</t>
  </si>
  <si>
    <r>
      <t xml:space="preserve">Long-Term Emission Rate (g/s/gen) </t>
    </r>
    <r>
      <rPr>
        <b/>
        <vertAlign val="superscript"/>
        <sz val="10.5"/>
        <rFont val="Tahoma"/>
        <family val="2"/>
      </rPr>
      <t>1</t>
    </r>
  </si>
  <si>
    <t>Short-Term Emission Rate
(g/s/gen)</t>
  </si>
  <si>
    <r>
      <t>TOTAL REER for 750 kW Units (g/s per µg/m</t>
    </r>
    <r>
      <rPr>
        <b/>
        <vertAlign val="superscript"/>
        <sz val="10.5"/>
        <rFont val="Tahoma"/>
        <family val="2"/>
      </rPr>
      <t>3</t>
    </r>
    <r>
      <rPr>
        <b/>
        <sz val="10.5"/>
        <rFont val="Tahoma"/>
        <family val="2"/>
      </rPr>
      <t>)</t>
    </r>
  </si>
  <si>
    <t>If the toxic is listed in the Risk-Based Concentrations (Table 2) in OAR Chapter 340-245-8010, then it's considered a permitted toxic. Emission rate is normalized based on operational hours of 8,760 hrs/yr or 24 hrs/day.</t>
  </si>
  <si>
    <t>Table E2-2. Screening Risk Equivalent Emission Rate - CAT 27 - 800 kW</t>
  </si>
  <si>
    <r>
      <t>TOTAL REER for 800 kW Units (g/s per µg/m</t>
    </r>
    <r>
      <rPr>
        <b/>
        <vertAlign val="superscript"/>
        <sz val="10.5"/>
        <rFont val="Tahoma"/>
        <family val="2"/>
      </rPr>
      <t>3</t>
    </r>
    <r>
      <rPr>
        <b/>
        <sz val="10.5"/>
        <rFont val="Tahoma"/>
        <family val="2"/>
      </rPr>
      <t>)</t>
    </r>
  </si>
  <si>
    <t>Table E2-3. Screening Risk Equivalent Emission Rate - CAT 32 - 1,000 kW</t>
  </si>
  <si>
    <t>Long-Term Emission Rate 
(g/s)</t>
  </si>
  <si>
    <t>Short-Term Emission Rate (g/s)</t>
  </si>
  <si>
    <t>Table E2-4. Screening Risk Equivalent Emission Rate - CAT 3516C Trans - 1,825 kW</t>
  </si>
  <si>
    <t>Long-Term Emission Rate (g/s)</t>
  </si>
  <si>
    <t>Table E2-5. Screening Risk Equivalent Emission Rate - CAT 3516C - 2,000 kW</t>
  </si>
  <si>
    <t>Table E2-6. Screening Risk Equivalent Emission Rate - CAT 3516C - 2,500 kW</t>
  </si>
  <si>
    <r>
      <t>TOTAL REER for 2,500 kW (g/s per µg/m</t>
    </r>
    <r>
      <rPr>
        <b/>
        <vertAlign val="superscript"/>
        <sz val="10.5"/>
        <rFont val="Tahoma"/>
        <family val="2"/>
      </rPr>
      <t>3</t>
    </r>
    <r>
      <rPr>
        <b/>
        <sz val="10.5"/>
        <rFont val="Tahoma"/>
        <family val="2"/>
      </rPr>
      <t>)</t>
    </r>
  </si>
  <si>
    <t>Table E2-7. Screening Risk Equivalent Emission Rate - MTU 2250 - 2,250 kW</t>
  </si>
  <si>
    <r>
      <t>TOTAL REER for 2,250 kW (g/s per µg/m</t>
    </r>
    <r>
      <rPr>
        <b/>
        <vertAlign val="superscript"/>
        <sz val="10.5"/>
        <rFont val="Tahoma"/>
        <family val="2"/>
      </rPr>
      <t>3</t>
    </r>
    <r>
      <rPr>
        <b/>
        <sz val="10.5"/>
        <rFont val="Tahoma"/>
        <family val="2"/>
      </rPr>
      <t>)</t>
    </r>
  </si>
  <si>
    <t>Table E2-8. Screening Risk Equivalent Emission Rate - CAT C18 - 750 kW</t>
  </si>
  <si>
    <r>
      <t>TOTAL REER for 750 kW (g/s per µg/m</t>
    </r>
    <r>
      <rPr>
        <b/>
        <vertAlign val="superscript"/>
        <sz val="10.5"/>
        <rFont val="Tahoma"/>
        <family val="2"/>
      </rPr>
      <t>3</t>
    </r>
    <r>
      <rPr>
        <b/>
        <sz val="10.5"/>
        <rFont val="Tahoma"/>
        <family val="2"/>
      </rPr>
      <t>)</t>
    </r>
  </si>
  <si>
    <t>Table E2-9. Screening Risk Equivalent Emission Rate - CAT 3512C - 1,500 kW</t>
  </si>
  <si>
    <r>
      <t>TOTAL REER for 1,500 kW (g/s per µg/m</t>
    </r>
    <r>
      <rPr>
        <b/>
        <vertAlign val="superscript"/>
        <sz val="10.5"/>
        <rFont val="Tahoma"/>
        <family val="2"/>
      </rPr>
      <t>3</t>
    </r>
    <r>
      <rPr>
        <b/>
        <sz val="10.5"/>
        <rFont val="Tahoma"/>
        <family val="2"/>
      </rPr>
      <t>)</t>
    </r>
  </si>
  <si>
    <t>Table E3-1. Screening Risk Equivalent Emission Rate - Summary Table</t>
  </si>
  <si>
    <t>Generator</t>
  </si>
  <si>
    <t>Type</t>
  </si>
  <si>
    <t>Residential Cancer</t>
  </si>
  <si>
    <t>Residential 
Non-Cancer</t>
  </si>
  <si>
    <t>Child Cancer</t>
  </si>
  <si>
    <t>Child 
Non-Cancer</t>
  </si>
  <si>
    <t>Worker 
Non-Cancer</t>
  </si>
  <si>
    <t>Acute 
Non-Cancer</t>
  </si>
  <si>
    <t>Reference</t>
  </si>
  <si>
    <t>Type A</t>
  </si>
  <si>
    <t>Type B</t>
  </si>
  <si>
    <t>CAT 32 - 1,000 kW</t>
  </si>
  <si>
    <t>Type C</t>
  </si>
  <si>
    <t>CAT 3516C Trans - 1,825 kW</t>
  </si>
  <si>
    <t>Type D</t>
  </si>
  <si>
    <t>CAT 3516C - 2,000 kW</t>
  </si>
  <si>
    <t>Type E</t>
  </si>
  <si>
    <t>CAT 3516C - 2,500 kW</t>
  </si>
  <si>
    <t>Type F</t>
  </si>
  <si>
    <t>MTU 2250 - 2,250 kW</t>
  </si>
  <si>
    <t>Type G</t>
  </si>
  <si>
    <t>Type H</t>
  </si>
  <si>
    <t>CAT 3512C - 1,500 kW</t>
  </si>
  <si>
    <t>Type I</t>
  </si>
  <si>
    <t>Table E3-2 Screening REER Rankings by Generator Type</t>
  </si>
  <si>
    <t>REER Rankings</t>
  </si>
  <si>
    <t>Gen</t>
  </si>
  <si>
    <t>X</t>
  </si>
  <si>
    <t>Y</t>
  </si>
  <si>
    <t>AveConc</t>
  </si>
  <si>
    <t>EL</t>
  </si>
  <si>
    <t>ChiCan</t>
  </si>
  <si>
    <t>Lookup</t>
  </si>
  <si>
    <t>B04_G13A</t>
  </si>
  <si>
    <t>Child</t>
  </si>
  <si>
    <t>291600_5080100</t>
  </si>
  <si>
    <t>B04_G13B</t>
  </si>
  <si>
    <t>B04_G14A</t>
  </si>
  <si>
    <t>B04_G14B</t>
  </si>
  <si>
    <t>B04_G15A</t>
  </si>
  <si>
    <t>B04_G15B</t>
  </si>
  <si>
    <t>B04_G15C</t>
  </si>
  <si>
    <t>B04_G16A</t>
  </si>
  <si>
    <t>B04_G16B</t>
  </si>
  <si>
    <t>B04_G17A</t>
  </si>
  <si>
    <t>B04_G17B</t>
  </si>
  <si>
    <t>B04_G17C</t>
  </si>
  <si>
    <t>B04_G18A</t>
  </si>
  <si>
    <t>B04_G18B</t>
  </si>
  <si>
    <t>B04_G19A</t>
  </si>
  <si>
    <t>B04_G19B</t>
  </si>
  <si>
    <t>B04_G20A</t>
  </si>
  <si>
    <t>B04_G20B</t>
  </si>
  <si>
    <t>B52_G01A</t>
  </si>
  <si>
    <t>B52_G01B</t>
  </si>
  <si>
    <t>B52_G02A</t>
  </si>
  <si>
    <t>B52_G02B</t>
  </si>
  <si>
    <t>B52_G03A</t>
  </si>
  <si>
    <t>B52_G03B</t>
  </si>
  <si>
    <t>B52_G04A</t>
  </si>
  <si>
    <t>B52_G04B</t>
  </si>
  <si>
    <t>B52_G04C</t>
  </si>
  <si>
    <t>B52_G05A</t>
  </si>
  <si>
    <t>B52_G05B</t>
  </si>
  <si>
    <t>B52_G05C</t>
  </si>
  <si>
    <t>B52_G06A</t>
  </si>
  <si>
    <t>B52_G06B</t>
  </si>
  <si>
    <t>B52_G07A</t>
  </si>
  <si>
    <t>B52_G07B</t>
  </si>
  <si>
    <t>B52_G08A</t>
  </si>
  <si>
    <t>B52_G08B</t>
  </si>
  <si>
    <t>B55_G01A</t>
  </si>
  <si>
    <t>B55_G01B</t>
  </si>
  <si>
    <t>B55_G02A</t>
  </si>
  <si>
    <t>B55_G02B</t>
  </si>
  <si>
    <t>B55_G03A</t>
  </si>
  <si>
    <t>B55_G03B</t>
  </si>
  <si>
    <t>B55_G04A</t>
  </si>
  <si>
    <t>B55_G04B</t>
  </si>
  <si>
    <t>B55_G04C</t>
  </si>
  <si>
    <t>B55_G05A</t>
  </si>
  <si>
    <t>B55_G05B</t>
  </si>
  <si>
    <t>B55_G05C</t>
  </si>
  <si>
    <t>B55_G06A</t>
  </si>
  <si>
    <t>B55_G06B</t>
  </si>
  <si>
    <t>B55_G07A</t>
  </si>
  <si>
    <t>B55_G07B</t>
  </si>
  <si>
    <t>B58_G01A</t>
  </si>
  <si>
    <t>B58_G01B</t>
  </si>
  <si>
    <t>B58_G02A</t>
  </si>
  <si>
    <t>B58_G02B</t>
  </si>
  <si>
    <t>B58_G03A</t>
  </si>
  <si>
    <t>B58_G03B</t>
  </si>
  <si>
    <t>B58_G04A</t>
  </si>
  <si>
    <t>B58_G04B</t>
  </si>
  <si>
    <t>B58_G04C</t>
  </si>
  <si>
    <t>B58_G05A</t>
  </si>
  <si>
    <t>B58_G05B</t>
  </si>
  <si>
    <t>B58_G05C</t>
  </si>
  <si>
    <t>B58_G06A</t>
  </si>
  <si>
    <t>B58_G06B</t>
  </si>
  <si>
    <t>B58_G07A</t>
  </si>
  <si>
    <t>B58_G07B</t>
  </si>
  <si>
    <t>B58_G08A</t>
  </si>
  <si>
    <t>B58_G08B</t>
  </si>
  <si>
    <t>B61_G01A</t>
  </si>
  <si>
    <t>B61_G01B</t>
  </si>
  <si>
    <t>B61_G02A</t>
  </si>
  <si>
    <t>B61_G02B</t>
  </si>
  <si>
    <t>B61_G03A</t>
  </si>
  <si>
    <t>B61_G03B</t>
  </si>
  <si>
    <t>B61_G04A</t>
  </si>
  <si>
    <t>B61_G04B</t>
  </si>
  <si>
    <t>B61_G04C</t>
  </si>
  <si>
    <t>B61_G05A</t>
  </si>
  <si>
    <t>B61_G05B</t>
  </si>
  <si>
    <t>B61_G05C</t>
  </si>
  <si>
    <t>B61_G06A</t>
  </si>
  <si>
    <t>B61_G06B</t>
  </si>
  <si>
    <t>B61_G07A</t>
  </si>
  <si>
    <t>B61_G07B</t>
  </si>
  <si>
    <t>B61_G08A</t>
  </si>
  <si>
    <t>B61_G08B</t>
  </si>
  <si>
    <t>P04_GEN1</t>
  </si>
  <si>
    <t>P04_GEN2</t>
  </si>
  <si>
    <t>P04_GEN3</t>
  </si>
  <si>
    <t>P04_GEN4</t>
  </si>
  <si>
    <t>P04_GEN5</t>
  </si>
  <si>
    <t>P04_GEN6</t>
  </si>
  <si>
    <t>P04_GENC</t>
  </si>
  <si>
    <t>SKILODG1</t>
  </si>
  <si>
    <t>SKILODG2</t>
  </si>
  <si>
    <t>PORTABLE</t>
  </si>
  <si>
    <t>WorCan</t>
  </si>
  <si>
    <t>Worker</t>
  </si>
  <si>
    <t>293903.2_5079885.1</t>
  </si>
  <si>
    <t>ResCan</t>
  </si>
  <si>
    <t>Residential</t>
  </si>
  <si>
    <t>293875_5079550</t>
  </si>
  <si>
    <t>24hr_Conc</t>
  </si>
  <si>
    <t>AcuteRisk</t>
  </si>
  <si>
    <t>Acute</t>
  </si>
  <si>
    <t>Generator Ranking and Risk Calculation - Residential Risk</t>
  </si>
  <si>
    <t>Generator Rank</t>
  </si>
  <si>
    <t>Generator ID</t>
  </si>
  <si>
    <t>Modeled Concentration</t>
  </si>
  <si>
    <t>Generator Non-Cancer REER</t>
  </si>
  <si>
    <t>Generator Cancer Risk</t>
  </si>
  <si>
    <t>Generator Non-Cancer Risk</t>
  </si>
  <si>
    <r>
      <t>(μg/m</t>
    </r>
    <r>
      <rPr>
        <b/>
        <vertAlign val="superscript"/>
        <sz val="10"/>
        <color theme="1"/>
        <rFont val="Tahoma"/>
        <family val="2"/>
      </rPr>
      <t>3</t>
    </r>
    <r>
      <rPr>
        <b/>
        <sz val="10"/>
        <color theme="1"/>
        <rFont val="Tahoma"/>
        <family val="2"/>
      </rPr>
      <t>)</t>
    </r>
  </si>
  <si>
    <r>
      <t>(g/s per μg/m</t>
    </r>
    <r>
      <rPr>
        <b/>
        <vertAlign val="superscript"/>
        <sz val="10"/>
        <color theme="1"/>
        <rFont val="Tahoma"/>
        <family val="2"/>
      </rPr>
      <t>3</t>
    </r>
    <r>
      <rPr>
        <b/>
        <sz val="10"/>
        <color theme="1"/>
        <rFont val="Tahoma"/>
        <family val="2"/>
      </rPr>
      <t>)</t>
    </r>
  </si>
  <si>
    <r>
      <rPr>
        <vertAlign val="superscript"/>
        <sz val="9"/>
        <color theme="1"/>
        <rFont val="Tahoma"/>
        <family val="2"/>
      </rPr>
      <t>1</t>
    </r>
    <r>
      <rPr>
        <sz val="9"/>
        <color theme="1"/>
        <rFont val="Tahoma"/>
        <family val="2"/>
      </rPr>
      <t>Maximum project emissions are determined by multiplying the emission factor by the projected fuel throughput. Total annual fuel throughput for the facility is determined to ensure that facility wide emissions are less than ODEQ generic plant site emission limits. To develop a conservative model and ensure worst-case risks are represented for Cleaner Air Oregon, the site-wide annual fuel throughput is allocated to the worst-case individual generators based on the screening model results. Units are ranked by the highest contributing risk to the maximum exposure location using the modeled concentrations in a 1 g/s model and scaled for each unit at each receptor by the chronic cancer REER for each exposure type. 
In the case of this model, SKILODG1, B04_G17C, and B04_G17B have a higher contribution than the the worst-case 2,500 kW main generator (B52_G08A). Therefore, the SKILODG1, B04_G17C, and B04_G17B generators are assumed to have 100 hours of fuel throughput at 100% load (for compliance with requirements in 40 CFR Subpart 60). The remainder of the total proposed facility-wide fuel throughput is assumed to go to B52_G08A, for conservatism.  Emissions from the remaining generators are not included in the final model because the screening model indicates B52_G08A will have a higher contribution to modeled risk.</t>
    </r>
  </si>
  <si>
    <r>
      <rPr>
        <vertAlign val="superscript"/>
        <sz val="9"/>
        <color theme="1"/>
        <rFont val="Tahoma"/>
        <family val="2"/>
      </rPr>
      <t>2</t>
    </r>
    <r>
      <rPr>
        <sz val="9"/>
        <color theme="1"/>
        <rFont val="Tahoma"/>
        <family val="2"/>
      </rPr>
      <t>Estimated fuel throughput for each generator type based on 100 hours of operation per year at 100% load for one generator.</t>
    </r>
  </si>
  <si>
    <t>gallons/yr/engine</t>
  </si>
  <si>
    <t>Final Risk Determination - Residential Risk</t>
  </si>
  <si>
    <t>Fuel Used
(gal)</t>
  </si>
  <si>
    <t>Facility Wide Annual Fuel Limit</t>
  </si>
  <si>
    <t>Maximum Exposure Location, UTM Easting (m)</t>
  </si>
  <si>
    <t>Maximum Exposure Location, UTM Northing (m)</t>
  </si>
  <si>
    <t>Calculated Facility Risk - Residential Cancer Risk</t>
  </si>
  <si>
    <t>Calculated Facility Risk - Residential Non-Cancer Risk</t>
  </si>
  <si>
    <t>Main Gen Fuel Ratio</t>
  </si>
  <si>
    <t>Generator Ranking and Risk Calculation - Child Risk</t>
  </si>
  <si>
    <r>
      <rPr>
        <vertAlign val="superscript"/>
        <sz val="9"/>
        <color theme="1"/>
        <rFont val="Tahoma"/>
        <family val="2"/>
      </rPr>
      <t>1</t>
    </r>
    <r>
      <rPr>
        <sz val="9"/>
        <color theme="1"/>
        <rFont val="Tahoma"/>
        <family val="2"/>
      </rPr>
      <t>Maximum project emissions are determined by multiplying the emission factor by the projected fuel throughput. Total annual fuel throughput for the facility is determined to ensure that facility wide emissions are less than ODEQ generic plant site emission limits. To develop a conservative model and ensure worst-case risks are represented for Cleaner Air Oregon, the site-wide annual fuel throughput is allocated to the worst-case individual generators based on the screening model results. Units are ranked by the highest contributing risk to the maximum exposure location using the modeled concentrations in a 1 g/s model and scaled for each unit at each receptor by the chronic cancer REER for each exposure type. 
In the case of this model, 19 generators have a higher risk contribution than the worst-case 2,500 kW main generator (B52_G08B). Therefore, each of those 19 generators are assumed to have 100 hours of fuel throughput at 100% load (for compliance with requirements in 40 CFR Subpart 60). The remainder of the total proposed facility-wide fuel throughput is assumed to go to B52_G08B for conservatism.  Emissions from the remaining generators are not included in the final model because the screening model indicates B52_G08B will have a higher contribution to modeled risk.</t>
    </r>
  </si>
  <si>
    <t>Final Risk Determination - Child Risk</t>
  </si>
  <si>
    <t>Calculated Facility Risk - Child Cancer Risk</t>
  </si>
  <si>
    <t>Calculated Facility Risk - Child Non-Cancer Risk</t>
  </si>
  <si>
    <t>Generator Ranking and Risk Calculation - Worker Risk</t>
  </si>
  <si>
    <r>
      <rPr>
        <vertAlign val="superscript"/>
        <sz val="9"/>
        <color theme="1"/>
        <rFont val="Tahoma"/>
        <family val="2"/>
      </rPr>
      <t>1</t>
    </r>
    <r>
      <rPr>
        <sz val="9"/>
        <color theme="1"/>
        <rFont val="Tahoma"/>
        <family val="2"/>
      </rPr>
      <t>Maximum project emissions are determined by multiplying the emission factor by the projected fuel throughput. Total annual fuel throughput for the facility is determined to ensure that facility wide emissions are less than ODEQ generic plant site emission limits. To develop a conservative model and ensure worst-case risks are represented for Cleaner Air Oregon, the site-wide annual fuel throughput is allocated to the worst-case individual generators based on the screening model results. Units are ranked by the highest contributing risk to the maximum exposure location using the modeled concentrations in a 1 g/s model and scaled for each unit at each receptor by the chronic cancer REER for each exposure type. 
In the case of this model, SKILODG1 has a higher contribution has a higher risk contribution than the worst-case 2,500 kW main generator (B55_G02A). Therefore, SKILODG1 generator is assumed to have 100 hours of fuel throughput at 100% load (for compliance with requirements in 40 CFR Subpart 60). The remainder of the total proposed facility-wide fuel throughput is assumed to go to B55_G02A, for conservatism.  Emissions from the remaining generators are not included in the final model because the screening model indicates B55_G02A will have a higher contribution to modeled risk.</t>
    </r>
  </si>
  <si>
    <r>
      <rPr>
        <vertAlign val="superscript"/>
        <sz val="9"/>
        <rFont val="Tahoma"/>
        <family val="2"/>
      </rPr>
      <t>2</t>
    </r>
    <r>
      <rPr>
        <sz val="9"/>
        <rFont val="Tahoma"/>
        <family val="2"/>
      </rPr>
      <t>Estimated fuel throughput for each generator type based on 100 hours of operation per year at 100% load for one generator.</t>
    </r>
  </si>
  <si>
    <t>Final Risk Determination - Worker Risk</t>
  </si>
  <si>
    <t>Calculated Facility Risk - Worker Cancer Risk</t>
  </si>
  <si>
    <t>Calculated Facility Risk - Worker Non-Cancer Risk</t>
  </si>
  <si>
    <t>Generator Ranking and Risk Determination - Acute Risk</t>
  </si>
  <si>
    <t>Facility Wide Daily Fuel Limit</t>
  </si>
  <si>
    <r>
      <rPr>
        <vertAlign val="superscript"/>
        <sz val="9"/>
        <color theme="1"/>
        <rFont val="Tahoma"/>
        <family val="2"/>
      </rPr>
      <t>1</t>
    </r>
    <r>
      <rPr>
        <sz val="9"/>
        <color theme="1"/>
        <rFont val="Tahoma"/>
        <family val="2"/>
      </rPr>
      <t>Maximum project emissions are determined by multiplying the emission factor by the projected fuel throughput. To develop a conservative model and ensure worst-case risks are represented for Cleaner Air Oregon, the site-wide 24-hr fuel throughput is allocated to the worst-case individual generators based on the screening model results. Units are ranked by the highest contributing risk to the maximum exposure location using the modeled concentrations in a 1 g/s model and scaled for each unit at each receptor by the acute non-cancer REER.
In the case of this model, auxiliary generators P04_GENC, has a higher risk contributions than the worst-case main generator, B55_G01A. The next highest risk contributors are all main generators (B55_G02B, B52_G07A, B52_G07A, B55_G02A, and B52_G06A). All modeled units are assumed to operate for 24 hours per day with the exception of B52_G06A, which has a fuel throughput of 1,834 gallons to meet the proposed site-wide daily fuel limit of 20,000 gallons/day.</t>
    </r>
  </si>
  <si>
    <r>
      <rPr>
        <vertAlign val="superscript"/>
        <sz val="9"/>
        <color theme="1"/>
        <rFont val="Tahoma"/>
        <family val="2"/>
      </rPr>
      <t>2</t>
    </r>
    <r>
      <rPr>
        <sz val="9"/>
        <color theme="1"/>
        <rFont val="Tahoma"/>
        <family val="2"/>
      </rPr>
      <t>Estimated fuel throughput for each generator type based on 24 hours of operation per year at 100% load for one generator.</t>
    </r>
  </si>
  <si>
    <t>Calculated Facility Risk - Acute Non-Cancer Risk</t>
  </si>
  <si>
    <t>Residential 
Cancer
Risk</t>
  </si>
  <si>
    <t>Residential 
Non-Cancer
Risk</t>
  </si>
  <si>
    <t>Child 
Cancer
Risk</t>
  </si>
  <si>
    <t>Child 
Non-Cancer
Risk</t>
  </si>
  <si>
    <t>Worker 
Cancer
Risk</t>
  </si>
  <si>
    <t>Worker 
Non-Cancer
Risk</t>
  </si>
  <si>
    <t>Acute 
Non-Cancer 
Risk</t>
  </si>
  <si>
    <t>2024 G2 CAO Call-in - 
Total Facility Calculated Risk</t>
  </si>
  <si>
    <t>Existing Facility Permit Level</t>
  </si>
  <si>
    <t>Permit Required?</t>
  </si>
  <si>
    <t>Existing Facility Community Engagement Level</t>
  </si>
  <si>
    <t>Community Engagement Required?</t>
  </si>
  <si>
    <t>Existing Facility TBACT Level</t>
  </si>
  <si>
    <t>TBACT Required?</t>
  </si>
  <si>
    <t xml:space="preserve">1. Risk Action Levels (RALs) from OAR 340-245-8010 Table 1. </t>
  </si>
  <si>
    <r>
      <rPr>
        <vertAlign val="superscript"/>
        <sz val="8"/>
        <color rgb="FF000000"/>
        <rFont val="Tahoma"/>
        <family val="2"/>
      </rPr>
      <t>2</t>
    </r>
    <r>
      <rPr>
        <sz val="8"/>
        <color rgb="FF000000"/>
        <rFont val="Tahoma"/>
        <family val="2"/>
      </rPr>
      <t>Calculated risk is rounded to one decimal place for comparison to the source permit level and to the nearest whole number when comparing to other RALs as per OAR 340-245-0200(4).</t>
    </r>
  </si>
  <si>
    <r>
      <rPr>
        <vertAlign val="superscript"/>
        <sz val="8"/>
        <color rgb="FF000000"/>
        <rFont val="Tahoma"/>
        <family val="2"/>
      </rPr>
      <t>3</t>
    </r>
    <r>
      <rPr>
        <sz val="8"/>
        <color rgb="FF000000"/>
        <rFont val="Tahoma"/>
        <family val="2"/>
      </rPr>
      <t>Pollutants included in this evaluation have a non-cancer class of either HI3 or HI5. For conservatism, all pollutants are treated as HI3 and compared to the non-cancer TBACT RAL of 3 as per OAR 340-245-0200(3).</t>
    </r>
  </si>
  <si>
    <t>v0.4 models</t>
  </si>
  <si>
    <t>Table R-1. Maximum Concentrations by Source Group, 24-hr Averaging Period</t>
  </si>
  <si>
    <r>
      <t>Maximum Concentration</t>
    </r>
    <r>
      <rPr>
        <b/>
        <vertAlign val="superscript"/>
        <sz val="10.5"/>
        <color rgb="FF0070C0"/>
        <rFont val="Cambria"/>
        <family val="1"/>
      </rPr>
      <t>1</t>
    </r>
    <r>
      <rPr>
        <b/>
        <sz val="10.5"/>
        <color rgb="FF0070C0"/>
        <rFont val="Cambria"/>
        <family val="1"/>
      </rPr>
      <t xml:space="preserve"> (µg/m</t>
    </r>
    <r>
      <rPr>
        <b/>
        <vertAlign val="superscript"/>
        <sz val="10.5"/>
        <color rgb="FF0070C0"/>
        <rFont val="Cambria"/>
        <family val="1"/>
      </rPr>
      <t>3</t>
    </r>
    <r>
      <rPr>
        <b/>
        <sz val="10.5"/>
        <color rgb="FF0070C0"/>
        <rFont val="Cambria"/>
        <family val="1"/>
      </rPr>
      <t>)</t>
    </r>
  </si>
  <si>
    <t>Overall Maximum</t>
  </si>
  <si>
    <t>Source Group</t>
  </si>
  <si>
    <t>Combined Emissions</t>
  </si>
  <si>
    <t>2500 kW Generators</t>
  </si>
  <si>
    <t>1825 kW Generator</t>
  </si>
  <si>
    <t>600 kW Generator</t>
  </si>
  <si>
    <t>750 kW Generator</t>
  </si>
  <si>
    <t>100 kW Generator</t>
  </si>
  <si>
    <t>Fire Pumps</t>
  </si>
  <si>
    <t>Maximum concentrations using a unit emission rate of 1 g/s per generator.</t>
  </si>
  <si>
    <t>Table R-2. Maximum Concentrations by Source Group, Annual Averaging Period</t>
  </si>
  <si>
    <t>v0.3 models</t>
  </si>
  <si>
    <t>Amazon Data Services - PDX-4 Data Center</t>
  </si>
  <si>
    <t>Non-Emergency Fuel Use and Emissions</t>
  </si>
  <si>
    <t>EPA Tier Rating</t>
  </si>
  <si>
    <t>Non-Emergency Hours of Operation</t>
  </si>
  <si>
    <t>100% Load Fuel Use</t>
  </si>
  <si>
    <r>
      <t>Maximum Emission Factor</t>
    </r>
    <r>
      <rPr>
        <b/>
        <vertAlign val="superscript"/>
        <sz val="10"/>
        <color theme="1"/>
        <rFont val="Tahoma"/>
        <family val="2"/>
      </rPr>
      <t>1,2</t>
    </r>
    <r>
      <rPr>
        <b/>
        <sz val="10"/>
        <color theme="1"/>
        <rFont val="Tahoma"/>
        <family val="2"/>
      </rPr>
      <t xml:space="preserve"> (lbs/gal)</t>
    </r>
  </si>
  <si>
    <r>
      <t>Non-Emergency Fuel Use</t>
    </r>
    <r>
      <rPr>
        <b/>
        <vertAlign val="superscript"/>
        <sz val="10"/>
        <color theme="1"/>
        <rFont val="Tahoma"/>
        <family val="2"/>
      </rPr>
      <t>3</t>
    </r>
    <r>
      <rPr>
        <b/>
        <sz val="10"/>
        <color theme="1"/>
        <rFont val="Tahoma"/>
        <family val="2"/>
      </rPr>
      <t xml:space="preserve">
(gal/yr)</t>
    </r>
  </si>
  <si>
    <t>Emission Rate (tpy)</t>
  </si>
  <si>
    <t>Quantity</t>
  </si>
  <si>
    <t>(hrs/yr/gen)</t>
  </si>
  <si>
    <t>(gal/hr/gen)</t>
  </si>
  <si>
    <t>NOx</t>
  </si>
  <si>
    <t>CO</t>
  </si>
  <si>
    <t>VOC</t>
  </si>
  <si>
    <t>PM</t>
  </si>
  <si>
    <t>Make</t>
  </si>
  <si>
    <t>size kW</t>
  </si>
  <si>
    <t>CAT C27</t>
  </si>
  <si>
    <t>--</t>
  </si>
  <si>
    <t>CAT C32</t>
  </si>
  <si>
    <t>CAT 3516C Trans</t>
  </si>
  <si>
    <t>Portable</t>
  </si>
  <si>
    <t>CAT 3516C</t>
  </si>
  <si>
    <t>Main</t>
  </si>
  <si>
    <t>MTU 2250</t>
  </si>
  <si>
    <t>CAT C18</t>
  </si>
  <si>
    <t>Ski Lodge</t>
  </si>
  <si>
    <t xml:space="preserve">CAT 3512C </t>
  </si>
  <si>
    <t>Facility Total</t>
  </si>
  <si>
    <r>
      <rPr>
        <vertAlign val="superscript"/>
        <sz val="9"/>
        <color theme="1"/>
        <rFont val="Tahoma"/>
        <family val="2"/>
      </rPr>
      <t>1</t>
    </r>
    <r>
      <rPr>
        <sz val="9"/>
        <color theme="1"/>
        <rFont val="Tahoma"/>
        <family val="2"/>
      </rPr>
      <t xml:space="preserve"> Emission factors in lb/gal are calculated by dividing the manufacturer's potential site variation mass emission rates by fuel consumption. The maximum calculated emission factors are used for this inventory.</t>
    </r>
  </si>
  <si>
    <r>
      <rPr>
        <vertAlign val="superscript"/>
        <sz val="9"/>
        <rFont val="Tahoma"/>
        <family val="2"/>
      </rPr>
      <t>2</t>
    </r>
    <r>
      <rPr>
        <sz val="9"/>
        <rFont val="Tahoma"/>
        <family val="2"/>
      </rPr>
      <t xml:space="preserve"> The PM/PM</t>
    </r>
    <r>
      <rPr>
        <vertAlign val="subscript"/>
        <sz val="9"/>
        <rFont val="Tahoma"/>
        <family val="2"/>
      </rPr>
      <t>10</t>
    </r>
    <r>
      <rPr>
        <sz val="9"/>
        <rFont val="Tahoma"/>
        <family val="2"/>
      </rPr>
      <t>/PM</t>
    </r>
    <r>
      <rPr>
        <vertAlign val="subscript"/>
        <sz val="9"/>
        <rFont val="Tahoma"/>
        <family val="2"/>
      </rPr>
      <t>2.5</t>
    </r>
    <r>
      <rPr>
        <sz val="9"/>
        <rFont val="Tahoma"/>
        <family val="2"/>
      </rPr>
      <t xml:space="preserve"> emission factor for the CAT 2500 kW engine is obtained using the 2021 stack test results for diesel particulate matter. The reported value includes the average lb/1,000 gal stack test result plus two standard deviations to determine an applicable emission factor. 
PM/PM</t>
    </r>
    <r>
      <rPr>
        <vertAlign val="subscript"/>
        <sz val="9"/>
        <rFont val="Tahoma"/>
        <family val="2"/>
      </rPr>
      <t>10</t>
    </r>
    <r>
      <rPr>
        <sz val="9"/>
        <rFont val="Tahoma"/>
        <family val="2"/>
      </rPr>
      <t>/PM</t>
    </r>
    <r>
      <rPr>
        <vertAlign val="subscript"/>
        <sz val="9"/>
        <rFont val="Tahoma"/>
        <family val="2"/>
      </rPr>
      <t>2.5</t>
    </r>
    <r>
      <rPr>
        <sz val="9"/>
        <rFont val="Tahoma"/>
        <family val="2"/>
      </rPr>
      <t xml:space="preserve"> emission factors for units &lt; 560 kW are obtained from the manufacturer's PM + HC data in order to represent potential filterable and condensable PM in the generator emission estimates. The emission rate provided in the manufacturer’s specifications for these units uses Method 1065 to determine PM emissions whereas Oregon DEQ uses Oregon Method 5. In the absence of specific stationary source stack test information (as used for the 2,500 kW stationary generators), a factor of particulate matter plus measured hydrocarbon has been used to account for condensable particulate matter per Oregon DEQ's request.
Oregon DEQ approved emission factor of 23.38 lbs/1,000 gal for diesel particulate matter for units &gt; 560 kW is derived based on evaluation of all engine test data available in Oregon on August 15, 2022. Emission factors for units &gt; 560 kW is determined by comparing the Oregon DEQ approved emission factor with Manufacturer's PM + HC data. The lesser of the two values was used for each of these units; unless the manufacturer's specification shows a higher PM value than Oregon DEQ's emission factor at the specified load level (ex. C18 750 kW) or the unit has an aftertreatment system. Emission factors for units &lt; 560 kW are represented as Manufacturer's PM + HC data. Additionally, if manufacturer data is only supplied at the 100% load level and is less than the Oregon DEQ approved factor, then the Oregon DEQ approved factor is conservatively used because PM emissions are expected to be higher at lower load levels.</t>
    </r>
  </si>
  <si>
    <r>
      <t>3</t>
    </r>
    <r>
      <rPr>
        <sz val="9"/>
        <rFont val="Tahoma"/>
        <family val="2"/>
      </rPr>
      <t xml:space="preserve"> Fuel use calculated based on total expected operating hours for each engine type for annual testing and maintinence while remaining under the Minor Source limit of 39 tpy of NOx.</t>
    </r>
  </si>
  <si>
    <t>GenNum</t>
  </si>
  <si>
    <t>Description</t>
  </si>
  <si>
    <t>reference</t>
  </si>
  <si>
    <t># of Gens</t>
  </si>
  <si>
    <t>(Portable)</t>
  </si>
  <si>
    <t>(Main)</t>
  </si>
  <si>
    <t>(Ski Lodge)</t>
  </si>
  <si>
    <t>total</t>
  </si>
  <si>
    <t>Diesel Internal Combustion Engines (stationary and portable)</t>
  </si>
  <si>
    <t xml:space="preserve">In order to meet regulatory standards, internal combustion diesel engines were introduced according to a tiered structure where newer engines ahdere to stricter emissions standard than older ones. Emission factors presented here are divided by Tier 0 and 1 engines, and Tiers 2,3, and 4 engines. The emission factors are a combination of recent source test data, and those found in California's South Coast Air Quality Monitoring District AB2588 table B-2 for Internal diesel combustion engines. All engines smaller than 560 kW or 750 hp, regardless of age or tier, should use the first emission factor set. More information is available in the References table in the Instructions tab, or on the Cleaner Air Oregon website. </t>
  </si>
  <si>
    <t>Ammonia (highlighted yellow): the listed 2.9 lb/M gal value corresponds to equipment with Selective Non-catalytic Reduction (SNCR). For equipment with Selective Catalytic Reduction (SCR), substitute the listed value with 1.4 lb/M gal, and for equipment without SNCR or SCR, substitute listed value with 0.8 lb/M gal. Update Note accordingly.</t>
  </si>
  <si>
    <t>Relevant units of measure: M gal = 1,000 gallons</t>
  </si>
  <si>
    <t>Pre-2006 Tier 0 and Tier 1 Diesel Internal Combustion Engines, all engines less than 560 kW (750 hp)</t>
  </si>
  <si>
    <t>CAS or DEQ ID</t>
  </si>
  <si>
    <t>Pollutant Name</t>
  </si>
  <si>
    <t>Controlled EF?</t>
  </si>
  <si>
    <t>Control 
Efficiency</t>
  </si>
  <si>
    <t>EF Values</t>
  </si>
  <si>
    <t>Units</t>
  </si>
  <si>
    <t>EF Reference/Notes</t>
  </si>
  <si>
    <t>N</t>
  </si>
  <si>
    <t>lb/M gal</t>
  </si>
  <si>
    <t>CAO Diesel RICE (a)</t>
  </si>
  <si>
    <t>Antimony and compounds</t>
  </si>
  <si>
    <t>Arsenic and compounds</t>
  </si>
  <si>
    <t>Barium and compounds</t>
  </si>
  <si>
    <t>Beryllium and compounds</t>
  </si>
  <si>
    <t>Cadmium and compounds</t>
  </si>
  <si>
    <t>Chromium VI, chromate and dichromate particulate</t>
  </si>
  <si>
    <t>Cobalt and compounds</t>
  </si>
  <si>
    <t>Copper and compounds</t>
  </si>
  <si>
    <t>Diesel particulate matter</t>
  </si>
  <si>
    <t>Ethyl benzene</t>
  </si>
  <si>
    <t>Hydrochloric acid</t>
  </si>
  <si>
    <t>Lead and compounds</t>
  </si>
  <si>
    <t>Manganese and compounds</t>
  </si>
  <si>
    <t>Mercury and compounds</t>
  </si>
  <si>
    <t>Nickel and compounds</t>
  </si>
  <si>
    <t>Polycyclic aromatic hydrocarbons (PAHs)</t>
  </si>
  <si>
    <t>Phosphorus and compounds</t>
  </si>
  <si>
    <t>Selenium and compounds</t>
  </si>
  <si>
    <t>Silver and compounds</t>
  </si>
  <si>
    <t>Thallium and compounds</t>
  </si>
  <si>
    <t>Xylene (mixture), including m-xylene, o-xylene, p-xylene</t>
  </si>
  <si>
    <t>Zinc and compounds</t>
  </si>
  <si>
    <t>Post-2006 Tier 2, 3 and 4 Diesel Internal Combustion Engines</t>
  </si>
  <si>
    <t>CAO Diesel RICE (b)</t>
  </si>
  <si>
    <r>
      <rPr>
        <b/>
        <sz val="9"/>
        <rFont val="Times New Roman"/>
        <family val="1"/>
      </rPr>
      <t>Table 2-1</t>
    </r>
  </si>
  <si>
    <r>
      <rPr>
        <b/>
        <sz val="9"/>
        <rFont val="Times New Roman"/>
        <family val="1"/>
      </rPr>
      <t>Summary of Results – 10% Load</t>
    </r>
  </si>
  <si>
    <r>
      <rPr>
        <b/>
        <sz val="9"/>
        <rFont val="Times New Roman"/>
        <family val="1"/>
      </rPr>
      <t>Run Number</t>
    </r>
  </si>
  <si>
    <r>
      <rPr>
        <b/>
        <sz val="9"/>
        <rFont val="Times New Roman"/>
        <family val="1"/>
      </rPr>
      <t>Run 1</t>
    </r>
  </si>
  <si>
    <r>
      <rPr>
        <b/>
        <sz val="9"/>
        <rFont val="Times New Roman"/>
        <family val="1"/>
      </rPr>
      <t>Run 2</t>
    </r>
  </si>
  <si>
    <r>
      <rPr>
        <b/>
        <sz val="9"/>
        <rFont val="Times New Roman"/>
        <family val="1"/>
      </rPr>
      <t>Run 3</t>
    </r>
  </si>
  <si>
    <r>
      <rPr>
        <b/>
        <sz val="9"/>
        <rFont val="Times New Roman"/>
        <family val="1"/>
      </rPr>
      <t>Average</t>
    </r>
  </si>
  <si>
    <r>
      <rPr>
        <b/>
        <sz val="9"/>
        <rFont val="Times New Roman"/>
        <family val="1"/>
      </rPr>
      <t>Date</t>
    </r>
  </si>
  <si>
    <r>
      <rPr>
        <b/>
        <sz val="9"/>
        <rFont val="Times New Roman"/>
        <family val="1"/>
      </rPr>
      <t>--</t>
    </r>
  </si>
  <si>
    <t>All non-detects?</t>
  </si>
  <si>
    <t>Effective Result</t>
  </si>
  <si>
    <r>
      <rPr>
        <b/>
        <sz val="9"/>
        <rFont val="Times New Roman"/>
        <family val="1"/>
      </rPr>
      <t>Particulate Matter Data</t>
    </r>
  </si>
  <si>
    <r>
      <rPr>
        <sz val="9"/>
        <rFont val="Times New Roman"/>
        <family val="1"/>
      </rPr>
      <t>Filterable PM Emission Rate, lb/hr</t>
    </r>
  </si>
  <si>
    <r>
      <rPr>
        <sz val="9"/>
        <rFont val="Times New Roman"/>
        <family val="1"/>
      </rPr>
      <t>Condensable PM Emission Rate, lb/hr</t>
    </r>
  </si>
  <si>
    <r>
      <rPr>
        <sz val="9"/>
        <rFont val="Times New Roman"/>
        <family val="1"/>
      </rPr>
      <t>Total PM Emission Rate, lb/hr</t>
    </r>
  </si>
  <si>
    <r>
      <rPr>
        <b/>
        <sz val="9"/>
        <rFont val="Times New Roman"/>
        <family val="1"/>
      </rPr>
      <t>Metals Data</t>
    </r>
  </si>
  <si>
    <r>
      <rPr>
        <sz val="9"/>
        <rFont val="Times New Roman"/>
        <family val="1"/>
      </rPr>
      <t>Arsenic Emission Rate, lb/hr</t>
    </r>
  </si>
  <si>
    <r>
      <rPr>
        <sz val="9"/>
        <rFont val="Times New Roman"/>
        <family val="1"/>
      </rPr>
      <t>Cadmium Emission Rate, lb/hr</t>
    </r>
  </si>
  <si>
    <r>
      <rPr>
        <i/>
        <u/>
        <sz val="9"/>
        <color rgb="FFFF0000"/>
        <rFont val="Times New Roman"/>
        <family val="1"/>
      </rPr>
      <t>1.7E-06</t>
    </r>
  </si>
  <si>
    <r>
      <rPr>
        <sz val="9"/>
        <rFont val="Times New Roman"/>
        <family val="1"/>
      </rPr>
      <t>Nickel Emission Rate, lb/hr</t>
    </r>
  </si>
  <si>
    <r>
      <rPr>
        <sz val="9"/>
        <rFont val="Times New Roman"/>
        <family val="1"/>
      </rPr>
      <t>Hexavalent Chromium Emission Rate, lb/hr</t>
    </r>
  </si>
  <si>
    <r>
      <rPr>
        <i/>
        <u/>
        <sz val="9"/>
        <color rgb="FFFF0000"/>
        <rFont val="Times New Roman"/>
        <family val="1"/>
      </rPr>
      <t>7.6E-05</t>
    </r>
  </si>
  <si>
    <r>
      <rPr>
        <i/>
        <u/>
        <sz val="9"/>
        <color rgb="FFFF0000"/>
        <rFont val="Times New Roman"/>
        <family val="1"/>
      </rPr>
      <t>3.9E-05</t>
    </r>
  </si>
  <si>
    <r>
      <rPr>
        <i/>
        <u/>
        <sz val="9"/>
        <color rgb="FFFF0000"/>
        <rFont val="Times New Roman"/>
        <family val="1"/>
      </rPr>
      <t>7.7E-05</t>
    </r>
  </si>
  <si>
    <r>
      <rPr>
        <b/>
        <sz val="9"/>
        <rFont val="Times New Roman"/>
        <family val="1"/>
      </rPr>
      <t>Organics Data</t>
    </r>
  </si>
  <si>
    <r>
      <rPr>
        <sz val="9"/>
        <rFont val="Times New Roman"/>
        <family val="1"/>
      </rPr>
      <t>Formaldehyde Emission Rate, lb/hr</t>
    </r>
  </si>
  <si>
    <r>
      <rPr>
        <sz val="9"/>
        <rFont val="Times New Roman"/>
        <family val="1"/>
      </rPr>
      <t>1,3 Butadiene Emission Rate, lb/hr</t>
    </r>
  </si>
  <si>
    <r>
      <rPr>
        <sz val="9"/>
        <rFont val="Times New Roman"/>
        <family val="1"/>
      </rPr>
      <t>Acetaldehyde Emission Rate, lb/hr</t>
    </r>
  </si>
  <si>
    <r>
      <rPr>
        <sz val="9"/>
        <rFont val="Times New Roman"/>
        <family val="1"/>
      </rPr>
      <t>Benzene Emission Rate, lb/hr</t>
    </r>
  </si>
  <si>
    <r>
      <rPr>
        <sz val="9"/>
        <rFont val="Times New Roman"/>
        <family val="1"/>
      </rPr>
      <t>Ethylbenzene Emission Rate, lb/hr</t>
    </r>
  </si>
  <si>
    <r>
      <rPr>
        <sz val="9"/>
        <rFont val="Times New Roman"/>
        <family val="1"/>
      </rPr>
      <t>Hexane Emission Rate, lb/hr</t>
    </r>
  </si>
  <si>
    <r>
      <rPr>
        <b/>
        <sz val="9"/>
        <rFont val="Times New Roman"/>
        <family val="1"/>
      </rPr>
      <t>Polycyclic Aromatic Hydrocarbons Data</t>
    </r>
  </si>
  <si>
    <r>
      <rPr>
        <sz val="9"/>
        <rFont val="Times New Roman"/>
        <family val="1"/>
      </rPr>
      <t>Acenaphthene Emission Rate, lb/hr</t>
    </r>
  </si>
  <si>
    <r>
      <rPr>
        <i/>
        <u/>
        <sz val="9"/>
        <color rgb="FFFF0000"/>
        <rFont val="Times New Roman"/>
        <family val="1"/>
      </rPr>
      <t>2.8E-05</t>
    </r>
  </si>
  <si>
    <r>
      <rPr>
        <i/>
        <u/>
        <sz val="9"/>
        <color rgb="FFFF0000"/>
        <rFont val="Times New Roman"/>
        <family val="1"/>
      </rPr>
      <t>2.9E-05</t>
    </r>
  </si>
  <si>
    <r>
      <rPr>
        <sz val="9"/>
        <rFont val="Times New Roman"/>
        <family val="1"/>
      </rPr>
      <t>Acenaphthylene Emission Rate, lb/hr</t>
    </r>
  </si>
  <si>
    <r>
      <rPr>
        <sz val="9"/>
        <rFont val="Times New Roman"/>
        <family val="1"/>
      </rPr>
      <t>Anthracene Emission Rate, lb/hr</t>
    </r>
  </si>
  <si>
    <r>
      <rPr>
        <i/>
        <u/>
        <sz val="9"/>
        <color rgb="FFFF0000"/>
        <rFont val="Times New Roman"/>
        <family val="1"/>
      </rPr>
      <t>9.3E-06</t>
    </r>
  </si>
  <si>
    <r>
      <rPr>
        <i/>
        <u/>
        <sz val="9"/>
        <color rgb="FFFF0000"/>
        <rFont val="Times New Roman"/>
        <family val="1"/>
      </rPr>
      <t>9.5E-06</t>
    </r>
  </si>
  <si>
    <r>
      <rPr>
        <i/>
        <u/>
        <sz val="9"/>
        <color rgb="FFFF0000"/>
        <rFont val="Times New Roman"/>
        <family val="1"/>
      </rPr>
      <t>9.4E-06</t>
    </r>
  </si>
  <si>
    <r>
      <rPr>
        <sz val="9"/>
        <rFont val="Times New Roman"/>
        <family val="1"/>
      </rPr>
      <t>Benz[a]anthracene Emission Rate, lb/hr</t>
    </r>
  </si>
  <si>
    <r>
      <rPr>
        <i/>
        <u/>
        <sz val="9"/>
        <color rgb="FFFF0000"/>
        <rFont val="Times New Roman"/>
        <family val="1"/>
      </rPr>
      <t>7.4E-06</t>
    </r>
  </si>
  <si>
    <r>
      <rPr>
        <i/>
        <u/>
        <sz val="9"/>
        <color rgb="FFFF0000"/>
        <rFont val="Times New Roman"/>
        <family val="1"/>
      </rPr>
      <t>7.6E-06</t>
    </r>
  </si>
  <si>
    <r>
      <rPr>
        <i/>
        <u/>
        <sz val="9"/>
        <color rgb="FFFF0000"/>
        <rFont val="Times New Roman"/>
        <family val="1"/>
      </rPr>
      <t>7.5E-06</t>
    </r>
  </si>
  <si>
    <r>
      <rPr>
        <sz val="9"/>
        <rFont val="Times New Roman"/>
        <family val="1"/>
      </rPr>
      <t>Benzo[a]pyrene Emission Rate, lb/hr</t>
    </r>
  </si>
  <si>
    <r>
      <rPr>
        <sz val="9"/>
        <rFont val="Times New Roman"/>
        <family val="1"/>
      </rPr>
      <t>Benzo[a]fluoranthene Emission Rate, lb/hr</t>
    </r>
  </si>
  <si>
    <r>
      <rPr>
        <sz val="9"/>
        <rFont val="Times New Roman"/>
        <family val="1"/>
      </rPr>
      <t>Benzo[g,h,i]perylene Emission Rate, lb/hr</t>
    </r>
  </si>
  <si>
    <r>
      <rPr>
        <sz val="9"/>
        <rFont val="Times New Roman"/>
        <family val="1"/>
      </rPr>
      <t>Benzo[k]fluoranthene Emission Rate, lb/hr</t>
    </r>
  </si>
  <si>
    <r>
      <rPr>
        <sz val="9"/>
        <rFont val="Times New Roman"/>
        <family val="1"/>
      </rPr>
      <t>Chrysene Emission Rate, lb/hr</t>
    </r>
  </si>
  <si>
    <r>
      <rPr>
        <sz val="9"/>
        <rFont val="Times New Roman"/>
        <family val="1"/>
      </rPr>
      <t>Dibenz[a,h]anthracene Emission Rate, lb/hr</t>
    </r>
  </si>
  <si>
    <r>
      <rPr>
        <sz val="9"/>
        <rFont val="Times New Roman"/>
        <family val="1"/>
      </rPr>
      <t>Fluoranthene Emission Rate, lb/hr</t>
    </r>
  </si>
  <si>
    <r>
      <rPr>
        <i/>
        <u/>
        <sz val="9"/>
        <color rgb="FFFF0000"/>
        <rFont val="Times New Roman"/>
        <family val="1"/>
      </rPr>
      <t>1.9E-05</t>
    </r>
  </si>
  <si>
    <r>
      <rPr>
        <sz val="9"/>
        <rFont val="Times New Roman"/>
        <family val="1"/>
      </rPr>
      <t>Fluorene Emission Rate, lb/hr</t>
    </r>
  </si>
  <si>
    <r>
      <rPr>
        <sz val="9"/>
        <rFont val="Times New Roman"/>
        <family val="1"/>
      </rPr>
      <t>5.4E-05</t>
    </r>
  </si>
  <si>
    <r>
      <rPr>
        <sz val="9"/>
        <rFont val="Times New Roman"/>
        <family val="1"/>
      </rPr>
      <t>6.4E-05</t>
    </r>
  </si>
  <si>
    <r>
      <rPr>
        <sz val="9"/>
        <rFont val="Times New Roman"/>
        <family val="1"/>
      </rPr>
      <t>Indeno(1,2,3-cd)pyrene Emission Rate, lb/hr</t>
    </r>
  </si>
  <si>
    <r>
      <rPr>
        <sz val="9"/>
        <rFont val="Times New Roman"/>
        <family val="1"/>
      </rPr>
      <t>Naphthalene Emission Rate, lb/hr</t>
    </r>
  </si>
  <si>
    <r>
      <rPr>
        <sz val="9"/>
        <rFont val="Times New Roman"/>
        <family val="1"/>
      </rPr>
      <t>1.2E-03</t>
    </r>
  </si>
  <si>
    <r>
      <rPr>
        <sz val="9"/>
        <rFont val="Times New Roman"/>
        <family val="1"/>
      </rPr>
      <t>1.6E-03</t>
    </r>
  </si>
  <si>
    <r>
      <rPr>
        <sz val="9"/>
        <rFont val="Times New Roman"/>
        <family val="1"/>
      </rPr>
      <t>1.5E-03</t>
    </r>
  </si>
  <si>
    <r>
      <rPr>
        <sz val="9"/>
        <rFont val="Times New Roman"/>
        <family val="1"/>
      </rPr>
      <t>Phenanthrene Emission Rate, lb/hr</t>
    </r>
  </si>
  <si>
    <r>
      <rPr>
        <sz val="9"/>
        <rFont val="Times New Roman"/>
        <family val="1"/>
      </rPr>
      <t>1.2E-04</t>
    </r>
  </si>
  <si>
    <r>
      <rPr>
        <sz val="9"/>
        <rFont val="Times New Roman"/>
        <family val="1"/>
      </rPr>
      <t>1.3E-04</t>
    </r>
  </si>
  <si>
    <r>
      <rPr>
        <sz val="9"/>
        <rFont val="Times New Roman"/>
        <family val="1"/>
      </rPr>
      <t>Pyrene Emission Rate, lb/hr</t>
    </r>
  </si>
  <si>
    <t>Total PAH, excluding Napthalene</t>
  </si>
  <si>
    <r>
      <rPr>
        <sz val="8"/>
        <rFont val="Times New Roman"/>
        <family val="1"/>
      </rPr>
      <t>* Underlined values represent results below the detection limit. The detection limit was used for emission purposes.</t>
    </r>
  </si>
  <si>
    <r>
      <rPr>
        <b/>
        <sz val="9"/>
        <rFont val="Times New Roman"/>
        <family val="1"/>
      </rPr>
      <t>Table 2-2</t>
    </r>
  </si>
  <si>
    <r>
      <rPr>
        <b/>
        <sz val="9"/>
        <rFont val="Times New Roman"/>
        <family val="1"/>
      </rPr>
      <t>Summary of Results – 25% Load</t>
    </r>
  </si>
  <si>
    <r>
      <rPr>
        <i/>
        <u/>
        <sz val="9"/>
        <color rgb="FFFF0000"/>
        <rFont val="Times New Roman"/>
        <family val="1"/>
      </rPr>
      <t>1.1E-05</t>
    </r>
  </si>
  <si>
    <r>
      <rPr>
        <i/>
        <u/>
        <sz val="9"/>
        <color rgb="FFFF0000"/>
        <rFont val="Times New Roman"/>
        <family val="1"/>
      </rPr>
      <t>2.5E-06</t>
    </r>
  </si>
  <si>
    <r>
      <rPr>
        <i/>
        <u/>
        <sz val="9"/>
        <color rgb="FFFF0000"/>
        <rFont val="Times New Roman"/>
        <family val="1"/>
      </rPr>
      <t>2.4E-06</t>
    </r>
  </si>
  <si>
    <r>
      <rPr>
        <sz val="9"/>
        <rFont val="Times New Roman"/>
        <family val="1"/>
      </rPr>
      <t>2.5E-05</t>
    </r>
  </si>
  <si>
    <r>
      <rPr>
        <sz val="9"/>
        <rFont val="Times New Roman"/>
        <family val="1"/>
      </rPr>
      <t>2.2E-05</t>
    </r>
  </si>
  <si>
    <r>
      <rPr>
        <sz val="9"/>
        <rFont val="Times New Roman"/>
        <family val="1"/>
      </rPr>
      <t>2.0E-05</t>
    </r>
  </si>
  <si>
    <r>
      <rPr>
        <i/>
        <u/>
        <sz val="9"/>
        <color rgb="FFFF0000"/>
        <rFont val="Times New Roman"/>
        <family val="1"/>
      </rPr>
      <t>5.3E-05</t>
    </r>
  </si>
  <si>
    <r>
      <rPr>
        <i/>
        <u/>
        <sz val="9"/>
        <color rgb="FFFF0000"/>
        <rFont val="Times New Roman"/>
        <family val="1"/>
      </rPr>
      <t>5.5E-05</t>
    </r>
  </si>
  <si>
    <r>
      <rPr>
        <i/>
        <u/>
        <sz val="9"/>
        <color rgb="FFFF0000"/>
        <rFont val="Times New Roman"/>
        <family val="1"/>
      </rPr>
      <t>4.3E-05</t>
    </r>
  </si>
  <si>
    <r>
      <rPr>
        <i/>
        <u/>
        <sz val="9"/>
        <color rgb="FFFF0000"/>
        <rFont val="Times New Roman"/>
        <family val="1"/>
      </rPr>
      <t>4.2E-05</t>
    </r>
  </si>
  <si>
    <r>
      <rPr>
        <i/>
        <u/>
        <sz val="9"/>
        <color rgb="FFFF0000"/>
        <rFont val="Times New Roman"/>
        <family val="1"/>
      </rPr>
      <t>1.4E-05</t>
    </r>
  </si>
  <si>
    <r>
      <rPr>
        <i/>
        <u/>
        <sz val="9"/>
        <color rgb="FFFF0000"/>
        <rFont val="Times New Roman"/>
        <family val="1"/>
      </rPr>
      <t>1.2E-05</t>
    </r>
  </si>
  <si>
    <r>
      <rPr>
        <sz val="9"/>
        <rFont val="Times New Roman"/>
        <family val="1"/>
      </rPr>
      <t>4.4E-05</t>
    </r>
  </si>
  <si>
    <r>
      <rPr>
        <sz val="9"/>
        <rFont val="Times New Roman"/>
        <family val="1"/>
      </rPr>
      <t>4.9E-05</t>
    </r>
  </si>
  <si>
    <r>
      <rPr>
        <sz val="9"/>
        <rFont val="Times New Roman"/>
        <family val="1"/>
      </rPr>
      <t>1.1E-03</t>
    </r>
  </si>
  <si>
    <r>
      <rPr>
        <sz val="9"/>
        <rFont val="Times New Roman"/>
        <family val="1"/>
      </rPr>
      <t>1.1E-04</t>
    </r>
  </si>
  <si>
    <r>
      <rPr>
        <sz val="9"/>
        <rFont val="Times New Roman"/>
        <family val="1"/>
      </rPr>
      <t>1.0E-04</t>
    </r>
  </si>
  <si>
    <r>
      <rPr>
        <sz val="9"/>
        <rFont val="Times New Roman"/>
        <family val="1"/>
      </rPr>
      <t>9.8E-05</t>
    </r>
  </si>
  <si>
    <r>
      <rPr>
        <sz val="9"/>
        <rFont val="Times New Roman"/>
        <family val="1"/>
      </rPr>
      <t>1.4E-04</t>
    </r>
  </si>
  <si>
    <r>
      <rPr>
        <b/>
        <sz val="9"/>
        <rFont val="Times New Roman"/>
        <family val="1"/>
      </rPr>
      <t>Table 2-3</t>
    </r>
  </si>
  <si>
    <r>
      <rPr>
        <b/>
        <sz val="9"/>
        <rFont val="Times New Roman"/>
        <family val="1"/>
      </rPr>
      <t>Summary of Results – 50% Load</t>
    </r>
  </si>
  <si>
    <r>
      <rPr>
        <i/>
        <u/>
        <sz val="9"/>
        <color rgb="FFFF0000"/>
        <rFont val="Times New Roman"/>
        <family val="1"/>
      </rPr>
      <t>2.0E-05</t>
    </r>
  </si>
  <si>
    <r>
      <rPr>
        <sz val="9"/>
        <rFont val="Times New Roman"/>
        <family val="1"/>
      </rPr>
      <t>6.2E-05</t>
    </r>
  </si>
  <si>
    <r>
      <rPr>
        <sz val="9"/>
        <rFont val="Times New Roman"/>
        <family val="1"/>
      </rPr>
      <t>6.6E-05</t>
    </r>
  </si>
  <si>
    <r>
      <rPr>
        <sz val="9"/>
        <rFont val="Times New Roman"/>
        <family val="1"/>
      </rPr>
      <t>8.9E-05</t>
    </r>
  </si>
  <si>
    <r>
      <rPr>
        <i/>
        <u/>
        <sz val="9"/>
        <color rgb="FFFF0000"/>
        <rFont val="Times New Roman"/>
        <family val="1"/>
      </rPr>
      <t>4.9E-06</t>
    </r>
  </si>
  <si>
    <r>
      <rPr>
        <i/>
        <u/>
        <sz val="9"/>
        <color rgb="FFFF0000"/>
        <rFont val="Times New Roman"/>
        <family val="1"/>
      </rPr>
      <t>6.3E-05</t>
    </r>
  </si>
  <si>
    <r>
      <rPr>
        <i/>
        <u/>
        <sz val="9"/>
        <color rgb="FFFF0000"/>
        <rFont val="Times New Roman"/>
        <family val="1"/>
      </rPr>
      <t>6.2E-05</t>
    </r>
  </si>
  <si>
    <r>
      <rPr>
        <i/>
        <u/>
        <sz val="9"/>
        <color rgb="FFFF0000"/>
        <rFont val="Times New Roman"/>
        <family val="1"/>
      </rPr>
      <t>1.7E-05</t>
    </r>
  </si>
  <si>
    <r>
      <rPr>
        <i/>
        <u/>
        <sz val="9"/>
        <color rgb="FFFF0000"/>
        <rFont val="Times New Roman"/>
        <family val="1"/>
      </rPr>
      <t>2.1E-05</t>
    </r>
  </si>
  <si>
    <r>
      <rPr>
        <sz val="9"/>
        <rFont val="Times New Roman"/>
        <family val="1"/>
      </rPr>
      <t>4.8E-05</t>
    </r>
  </si>
  <si>
    <r>
      <rPr>
        <sz val="9"/>
        <rFont val="Times New Roman"/>
        <family val="1"/>
      </rPr>
      <t>4.2E-05</t>
    </r>
  </si>
  <si>
    <r>
      <rPr>
        <sz val="9"/>
        <rFont val="Times New Roman"/>
        <family val="1"/>
      </rPr>
      <t>8.4E-04</t>
    </r>
  </si>
  <si>
    <r>
      <rPr>
        <sz val="9"/>
        <rFont val="Times New Roman"/>
        <family val="1"/>
      </rPr>
      <t>9.2E-04</t>
    </r>
  </si>
  <si>
    <r>
      <rPr>
        <sz val="9"/>
        <rFont val="Times New Roman"/>
        <family val="1"/>
      </rPr>
      <t>9.8E-04</t>
    </r>
  </si>
  <si>
    <r>
      <rPr>
        <sz val="9"/>
        <rFont val="Times New Roman"/>
        <family val="1"/>
      </rPr>
      <t>9.4E-05</t>
    </r>
  </si>
  <si>
    <r>
      <rPr>
        <sz val="9"/>
        <rFont val="Times New Roman"/>
        <family val="1"/>
      </rPr>
      <t>9.2E-05</t>
    </r>
  </si>
  <si>
    <r>
      <rPr>
        <b/>
        <sz val="9"/>
        <rFont val="Times New Roman"/>
        <family val="1"/>
      </rPr>
      <t>Table 2-4</t>
    </r>
  </si>
  <si>
    <r>
      <rPr>
        <b/>
        <sz val="9"/>
        <rFont val="Times New Roman"/>
        <family val="1"/>
      </rPr>
      <t>Summary of Results – 75% Load</t>
    </r>
  </si>
  <si>
    <r>
      <rPr>
        <i/>
        <u/>
        <sz val="9"/>
        <color rgb="FFFF0000"/>
        <rFont val="Times New Roman"/>
        <family val="1"/>
      </rPr>
      <t>4.3E-06</t>
    </r>
  </si>
  <si>
    <r>
      <rPr>
        <i/>
        <u/>
        <sz val="9"/>
        <color rgb="FFFF0000"/>
        <rFont val="Times New Roman"/>
        <family val="1"/>
      </rPr>
      <t>4.2E-06</t>
    </r>
  </si>
  <si>
    <r>
      <rPr>
        <sz val="9"/>
        <rFont val="Times New Roman"/>
        <family val="1"/>
      </rPr>
      <t>7.1E-05</t>
    </r>
  </si>
  <si>
    <r>
      <rPr>
        <sz val="9"/>
        <rFont val="Times New Roman"/>
        <family val="1"/>
      </rPr>
      <t>6.3E-05</t>
    </r>
  </si>
  <si>
    <r>
      <rPr>
        <sz val="9"/>
        <rFont val="Times New Roman"/>
        <family val="1"/>
      </rPr>
      <t>6.9E-05</t>
    </r>
  </si>
  <si>
    <r>
      <rPr>
        <i/>
        <u/>
        <sz val="9"/>
        <color rgb="FFFF0000"/>
        <rFont val="Times New Roman"/>
        <family val="1"/>
      </rPr>
      <t>9.9E-05</t>
    </r>
  </si>
  <si>
    <r>
      <rPr>
        <i/>
        <u/>
        <sz val="9"/>
        <color rgb="FFFF0000"/>
        <rFont val="Times New Roman"/>
        <family val="1"/>
      </rPr>
      <t>1.0E-04</t>
    </r>
  </si>
  <si>
    <r>
      <rPr>
        <i/>
        <u/>
        <sz val="9"/>
        <color rgb="FFFF0000"/>
        <rFont val="Times New Roman"/>
        <family val="1"/>
      </rPr>
      <t>2.5E-05</t>
    </r>
  </si>
  <si>
    <r>
      <rPr>
        <sz val="9"/>
        <rFont val="Times New Roman"/>
        <family val="1"/>
      </rPr>
      <t>8.8E-04</t>
    </r>
  </si>
  <si>
    <r>
      <rPr>
        <sz val="9"/>
        <rFont val="Times New Roman"/>
        <family val="1"/>
      </rPr>
      <t>8.9E-04</t>
    </r>
  </si>
  <si>
    <r>
      <rPr>
        <sz val="9"/>
        <rFont val="Times New Roman"/>
        <family val="1"/>
      </rPr>
      <t>8.8E-05</t>
    </r>
  </si>
  <si>
    <r>
      <rPr>
        <b/>
        <sz val="9"/>
        <rFont val="Times New Roman"/>
        <family val="1"/>
      </rPr>
      <t>Table 2-5</t>
    </r>
  </si>
  <si>
    <r>
      <rPr>
        <b/>
        <sz val="9"/>
        <rFont val="Times New Roman"/>
        <family val="1"/>
      </rPr>
      <t>Summary of Results – 100% Load</t>
    </r>
  </si>
  <si>
    <r>
      <rPr>
        <sz val="9"/>
        <rFont val="Times New Roman"/>
        <family val="1"/>
      </rPr>
      <t>1.8E-04</t>
    </r>
  </si>
  <si>
    <r>
      <rPr>
        <sz val="9"/>
        <rFont val="Times New Roman"/>
        <family val="1"/>
      </rPr>
      <t>1.5E-04</t>
    </r>
  </si>
  <si>
    <r>
      <rPr>
        <i/>
        <u/>
        <sz val="9"/>
        <color rgb="FFFF0000"/>
        <rFont val="Times New Roman"/>
        <family val="1"/>
      </rPr>
      <t>4.4E-05</t>
    </r>
  </si>
  <si>
    <r>
      <rPr>
        <i/>
        <u/>
        <sz val="9"/>
        <color rgb="FFFF0000"/>
        <rFont val="Times New Roman"/>
        <family val="1"/>
      </rPr>
      <t>1.5E-05</t>
    </r>
  </si>
  <si>
    <r>
      <rPr>
        <i/>
        <u/>
        <sz val="9"/>
        <color rgb="FFFF0000"/>
        <rFont val="Times New Roman"/>
        <family val="1"/>
      </rPr>
      <t>3.0E-05</t>
    </r>
  </si>
  <si>
    <r>
      <rPr>
        <sz val="9"/>
        <rFont val="Times New Roman"/>
        <family val="1"/>
      </rPr>
      <t>5.9E-05</t>
    </r>
  </si>
  <si>
    <r>
      <rPr>
        <sz val="9"/>
        <rFont val="Times New Roman"/>
        <family val="1"/>
      </rPr>
      <t>8.5E-05</t>
    </r>
  </si>
  <si>
    <r>
      <rPr>
        <sz val="9"/>
        <rFont val="Times New Roman"/>
        <family val="1"/>
      </rPr>
      <t>6.0E-05</t>
    </r>
  </si>
  <si>
    <r>
      <rPr>
        <sz val="9"/>
        <rFont val="Times New Roman"/>
        <family val="1"/>
      </rPr>
      <t>1.0E-03</t>
    </r>
  </si>
  <si>
    <r>
      <rPr>
        <sz val="9"/>
        <rFont val="Times New Roman"/>
        <family val="1"/>
      </rPr>
      <t>9.6E-04</t>
    </r>
  </si>
  <si>
    <r>
      <rPr>
        <sz val="9"/>
        <rFont val="Times New Roman"/>
        <family val="1"/>
      </rPr>
      <t>1.6E-04</t>
    </r>
  </si>
  <si>
    <t>DRAFT OAR 340-245-8010 Table 2 Risk-Based Concentrations</t>
  </si>
  <si>
    <r>
      <t>Residential Chronic RBC</t>
    </r>
    <r>
      <rPr>
        <b/>
        <vertAlign val="superscript"/>
        <sz val="11"/>
        <color theme="1"/>
        <rFont val="Arial"/>
        <family val="2"/>
      </rPr>
      <t>a</t>
    </r>
  </si>
  <si>
    <r>
      <t>Non-Residential Chronic RBC</t>
    </r>
    <r>
      <rPr>
        <b/>
        <vertAlign val="superscript"/>
        <sz val="11"/>
        <color theme="1"/>
        <rFont val="Arial"/>
        <family val="2"/>
      </rPr>
      <t>a</t>
    </r>
  </si>
  <si>
    <t>Noncancer</t>
  </si>
  <si>
    <t>Cancer</t>
  </si>
  <si>
    <t>Child Noncancer</t>
  </si>
  <si>
    <t>Worker Noncancer</t>
  </si>
  <si>
    <r>
      <t>Acute RBC</t>
    </r>
    <r>
      <rPr>
        <b/>
        <vertAlign val="superscript"/>
        <sz val="11"/>
        <color theme="1"/>
        <rFont val="Arial"/>
        <family val="2"/>
      </rPr>
      <t>a</t>
    </r>
  </si>
  <si>
    <t>True</t>
  </si>
  <si>
    <t>Adjusted</t>
  </si>
  <si>
    <t>Early</t>
  </si>
  <si>
    <t>Multipathway Adjustment Factor (MPAF)</t>
  </si>
  <si>
    <r>
      <t>CAS#</t>
    </r>
    <r>
      <rPr>
        <b/>
        <vertAlign val="superscript"/>
        <sz val="11"/>
        <color theme="1"/>
        <rFont val="Arial"/>
        <family val="2"/>
      </rPr>
      <t>b</t>
    </r>
  </si>
  <si>
    <t>Chemical</t>
  </si>
  <si>
    <t>Notes</t>
  </si>
  <si>
    <t>Class</t>
  </si>
  <si>
    <r>
      <t>(µg/m</t>
    </r>
    <r>
      <rPr>
        <b/>
        <vertAlign val="superscript"/>
        <sz val="11"/>
        <color theme="1"/>
        <rFont val="Arial"/>
        <family val="2"/>
      </rPr>
      <t>3</t>
    </r>
    <r>
      <rPr>
        <b/>
        <sz val="11"/>
        <color theme="1"/>
        <rFont val="Arial"/>
        <family val="2"/>
      </rPr>
      <t>)</t>
    </r>
  </si>
  <si>
    <t>Count</t>
  </si>
  <si>
    <t>Life</t>
  </si>
  <si>
    <t>Resident</t>
  </si>
  <si>
    <t>Non-Resident</t>
  </si>
  <si>
    <t>HI3</t>
  </si>
  <si>
    <t>60-35-5</t>
  </si>
  <si>
    <t>Acetamide</t>
  </si>
  <si>
    <t>67-64-1</t>
  </si>
  <si>
    <t>Acetone</t>
  </si>
  <si>
    <t>75-05-8</t>
  </si>
  <si>
    <t>Acetonitrile</t>
  </si>
  <si>
    <t>HI5</t>
  </si>
  <si>
    <t>79-06-1</t>
  </si>
  <si>
    <t>Acrylamide</t>
  </si>
  <si>
    <t>g</t>
  </si>
  <si>
    <t>79-10-7</t>
  </si>
  <si>
    <t>Acrylic acid</t>
  </si>
  <si>
    <t>107-13-1</t>
  </si>
  <si>
    <t>Acrylonitrile</t>
  </si>
  <si>
    <t>309-00-2</t>
  </si>
  <si>
    <t>Aldrin</t>
  </si>
  <si>
    <t>107-05-1</t>
  </si>
  <si>
    <t>Allyl chloride</t>
  </si>
  <si>
    <t>7429-90-5</t>
  </si>
  <si>
    <t>Aluminum and compounds</t>
  </si>
  <si>
    <t>l</t>
  </si>
  <si>
    <t>62-53-3</t>
  </si>
  <si>
    <t>Aniline</t>
  </si>
  <si>
    <t>140-57-8</t>
  </si>
  <si>
    <t>Aramite</t>
  </si>
  <si>
    <t>7784-42-1</t>
  </si>
  <si>
    <t>Arsine</t>
  </si>
  <si>
    <t>1332-21-4</t>
  </si>
  <si>
    <t>Asbestos</t>
  </si>
  <si>
    <t>i</t>
  </si>
  <si>
    <t>103-33-3</t>
  </si>
  <si>
    <t>Azobenzene</t>
  </si>
  <si>
    <t>92-87-5</t>
  </si>
  <si>
    <t>Benzidine (and its salts)</t>
  </si>
  <si>
    <t>100-44-7</t>
  </si>
  <si>
    <t>Benzyl chloride</t>
  </si>
  <si>
    <t>111-44-4</t>
  </si>
  <si>
    <t>Bis(2-chloroethyl) ether (BCEE)</t>
  </si>
  <si>
    <t>542-88-1</t>
  </si>
  <si>
    <t>Bis(chloromethyl) ether</t>
  </si>
  <si>
    <t>117-81-7</t>
  </si>
  <si>
    <t>Bis(2-ethylhexyl) phthalate (DEHP)</t>
  </si>
  <si>
    <t>c</t>
  </si>
  <si>
    <t>75-25-2</t>
  </si>
  <si>
    <t>Bromoform</t>
  </si>
  <si>
    <t>74-83-9</t>
  </si>
  <si>
    <t>Bromomethane (Methyl bromide)</t>
  </si>
  <si>
    <t>106-94-5</t>
  </si>
  <si>
    <t>1-Bromopropane (n-propyl bromide)</t>
  </si>
  <si>
    <t>78-93-3</t>
  </si>
  <si>
    <t>2-Butanone (Methyl ethyl ketone)</t>
  </si>
  <si>
    <t>78-92-2</t>
  </si>
  <si>
    <t>sec-Butyl alcohol</t>
  </si>
  <si>
    <t>c, l</t>
  </si>
  <si>
    <t>105-60-2</t>
  </si>
  <si>
    <t>Caprolactam</t>
  </si>
  <si>
    <t>75-15-0</t>
  </si>
  <si>
    <t>Carbon disulfide</t>
  </si>
  <si>
    <t>56-23-5</t>
  </si>
  <si>
    <t>Carbon tetrachloride</t>
  </si>
  <si>
    <t>463-58-1</t>
  </si>
  <si>
    <t>Carbonyl sulfide</t>
  </si>
  <si>
    <t>57-74-9</t>
  </si>
  <si>
    <t>Chlordane</t>
  </si>
  <si>
    <t>108171-26-2</t>
  </si>
  <si>
    <t>Chlorinated paraffins</t>
  </si>
  <si>
    <t>j</t>
  </si>
  <si>
    <t>7782-50-5</t>
  </si>
  <si>
    <t>Chlorine</t>
  </si>
  <si>
    <t>10049-04-4</t>
  </si>
  <si>
    <t>Chlorine dioxide</t>
  </si>
  <si>
    <t>532-27-4</t>
  </si>
  <si>
    <t>2-Chloroacetophenone</t>
  </si>
  <si>
    <t>75-68-3</t>
  </si>
  <si>
    <t>1-Chloro-1,1-difluoroethane</t>
  </si>
  <si>
    <t>75-45-6</t>
  </si>
  <si>
    <t>Chlorodifluoromethane (Freon 22)</t>
  </si>
  <si>
    <t>75-00-3</t>
  </si>
  <si>
    <t>Chloroethane (Ethyl chloride)</t>
  </si>
  <si>
    <t>67-66-3</t>
  </si>
  <si>
    <t>Chloroform</t>
  </si>
  <si>
    <t>74-87-3</t>
  </si>
  <si>
    <t>Chloromethane (Methyl chloride)</t>
  </si>
  <si>
    <t>95-83-0</t>
  </si>
  <si>
    <t>4-Chloro-o-phenylenediamine</t>
  </si>
  <si>
    <t>76-06-2</t>
  </si>
  <si>
    <t>Chloropicrin</t>
  </si>
  <si>
    <t>126-99-8</t>
  </si>
  <si>
    <t>Chloroprene</t>
  </si>
  <si>
    <t>95-69-2</t>
  </si>
  <si>
    <t>p-Chloro-o-toluidine</t>
  </si>
  <si>
    <t>c, d</t>
  </si>
  <si>
    <t>7738-94-5</t>
  </si>
  <si>
    <t>Chromic(VI) acid, including chromic acid aerosol mist and chromium trioxide</t>
  </si>
  <si>
    <t>Coke Oven Emissions</t>
  </si>
  <si>
    <t>120-71-8</t>
  </si>
  <si>
    <t>p-Cresidine</t>
  </si>
  <si>
    <t>1319-77-3</t>
  </si>
  <si>
    <t>Cresols (mixture), including m-cresol, o-cresol, p-cresol</t>
  </si>
  <si>
    <t>135-20-6</t>
  </si>
  <si>
    <t>Cupferron</t>
  </si>
  <si>
    <t>74-90-8</t>
  </si>
  <si>
    <t>Cyanide, Hydrogen</t>
  </si>
  <si>
    <t>110-82-7</t>
  </si>
  <si>
    <t>Cyclohexane</t>
  </si>
  <si>
    <t>50-29-3</t>
  </si>
  <si>
    <t>DDT</t>
  </si>
  <si>
    <t>e</t>
  </si>
  <si>
    <t>615-05-4</t>
  </si>
  <si>
    <t>2,4-Diaminoanisole</t>
  </si>
  <si>
    <t>95-80-7</t>
  </si>
  <si>
    <t>2,4-Diaminotoluene (2,4-Toluene diamine)</t>
  </si>
  <si>
    <t>333-41-5</t>
  </si>
  <si>
    <t>Diazinon</t>
  </si>
  <si>
    <t>96-12-8</t>
  </si>
  <si>
    <t>1,2-Dibromo-3-chloropropane (DBCP)</t>
  </si>
  <si>
    <t>106-46-7</t>
  </si>
  <si>
    <t>p-Dichlorobenzene (1,4-Dichlorobenzene)</t>
  </si>
  <si>
    <t>91-94-1</t>
  </si>
  <si>
    <t>3,3'-Dichlorobenzidine</t>
  </si>
  <si>
    <t>75-34-3</t>
  </si>
  <si>
    <t>1,1-Dichloroethane (Ethylidene dichloride)</t>
  </si>
  <si>
    <t>156-60-5</t>
  </si>
  <si>
    <t>trans-1,2-dichloroethene</t>
  </si>
  <si>
    <t>75-09-2</t>
  </si>
  <si>
    <t>Dichloromethane (Methylene chloride)</t>
  </si>
  <si>
    <t>78-87-5</t>
  </si>
  <si>
    <t>1,2-Dichloropropane (Propylene dichloride)</t>
  </si>
  <si>
    <t>542-75-6</t>
  </si>
  <si>
    <t>1,3-Dichloropropene</t>
  </si>
  <si>
    <t>62-73-7</t>
  </si>
  <si>
    <t>Dichlorvos (DDVP)</t>
  </si>
  <si>
    <t>60-57-1</t>
  </si>
  <si>
    <t>Dieldrin</t>
  </si>
  <si>
    <t>111-42-2</t>
  </si>
  <si>
    <t>Diethanolamine</t>
  </si>
  <si>
    <t>112-34-5</t>
  </si>
  <si>
    <t>Diethylene glycol monobutyl ether</t>
  </si>
  <si>
    <t>111-90-0</t>
  </si>
  <si>
    <t>Diethylene glycol monoethyl ether</t>
  </si>
  <si>
    <t>75-37-6</t>
  </si>
  <si>
    <t>1,1-Difluoroethane</t>
  </si>
  <si>
    <t>60-11-7</t>
  </si>
  <si>
    <t>4-Dimethylaminoazobenzene</t>
  </si>
  <si>
    <t>68-12-2</t>
  </si>
  <si>
    <t>Dimethyl formamide</t>
  </si>
  <si>
    <t>57-14-7</t>
  </si>
  <si>
    <t>1,1-Dimethylhydrazine</t>
  </si>
  <si>
    <t>121-14-2</t>
  </si>
  <si>
    <t>2,4-Dinitrotoluene</t>
  </si>
  <si>
    <t>123-91-1</t>
  </si>
  <si>
    <t>1,4-Dioxane</t>
  </si>
  <si>
    <t>122-66-7</t>
  </si>
  <si>
    <t>1,2-Diphenylhydrazine (Hydrazobenzene)</t>
  </si>
  <si>
    <t>1937-37-7</t>
  </si>
  <si>
    <t>Direct Black 38</t>
  </si>
  <si>
    <t>2602-46-2</t>
  </si>
  <si>
    <t>Direct Blue 6</t>
  </si>
  <si>
    <t>16071-86-6</t>
  </si>
  <si>
    <t>Direct Brown 95 (technical grade)</t>
  </si>
  <si>
    <t>298-04-4</t>
  </si>
  <si>
    <t>Disulfoton</t>
  </si>
  <si>
    <t>106-89-8</t>
  </si>
  <si>
    <t>Epichlorohydrin</t>
  </si>
  <si>
    <t>106-88-7</t>
  </si>
  <si>
    <t>1,2-Epoxybutane</t>
  </si>
  <si>
    <t>140-88-5</t>
  </si>
  <si>
    <t>Ethyl acrylate</t>
  </si>
  <si>
    <t>106-93-4</t>
  </si>
  <si>
    <t>Ethylene dibromide (EDB, 1,2-Dibromoethane)</t>
  </si>
  <si>
    <t>107-06-2</t>
  </si>
  <si>
    <t>Ethylene dichloride (EDC, 1,2-Dichloroethane)</t>
  </si>
  <si>
    <t>107-21-1</t>
  </si>
  <si>
    <t>Ethylene glycol</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</si>
  <si>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</si>
  <si>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</si>
  <si>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</si>
  <si>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</si>
  <si>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</si>
  <si>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</si>
  <si>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</si>
  <si>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</si>
  <si>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</si>
  <si>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</si>
  <si>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75-21-8</t>
  </si>
  <si>
    <t>Ethylene oxide</t>
  </si>
  <si>
    <t>96-45-7</t>
  </si>
  <si>
    <t>Ethylene thiourea</t>
  </si>
  <si>
    <t>Fluorides</t>
  </si>
  <si>
    <t>7782-41-4</t>
  </si>
  <si>
    <t>Fluorine gas</t>
  </si>
  <si>
    <t>111-30-8</t>
  </si>
  <si>
    <t>Glutaraldehyde</t>
  </si>
  <si>
    <t>76-44-8</t>
  </si>
  <si>
    <t>Heptachlor</t>
  </si>
  <si>
    <t>1024-57-3</t>
  </si>
  <si>
    <t>Heptachlor epoxide</t>
  </si>
  <si>
    <t>118-74-1</t>
  </si>
  <si>
    <t>Hexachlorobenzene</t>
  </si>
  <si>
    <t>87-68-3</t>
  </si>
  <si>
    <t>Hexachlorobutadiene</t>
  </si>
  <si>
    <t>608-73-1</t>
  </si>
  <si>
    <t>Hexachlorocyclohexanes (mixture) including but not limited to:</t>
  </si>
  <si>
    <t>319-84-6</t>
  </si>
  <si>
    <t>Hexachlorocyclohexane, alpha-</t>
  </si>
  <si>
    <t>319-85-7</t>
  </si>
  <si>
    <t>Hexachlorocyclohexane, beta-</t>
  </si>
  <si>
    <t>58-89-9</t>
  </si>
  <si>
    <t>Hexachlorocyclohexane, gamma- (Lindane)</t>
  </si>
  <si>
    <t>77-47-4</t>
  </si>
  <si>
    <t>Hexachlorocyclopentadiene</t>
  </si>
  <si>
    <t>67-72-1</t>
  </si>
  <si>
    <t>Hexachloroethane</t>
  </si>
  <si>
    <t>822-06-0</t>
  </si>
  <si>
    <t>Hexamethylene-1,6-diisocyanate</t>
  </si>
  <si>
    <t>302-01-2</t>
  </si>
  <si>
    <t>Hydrazine</t>
  </si>
  <si>
    <t>7664-39-3</t>
  </si>
  <si>
    <t>Hydrogen fluoride</t>
  </si>
  <si>
    <t>7783-06-4</t>
  </si>
  <si>
    <t>Hydrogen sulfide</t>
  </si>
  <si>
    <t>78-59-1</t>
  </si>
  <si>
    <t>Isophorone</t>
  </si>
  <si>
    <t>67-63-0</t>
  </si>
  <si>
    <t>Isopropyl alcohol</t>
  </si>
  <si>
    <t>98-82-8</t>
  </si>
  <si>
    <t>Isopropylbenzene (Cumene)</t>
  </si>
  <si>
    <t>108-31-6</t>
  </si>
  <si>
    <t>Maleic anhydride</t>
  </si>
  <si>
    <t>67-56-1</t>
  </si>
  <si>
    <t>Methanol</t>
  </si>
  <si>
    <t>101-14-4</t>
  </si>
  <si>
    <t>4,4'-Methylene bis(2-chloroaniline) (MOCA)</t>
  </si>
  <si>
    <t>101-77-9</t>
  </si>
  <si>
    <t>4,4'-Methylenedianiline (and its dichloride)</t>
  </si>
  <si>
    <t>101-68-8</t>
  </si>
  <si>
    <t>Methylene diphenyl diisocyanate (MDI)</t>
  </si>
  <si>
    <t>108-10-1</t>
  </si>
  <si>
    <t>Methyl isobutyl ketone (MIBK, Hexone)</t>
  </si>
  <si>
    <t>624-83-9</t>
  </si>
  <si>
    <t>Methyl isocyanate</t>
  </si>
  <si>
    <t>80-62-6</t>
  </si>
  <si>
    <t>Methyl methacrylate</t>
  </si>
  <si>
    <t>1634-04-4</t>
  </si>
  <si>
    <t>Methyl tert-butyl ether</t>
  </si>
  <si>
    <t>90-94-8</t>
  </si>
  <si>
    <t>Michler's ketone</t>
  </si>
  <si>
    <t>Nickel compounds, insoluble</t>
  </si>
  <si>
    <t>f</t>
  </si>
  <si>
    <t>Nickel compounds, soluble</t>
  </si>
  <si>
    <t>7697-37-2</t>
  </si>
  <si>
    <t>Nitric acid</t>
  </si>
  <si>
    <t>98-95-3</t>
  </si>
  <si>
    <t>Nitrobenzene</t>
  </si>
  <si>
    <t>79-46-9</t>
  </si>
  <si>
    <t>2-Nitropropane</t>
  </si>
  <si>
    <t>924-16-3</t>
  </si>
  <si>
    <t>N-Nitrosodi-n-butylamine</t>
  </si>
  <si>
    <t>55-18-5</t>
  </si>
  <si>
    <t>N-Nitrosodiethylamine</t>
  </si>
  <si>
    <t>62-75-9</t>
  </si>
  <si>
    <t>N-Nitrosodimethylamine</t>
  </si>
  <si>
    <t>86-30-6</t>
  </si>
  <si>
    <t>N-Nitrosodiphenylamine</t>
  </si>
  <si>
    <t>156-10-5</t>
  </si>
  <si>
    <t>p-Nitrosodiphenylamine</t>
  </si>
  <si>
    <t>621-64-7</t>
  </si>
  <si>
    <t>N-Nitrosodi-n-propylamine</t>
  </si>
  <si>
    <t>10595-95-6</t>
  </si>
  <si>
    <t>N-Nitrosomethylethylamine</t>
  </si>
  <si>
    <t>59-89-2</t>
  </si>
  <si>
    <t>N-Nitrosomorpholine</t>
  </si>
  <si>
    <t>100-75-4</t>
  </si>
  <si>
    <t>N-Nitrosopiperidine</t>
  </si>
  <si>
    <t>930-55-2</t>
  </si>
  <si>
    <t>N-Nitrosopyrrolidine</t>
  </si>
  <si>
    <t>8014-95-7</t>
  </si>
  <si>
    <t>Oleum (fuming sulfuric acid)</t>
  </si>
  <si>
    <t>56-38-2</t>
  </si>
  <si>
    <t>Parathion</t>
  </si>
  <si>
    <t>87-86-5</t>
  </si>
  <si>
    <t>Pentachlorophenol</t>
  </si>
  <si>
    <t>108-95-2</t>
  </si>
  <si>
    <t>Phenol</t>
  </si>
  <si>
    <t>75-44-5</t>
  </si>
  <si>
    <t>Phosgene</t>
  </si>
  <si>
    <t>7803-51-2</t>
  </si>
  <si>
    <t>Phosphine</t>
  </si>
  <si>
    <t>7664-38-2</t>
  </si>
  <si>
    <t>Phosphoric acid</t>
  </si>
  <si>
    <t>12185-10-3</t>
  </si>
  <si>
    <t>Phosphorus, white</t>
  </si>
  <si>
    <t>85-44-9</t>
  </si>
  <si>
    <t>Phthalic anhydride</t>
  </si>
  <si>
    <t>Polybrominated diphenyl ethers (PBDEs)</t>
  </si>
  <si>
    <t>h</t>
  </si>
  <si>
    <t>1336-36-3</t>
  </si>
  <si>
    <t>Polychlorinated biphenyls (PCBs)</t>
  </si>
  <si>
    <t>Polychlorinated biphenyls (PCBs) TEQ</t>
  </si>
  <si>
    <t>32598-13-3</t>
  </si>
  <si>
    <t>PCB 77 [3,3',4,4'-tetrachlorobiphenyl]</t>
  </si>
  <si>
    <t>70362-50-4</t>
  </si>
  <si>
    <t>PCB 81 [3,4,4',5-tetrachlorobiphenyl]</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</si>
  <si>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</si>
  <si>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</si>
  <si>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</si>
  <si>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</si>
  <si>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</si>
  <si>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</si>
  <si>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</si>
  <si>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</si>
  <si>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</si>
  <si>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</si>
  <si>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38380-08-4</t>
  </si>
  <si>
    <t>PCB 156 [2,3,3',4,4',5-hexachlorobiphenyl]</t>
  </si>
  <si>
    <t>69782-90-7</t>
  </si>
  <si>
    <t>PCB 157 [2,3,3',4,4',5'-hexachlorobiphenyl]</t>
  </si>
  <si>
    <t>52663-72-6</t>
  </si>
  <si>
    <t>PCB 167 [2,3',4,4',5,5'-hexachlorobiphenyl]</t>
  </si>
  <si>
    <t>32774-16-6</t>
  </si>
  <si>
    <t>PCB 169 [3,3',4,4',5,5'-hexachlorobiphenyl]</t>
  </si>
  <si>
    <t>39635-31-9</t>
  </si>
  <si>
    <t>PCB 189 [2,3,3',4,4',5,5'-heptachlorobiphenyl]</t>
  </si>
  <si>
    <t>Polychlorinated dibenzo-p-dioxins (PCDDs) &amp; dibenzofurans (PCDFs) TEQ</t>
  </si>
  <si>
    <t>1746-01-6</t>
  </si>
  <si>
    <t>2,3,7,8-Tetrachlorodibenzo-p-dioxin (TCDD)</t>
  </si>
  <si>
    <t>40321-76-4</t>
  </si>
  <si>
    <t>1,2,3,7,8-Pentachlorodibenzo-p-dioxin (PeCDD)</t>
  </si>
  <si>
    <t>39227-28-6</t>
  </si>
  <si>
    <t>1,2,3,4,7,8-Hexachlorodibenzo-p-dioxin (HxCDD)</t>
  </si>
  <si>
    <t>57653-85-7</t>
  </si>
  <si>
    <t>1,2,3,6,7,8-Hexachlorodibenzo-p-dioxin (HxCDD)</t>
  </si>
  <si>
    <t>19408-74-3</t>
  </si>
  <si>
    <t>1,2,3,7,8,9-Hexachlorodibenzo-p-dioxin (HxCDD)</t>
  </si>
  <si>
    <t>35822-46-9</t>
  </si>
  <si>
    <t>1,2,3,4,6,7,8-Heptachlorodibenzo-p-dioxin (HpCDD)</t>
  </si>
  <si>
    <t>3268-87-9</t>
  </si>
  <si>
    <t>Octachlorodibenzo-p-dioxin (OCDD)</t>
  </si>
  <si>
    <t>51207-31-9</t>
  </si>
  <si>
    <t>2,3,7,8-Tetrachlorodibenzofuran (TcDF)</t>
  </si>
  <si>
    <t>57117-41-6</t>
  </si>
  <si>
    <t>1,2,3,7,8-Pentachlorodibenzofuran (PeCDF)</t>
  </si>
  <si>
    <t>57117-31-4</t>
  </si>
  <si>
    <t>2,3,4,7,8-Pentachlorodibenzofuran (PeCDF)</t>
  </si>
  <si>
    <t>70648-26-9</t>
  </si>
  <si>
    <t>1,2,3,4,7,8-Hexachlorodibenzofuran (HxCDF)</t>
  </si>
  <si>
    <t>57117-44-9</t>
  </si>
  <si>
    <t>1,2,3,6,7,8-Hexachlorodibenzofuran (HxCDF)</t>
  </si>
  <si>
    <t>72918-21-9</t>
  </si>
  <si>
    <t>1,2,3,7,8,9-Hexachlorodibenzofuran (HxCDF)</t>
  </si>
  <si>
    <t>60851-34-5</t>
  </si>
  <si>
    <t>2,3,4,6,7,8-Hexachlorodibenzofuran  (HxCDF)</t>
  </si>
  <si>
    <t>67562-39-4</t>
  </si>
  <si>
    <t>1,2,3,4,6,7,8-Heptachlorodibenzofuran (HpCDF)</t>
  </si>
  <si>
    <t>55673-89-7</t>
  </si>
  <si>
    <t>1,2,3,4,7,8,9-Heptachlorodibenzofuran (HpCDF)</t>
  </si>
  <si>
    <t>39001-02-0</t>
  </si>
  <si>
    <t>Octachlorodibenzofuran (OCDF)</t>
  </si>
  <si>
    <t>c, g</t>
  </si>
  <si>
    <t>191-26-4</t>
  </si>
  <si>
    <t>Anthanthrene</t>
  </si>
  <si>
    <t>205-12-9</t>
  </si>
  <si>
    <t>Benzo[c]fluorene</t>
  </si>
  <si>
    <t>205-82-3</t>
  </si>
  <si>
    <t>Benzo[j]fluoranthene</t>
  </si>
  <si>
    <t>27208-37-3</t>
  </si>
  <si>
    <t>Cyclopenta[c,d]pyrene</t>
  </si>
  <si>
    <t>192-65-4</t>
  </si>
  <si>
    <t>Dibenzo[a,e]pyrene</t>
  </si>
  <si>
    <t>189-64-0</t>
  </si>
  <si>
    <t>Dibenzo[a,h]pyrene</t>
  </si>
  <si>
    <t>189-55-9</t>
  </si>
  <si>
    <t>Dibenzo[a,i]pyrene</t>
  </si>
  <si>
    <t>191-30-0</t>
  </si>
  <si>
    <t>Dibenzo[a,l]pyrene</t>
  </si>
  <si>
    <t>3697-24-3</t>
  </si>
  <si>
    <t>5-Methylchrysene</t>
  </si>
  <si>
    <t>7496-02-8</t>
  </si>
  <si>
    <t>6-Nitrochrysene</t>
  </si>
  <si>
    <t>7758-01-2</t>
  </si>
  <si>
    <t>Potassium bromate</t>
  </si>
  <si>
    <t>1120-71-4</t>
  </si>
  <si>
    <t>1,3-Propane sultone</t>
  </si>
  <si>
    <t>123-38-6</t>
  </si>
  <si>
    <t>Propionaldehyde</t>
  </si>
  <si>
    <t>6423-43-4</t>
  </si>
  <si>
    <t>Propylene glycol dinitrate</t>
  </si>
  <si>
    <t>107-98-2</t>
  </si>
  <si>
    <t>Propylene glycol monomethyl ether</t>
  </si>
  <si>
    <t>75-56-9</t>
  </si>
  <si>
    <t>Propylene oxide</t>
  </si>
  <si>
    <t>Refractory Ceramic Fibers</t>
  </si>
  <si>
    <t>7783-07-5</t>
  </si>
  <si>
    <t>Selenide, hydrogen</t>
  </si>
  <si>
    <t>7631-86-9</t>
  </si>
  <si>
    <t>Silica, crystalline (respirable)</t>
  </si>
  <si>
    <t>1310-73-2</t>
  </si>
  <si>
    <t>Sodium hydroxide</t>
  </si>
  <si>
    <t>100-42-5</t>
  </si>
  <si>
    <t>Styrene</t>
  </si>
  <si>
    <t>7664-93-9</t>
  </si>
  <si>
    <t>Sulfuric acid</t>
  </si>
  <si>
    <t>505-60-2</t>
  </si>
  <si>
    <t>Sulfur Mustard</t>
  </si>
  <si>
    <t>7446-11-9</t>
  </si>
  <si>
    <t>Sulfur trioxide</t>
  </si>
  <si>
    <t>630-20-6</t>
  </si>
  <si>
    <t>1,1,1,2-Tetrachloroethane</t>
  </si>
  <si>
    <t>79-34-5</t>
  </si>
  <si>
    <t>1,1,2,2-Tetrachloroethane</t>
  </si>
  <si>
    <t>127-18-4</t>
  </si>
  <si>
    <t>Tetrachloroethene (Perchloroethylene)</t>
  </si>
  <si>
    <t>811-97-2</t>
  </si>
  <si>
    <t>1,1,1,2-Tetrafluoroethane</t>
  </si>
  <si>
    <t>62-55-5</t>
  </si>
  <si>
    <t>Thioacetamide</t>
  </si>
  <si>
    <t>7550-45-0</t>
  </si>
  <si>
    <t>Titanium tetrachloride</t>
  </si>
  <si>
    <t>26471-62-5</t>
  </si>
  <si>
    <t>Toluene diisocyanates (2,4- and 2,6-)</t>
  </si>
  <si>
    <t>8001-35-2</t>
  </si>
  <si>
    <t>Toxaphene (Polychlorinated camphenes)</t>
  </si>
  <si>
    <t>71-55-6</t>
  </si>
  <si>
    <t>1,1,1-Trichloroethane (Methyl chloroform)</t>
  </si>
  <si>
    <t>79-00-5</t>
  </si>
  <si>
    <t>1,1,2-Trichloroethane (Vinyl trichloride)</t>
  </si>
  <si>
    <t>79-01-6</t>
  </si>
  <si>
    <t>Trichloroethene (TCE, Trichloroethylene)</t>
  </si>
  <si>
    <t>88-06-2</t>
  </si>
  <si>
    <t>2,4,6-Trichlorophenol</t>
  </si>
  <si>
    <t>96-18-4</t>
  </si>
  <si>
    <t>1,2,3-Trichloropropane</t>
  </si>
  <si>
    <t>121-44-8</t>
  </si>
  <si>
    <t>Triethylamine</t>
  </si>
  <si>
    <t>526-73-8</t>
  </si>
  <si>
    <t>1,2,3-Trimethylbenzene</t>
  </si>
  <si>
    <t>95-63-6</t>
  </si>
  <si>
    <t>1,2,4-Trimethylbenzene</t>
  </si>
  <si>
    <t>108-67-8</t>
  </si>
  <si>
    <t>1,3,5-Trimethylbenzene</t>
  </si>
  <si>
    <t>51-79-6</t>
  </si>
  <si>
    <t>Urethane (Ethyl carbamate)</t>
  </si>
  <si>
    <t>7440-62-2</t>
  </si>
  <si>
    <t>Vanadium (fume or dust)</t>
  </si>
  <si>
    <t>1314-62-1</t>
  </si>
  <si>
    <t>Vanadium pentoxide</t>
  </si>
  <si>
    <t>108-05-4</t>
  </si>
  <si>
    <t>Vinyl acetate</t>
  </si>
  <si>
    <t>593-60-2</t>
  </si>
  <si>
    <t>Vinyl bromide</t>
  </si>
  <si>
    <t>75-01-4</t>
  </si>
  <si>
    <t>Vinyl chloride</t>
  </si>
  <si>
    <t>g, k</t>
  </si>
  <si>
    <t>75-35-4</t>
  </si>
  <si>
    <t>Vinylidene chloride</t>
  </si>
  <si>
    <t>Notes:</t>
  </si>
  <si>
    <t>(a) RBCs calculated using the following formulas:</t>
  </si>
  <si>
    <t>Residential RBC for cancer effects = residRBCc (µg/m3) = TRVc / ELAFr / MPAFrc</t>
  </si>
  <si>
    <t>Residential RBC for noncancer effects = residRBCnc (µg/m3) = TRVnc / MPAFrnc</t>
  </si>
  <si>
    <t>Nonresidential child RBC for cancer effects = nrchildRBCc (µg/m3) = TRVc * childNRAFc / ELAFnr / MPAFnrc</t>
  </si>
  <si>
    <t>Nonresidential child RBC for noncancer effects = nrchildRBCnc (µg/m3) = TRVnc * childNRAFnc / MPAFnrnc</t>
  </si>
  <si>
    <t>Nonresidential worker RBC for cancer effects = workerRBCc (µg/m3) = TRVc * workerNRAFc / MPAFnrc</t>
  </si>
  <si>
    <t>Nonresidential worker RBC for noncancer effects = workerRBCnc (µg/m3) = TRVnc * workerNRAFnc / MPAFnrnc</t>
  </si>
  <si>
    <t>Acute RBC (µg/m3) = TRVa</t>
  </si>
  <si>
    <t>TRVc = Toxicity reference value, cancer (µg/m3)</t>
  </si>
  <si>
    <t>TRVnc = Toxicity reference value, noncancer (µg/m3)</t>
  </si>
  <si>
    <t>TRVa = Toxicity reference value, acute (µg/m3)</t>
  </si>
  <si>
    <t>ELAFr = early-life adjustment factor, residential (unitless)</t>
  </si>
  <si>
    <t>ELAFr = early-life adjustment factor, nonresidential (unitless)</t>
  </si>
  <si>
    <t>MPAFrc = multipathway adjustment factor, resident cancer (unitless)</t>
  </si>
  <si>
    <t>MPAFrnc = multipathway adjustment factor, resident noncancer (unitless)</t>
  </si>
  <si>
    <t>MPAFnrc = multipathway adjustment factor, nonresident cancer (unitless)</t>
  </si>
  <si>
    <t>MPAFnrnc = multipathway adjustment factor, nonresident noncancer (unitless)</t>
  </si>
  <si>
    <t>childNRAFc = Nonresident adjustment factor, child cancer (26) (unitless) = (24 hr/day / 8 hr/day) * (365 days/yr / 250 days/yr) * (70 years / 12 years)</t>
  </si>
  <si>
    <t xml:space="preserve">childNRAFnc = Nonresident adjustment factor, child noncancer (4.4) (unitless) = (24 hr/day / 8 hr/day) * (365 days/yr / 250 days/yr) </t>
  </si>
  <si>
    <t>workerNRAFc = Nonresident adjustment factor, worker cancer (12) (unitless) = (24 hr/day / 8 hr/day) * (365 days/yr / 250 days/yr) * (70 yr / 25 yr)</t>
  </si>
  <si>
    <t>workerNRAFnc = Nonresident adjustment factor, worker noncancer (4.4) (unitless) = (24 hr/day / 8 hr/day) * (365 days/yr / 250 days/yr)</t>
  </si>
  <si>
    <t>(b) CAS# = Chemical Abstracts Service number</t>
  </si>
  <si>
    <t>(c) Chronic RBCs include factors for multipathway risk. Multipathway adjustment factors are provided in Table B-1 of Draft Recommended Procedures for Conducting Toxic Air Contaminant Health Risk Assessments.</t>
  </si>
  <si>
    <t>(d) The RBCs presented for chromium are applicable to hexavalent chromium. In the absence of data indicating otherwise, assume that any total chromium (i.e., unspeciated) that is measured or modeled is entirely in the hexavalent form.</t>
  </si>
  <si>
    <t xml:space="preserve">     Determine, based on information about the source of emissions, whether hexavalent chromium is emitted in aerosol or particulate form, and apply the corresponding RBC</t>
  </si>
  <si>
    <t xml:space="preserve">     Because there are no RBCs for trivalent chromium, a source determined to be emitting only trivalent chromium cannot be shown to pose an unacceptable risk, so the risk in this case will be considered acceptable.  </t>
  </si>
  <si>
    <t>(e) DDT RBCs apply to the sum of DDT, DDE, and DDD compounds.</t>
  </si>
  <si>
    <t>(f) As recommended by the ATSAC in 2015, the two categories of nickel compounds contain the following specific nickel compounds:</t>
  </si>
  <si>
    <r>
      <t xml:space="preserve">     </t>
    </r>
    <r>
      <rPr>
        <b/>
        <sz val="9"/>
        <rFont val="Arial"/>
        <family val="2"/>
      </rPr>
      <t>Soluble nickel compounds</t>
    </r>
    <r>
      <rPr>
        <sz val="9"/>
        <rFont val="Arial"/>
        <family val="2"/>
      </rPr>
      <t xml:space="preserve"> are considered to be emitted mainly in aerosol form, to be less potent carcinogens than insoluble nickel compounds, and include nickel acetate, nickel chloride, nickel carbonate, nickel hydroxide, nickelocene, nickel sulfate, nickel sulfate hexahydrate, nickel nitrate hexahydrate, nickel carbonate hydroxide.</t>
    </r>
  </si>
  <si>
    <r>
      <t xml:space="preserve">     </t>
    </r>
    <r>
      <rPr>
        <b/>
        <sz val="9"/>
        <rFont val="Arial"/>
        <family val="2"/>
      </rPr>
      <t xml:space="preserve">Insoluble nickel compounds </t>
    </r>
    <r>
      <rPr>
        <sz val="9"/>
        <rFont val="Arial"/>
        <family val="2"/>
      </rPr>
      <t>are considered to be emitted mainly in particulate form, to be more potent carcinogens than soluble nickel compounds, and to include nickel subsulfide, nickel oxide, nickel sulfide, nickel metal.</t>
    </r>
  </si>
  <si>
    <t>(g) RBCs adjusted to protect early-life exposure to infants and children because chemical is carcinogenic by a mutagenic mode of action.</t>
  </si>
  <si>
    <t xml:space="preserve">     See Table B-1 of Draft Recommended Procedures for Conducting Toxic Air Contaminant Health Risk Assessments.</t>
  </si>
  <si>
    <t>(h ) RBCs apply to octabrominated diphenyl ethers (CAS# 32536-52-0) and pentabrominated diphenyl ethers (CAS# 32534-81-9), including BDE-99.</t>
  </si>
  <si>
    <t>(i) RBCs for asbestos and refractory ceramic fibers are in units of fibers/cm3.</t>
  </si>
  <si>
    <t>(j) Chlorinated paraffins of average chain length of C12, approximately 60% chlorine by weight.</t>
  </si>
  <si>
    <t xml:space="preserve">(k) DEQ followed the ATSAC recommendation to develop a vinyl chloride TRV that already includes early-life exposure. For the RBC calculations, DEQ applied the adjustment factors from </t>
  </si>
  <si>
    <t xml:space="preserve">     Table B-1 of Draft Recommended Procedures for Conducting Toxic Air Contaminant Health Risk Assessments to a TRV of 0.2 μg/m3, not the adult/child TRV of 0.1 μg/m3. </t>
  </si>
  <si>
    <t>(l) Inorganic chemicals are designated with "and compounds" to indicate that the RBC applies to the sum of all forms of the chemical, expressed as the inorganic element.</t>
  </si>
  <si>
    <t>Parameter</t>
  </si>
  <si>
    <t>Value</t>
  </si>
  <si>
    <t>Early-life adjustment factor, residential</t>
  </si>
  <si>
    <t>ELAFr</t>
  </si>
  <si>
    <t>unitless</t>
  </si>
  <si>
    <t>Rounded</t>
  </si>
  <si>
    <t>=(2yr*10 + 14yr*3 + 54yr*1)/70yr</t>
  </si>
  <si>
    <t>Early-life adjustment factor, non-residential</t>
  </si>
  <si>
    <t>ELAFnr</t>
  </si>
  <si>
    <t>=(2yr*10 + 10yr*3)/12yr</t>
  </si>
  <si>
    <t>child NonResident Adjustment Factor, cancer</t>
  </si>
  <si>
    <t>childNRAFc</t>
  </si>
  <si>
    <t>=24hr/8hr * 365d/250d * 70yr/12yr</t>
  </si>
  <si>
    <t>child NonResident Adjustment Factor, noncancer</t>
  </si>
  <si>
    <t>childNRAFnc</t>
  </si>
  <si>
    <t>=24hr/8hr * 365d/250d</t>
  </si>
  <si>
    <t>worker NonResident Adjustment Factor, cancer</t>
  </si>
  <si>
    <t>workNRAFc</t>
  </si>
  <si>
    <t>=24hr/8hr * 365d/250d * 70yr/25yr</t>
  </si>
  <si>
    <t>worker NonResident Adjustment Factor, noncancer</t>
  </si>
  <si>
    <t>workNRAFnc</t>
  </si>
  <si>
    <t>Table G-5. Risk Summary</t>
  </si>
  <si>
    <r>
      <t>Oregon DEQ</t>
    </r>
    <r>
      <rPr>
        <b/>
        <vertAlign val="superscript"/>
        <sz val="10"/>
        <rFont val="Tahoma"/>
        <family val="2"/>
      </rPr>
      <t>1</t>
    </r>
  </si>
  <si>
    <r>
      <t xml:space="preserve">2019 ST </t>
    </r>
    <r>
      <rPr>
        <b/>
        <vertAlign val="superscript"/>
        <sz val="10"/>
        <rFont val="Tahoma"/>
        <family val="2"/>
      </rPr>
      <t>2</t>
    </r>
  </si>
  <si>
    <r>
      <t xml:space="preserve">2021 ST </t>
    </r>
    <r>
      <rPr>
        <b/>
        <vertAlign val="superscript"/>
        <sz val="10"/>
        <rFont val="Tahoma"/>
        <family val="2"/>
      </rPr>
      <t>3</t>
    </r>
  </si>
  <si>
    <r>
      <t xml:space="preserve">CAT 3516C 2,500 kW </t>
    </r>
    <r>
      <rPr>
        <b/>
        <vertAlign val="superscript"/>
        <sz val="10"/>
        <rFont val="Tahoma"/>
        <family val="2"/>
      </rPr>
      <t>4</t>
    </r>
  </si>
  <si>
    <r>
      <t xml:space="preserve">Other Units &gt;560 kW </t>
    </r>
    <r>
      <rPr>
        <b/>
        <vertAlign val="superscript"/>
        <sz val="10"/>
        <rFont val="Tahoma"/>
        <family val="2"/>
      </rPr>
      <t>1</t>
    </r>
  </si>
  <si>
    <r>
      <t>Hexavalent Chromium</t>
    </r>
    <r>
      <rPr>
        <vertAlign val="superscript"/>
        <sz val="10"/>
        <rFont val="Tahoma"/>
        <family val="2"/>
      </rPr>
      <t>5</t>
    </r>
  </si>
  <si>
    <r>
      <t>PAHs (excl. Naphthalene)</t>
    </r>
    <r>
      <rPr>
        <vertAlign val="superscript"/>
        <sz val="10"/>
        <rFont val="Tahoma"/>
        <family val="2"/>
      </rPr>
      <t>6</t>
    </r>
  </si>
  <si>
    <r>
      <rPr>
        <vertAlign val="superscript"/>
        <sz val="8"/>
        <rFont val="Tahoma"/>
        <family val="2"/>
      </rPr>
      <t>1</t>
    </r>
    <r>
      <rPr>
        <sz val="8"/>
        <rFont val="Tahoma"/>
        <family val="2"/>
      </rPr>
      <t xml:space="preserve"> Oregon DEQ emission factors are obtained from Oregon DEQ Toxics Reporting &amp; Air Toxics Emissions Inventory (ATEI) Combustion Emission Factor Search Tool for Post-2006 Tier 2, 3, and 4 Diesel Internal Combustion Engines is used. The emission factor for equipment without SNCR or SCR is used for ammonia.</t>
    </r>
  </si>
  <si>
    <r>
      <rPr>
        <vertAlign val="superscript"/>
        <sz val="8"/>
        <rFont val="Tahoma"/>
        <family val="2"/>
      </rPr>
      <t xml:space="preserve">3 </t>
    </r>
    <r>
      <rPr>
        <sz val="8"/>
        <rFont val="Tahoma"/>
        <family val="2"/>
      </rPr>
      <t>Stack testing for diesel particulate matter, metals, and PAHs was completed on September 21, 23-24, and 27-29, 2021 at ADS PDX90 site on a CAT 3516C 2,500 kW generator. The test was completed over a 6 hour time period to ensure enough exhaust volume at low load levels was procured to accurately detect potential pollutants. Oregon DEQ provided CAO approved emission factors in the 1/14/2022 Source Test Review Report Memorandum. A safety factor has been added to these emission factors as shown in Tables C1-3 and C1-4.</t>
    </r>
  </si>
  <si>
    <r>
      <rPr>
        <vertAlign val="superscript"/>
        <sz val="8"/>
        <rFont val="Tahoma"/>
        <family val="2"/>
      </rPr>
      <t>4</t>
    </r>
    <r>
      <rPr>
        <sz val="8"/>
        <rFont val="Tahoma"/>
        <family val="2"/>
      </rPr>
      <t xml:space="preserve"> ADS is preferentially using emission factors resulting from the 2021 stack test. If pollutants were not tested, the 2019 stack test results are used. Additionally, if pollutants were not tested, the Oregon DEQ emission factors are used. </t>
    </r>
  </si>
  <si>
    <r>
      <rPr>
        <vertAlign val="superscript"/>
        <sz val="8"/>
        <rFont val="Tahoma"/>
        <family val="2"/>
      </rPr>
      <t>5</t>
    </r>
    <r>
      <rPr>
        <sz val="8"/>
        <rFont val="Tahoma"/>
        <family val="2"/>
      </rPr>
      <t xml:space="preserve"> Total chromium was tested during the 2021 stack test. The results from this test are being used to describe hexavalent chromium (ODEQ Toxic listed in OAR 340-245-8010 Table 2). </t>
    </r>
  </si>
  <si>
    <r>
      <rPr>
        <vertAlign val="superscript"/>
        <sz val="8"/>
        <rFont val="Tahoma"/>
        <family val="2"/>
      </rPr>
      <t xml:space="preserve">6 </t>
    </r>
    <r>
      <rPr>
        <sz val="8"/>
        <rFont val="Tahoma"/>
        <family val="2"/>
      </rPr>
      <t xml:space="preserve">Poly aromatic hydrocarbons (PAHs) is a group of toxic pollutants. Since source testing was completed for specific PAHs for the CAT3516HD generator, the PAHs are included individually instead of as a summation for these engines. </t>
    </r>
  </si>
  <si>
    <r>
      <t>REER Used for Modeling with Unit Emission Rate 
(g/s per μg/m</t>
    </r>
    <r>
      <rPr>
        <b/>
        <vertAlign val="superscript"/>
        <sz val="10.5"/>
        <rFont val="Tahoma"/>
        <family val="2"/>
      </rPr>
      <t>3</t>
    </r>
    <r>
      <rPr>
        <b/>
        <sz val="10.5"/>
        <rFont val="Tahoma"/>
        <family val="2"/>
      </rPr>
      <t>)</t>
    </r>
  </si>
  <si>
    <r>
      <t>TOTAL REER for 1,000 kW Unit (g/s per µg/m</t>
    </r>
    <r>
      <rPr>
        <b/>
        <vertAlign val="superscript"/>
        <sz val="10.5"/>
        <rFont val="Tahoma"/>
        <family val="2"/>
      </rPr>
      <t>3</t>
    </r>
    <r>
      <rPr>
        <b/>
        <sz val="10.5"/>
        <rFont val="Tahoma"/>
        <family val="2"/>
      </rPr>
      <t>)</t>
    </r>
  </si>
  <si>
    <r>
      <t>TOTAL REER for 1,825 kW (g/s per µg/m</t>
    </r>
    <r>
      <rPr>
        <b/>
        <vertAlign val="superscript"/>
        <sz val="10.5"/>
        <rFont val="Tahoma"/>
        <family val="2"/>
      </rPr>
      <t>3</t>
    </r>
    <r>
      <rPr>
        <b/>
        <sz val="10.5"/>
        <rFont val="Tahoma"/>
        <family val="2"/>
      </rPr>
      <t>)</t>
    </r>
  </si>
  <si>
    <r>
      <t>TOTAL REER for 2,000 kW (g/s per µg/m</t>
    </r>
    <r>
      <rPr>
        <b/>
        <vertAlign val="superscript"/>
        <sz val="10.5"/>
        <rFont val="Tahoma"/>
        <family val="2"/>
      </rPr>
      <t>3</t>
    </r>
    <r>
      <rPr>
        <b/>
        <sz val="10.5"/>
        <rFont val="Tahoma"/>
        <family val="2"/>
      </rPr>
      <t>)</t>
    </r>
  </si>
  <si>
    <r>
      <t>(g/s per μg/m</t>
    </r>
    <r>
      <rPr>
        <vertAlign val="superscript"/>
        <sz val="10.5"/>
        <rFont val="Tahoma"/>
        <family val="2"/>
      </rPr>
      <t>3</t>
    </r>
    <r>
      <rPr>
        <sz val="10.5"/>
        <rFont val="Tahoma"/>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</si>
</sst>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64" formatCode="0.0"/>
    <numFmt numFmtId="165" formatCode="0.000"/>
    <numFmt numFmtId="166" formatCode="#,##0.0"/>
    <numFmt numFmtId="167" formatCode="0.00000"/>
    <numFmt numFmtId="168" formatCode="&quot;(Total number of &quot;0&quot; gens)&quot;"/>
    <numFmt numFmtId="169" formatCode="0.0000"/>
    <numFmt numFmtId="170" formatCode="#,##0.0000"/>
    <numFmt numFmtId="171" formatCode="d/m/yy;@"/>
    <numFmt numFmtId="172" formatCode="###0.00;###0.00"/>
    <numFmt numFmtId="173" formatCode="###0.0000;###0.0000"/>
    <numFmt numFmtId="174" formatCode="###0.000;###0.000"/>
    <numFmt numFmtId="175" formatCode="###0.0000;[Red]###0.0000"/>
    <numFmt numFmtId="176" formatCode="###0.000;[Red]###0.000"/>
    <numFmt numFmtId="177" formatCode="###0.00;[Red]###0.00"/>
  </numFmts>
  <fonts count="95" x14ac:knownFonts="1">
    <font>
      <sz val="11"/>
      <color theme="1"/>
      <name val="Calibri"/>
      <family val="2"/>
      <scheme val="minor"/>
    </font>
    <font>
      <sz val="11"/>
      <color theme="1"/>
      <name val="Calibri"/>
      <family val="2"/>
      <scheme val="minor"/>
    </font>
    <font>
      <sz val="10"/>
      <name val="Arial"/>
      <family val="2"/>
    </font>
    <font>
      <sz val="10"/>
      <color rgb="FF000000"/>
      <name val="Times New Roman"/>
      <family val="1"/>
    </font>
    <font>
      <sz val="10.5"/>
      <name val="Cambria"/>
      <family val="1"/>
    </font>
    <font>
      <vertAlign val="superscript"/>
      <sz val="9"/>
      <name val="Cambria"/>
      <family val="1"/>
    </font>
    <font>
      <sz val="9"/>
      <name val="Cambria"/>
      <family val="1"/>
    </font>
    <font>
      <sz val="11"/>
      <name val="Calibri"/>
      <family val="2"/>
      <scheme val="minor"/>
    </font>
    <font>
      <sz val="10.5"/>
      <color theme="5"/>
      <name val="Cambria"/>
      <family val="1"/>
    </font>
    <font>
      <sz val="10.5"/>
      <color rgb="FF0070C0"/>
      <name val="Cambria"/>
      <family val="1"/>
    </font>
    <font>
      <sz val="10.5"/>
      <color rgb="FFFF0000"/>
      <name val="Cambria"/>
      <family val="1"/>
    </font>
    <font>
      <u/>
      <sz val="10"/>
      <color theme="10"/>
      <name val="Times New Roman"/>
      <family val="1"/>
    </font>
    <font>
      <sz val="8"/>
      <name val="Calibri"/>
      <family val="2"/>
      <scheme val="minor"/>
    </font>
    <font>
      <sz val="9"/>
      <color theme="5"/>
      <name val="Cambria"/>
      <family val="1"/>
    </font>
    <font>
      <b/>
      <sz val="10.5"/>
      <color rgb="FF0070C0"/>
      <name val="Cambria"/>
      <family val="1"/>
    </font>
    <font>
      <sz val="11"/>
      <color rgb="FF0070C0"/>
      <name val="Calibri"/>
      <family val="2"/>
      <scheme val="minor"/>
    </font>
    <font>
      <b/>
      <sz val="10.5"/>
      <color theme="5"/>
      <name val="Cambria"/>
      <family val="1"/>
    </font>
    <font>
      <vertAlign val="superscript"/>
      <sz val="9"/>
      <color theme="5"/>
      <name val="Cambria"/>
      <family val="1"/>
    </font>
    <font>
      <sz val="9"/>
      <color rgb="FF0070C0"/>
      <name val="Cambria"/>
      <family val="1"/>
    </font>
    <font>
      <b/>
      <vertAlign val="superscript"/>
      <sz val="10.5"/>
      <color rgb="FF0070C0"/>
      <name val="Cambria"/>
      <family val="1"/>
    </font>
    <font>
      <vertAlign val="superscript"/>
      <sz val="9"/>
      <color rgb="FF0070C0"/>
      <name val="Cambria"/>
      <family val="1"/>
    </font>
    <font>
      <vertAlign val="superscript"/>
      <sz val="9"/>
      <name val="Tahoma"/>
      <family val="2"/>
    </font>
    <font>
      <b/>
      <sz val="10.5"/>
      <name val="Tahoma"/>
      <family val="2"/>
    </font>
    <font>
      <sz val="11"/>
      <name val="Tahoma"/>
      <family val="2"/>
    </font>
    <font>
      <b/>
      <vertAlign val="superscript"/>
      <sz val="10.5"/>
      <name val="Tahoma"/>
      <family val="2"/>
    </font>
    <font>
      <sz val="10.5"/>
      <name val="Tahoma"/>
      <family val="2"/>
    </font>
    <font>
      <sz val="9"/>
      <name val="Tahoma"/>
      <family val="2"/>
    </font>
    <font>
      <strike/>
      <sz val="10.5"/>
      <name val="Tahoma"/>
      <family val="2"/>
    </font>
    <font>
      <b/>
      <strike/>
      <sz val="10.5"/>
      <name val="Tahoma"/>
      <family val="2"/>
    </font>
    <font>
      <sz val="10"/>
      <name val="Tahoma"/>
      <family val="2"/>
    </font>
    <font>
      <sz val="8"/>
      <name val="Tahoma"/>
      <family val="2"/>
    </font>
    <font>
      <strike/>
      <sz val="8"/>
      <name val="Tahoma"/>
      <family val="2"/>
    </font>
    <font>
      <sz val="10"/>
      <color theme="1"/>
      <name val="Tahoma"/>
      <family val="2"/>
    </font>
    <font>
      <vertAlign val="superscript"/>
      <sz val="10.5"/>
      <name val="Tahoma"/>
      <family val="2"/>
    </font>
    <font>
      <b/>
      <sz val="10"/>
      <name val="Tahoma"/>
      <family val="2"/>
    </font>
    <font>
      <b/>
      <vertAlign val="superscript"/>
      <sz val="10"/>
      <name val="Tahoma"/>
      <family val="2"/>
    </font>
    <font>
      <i/>
      <sz val="10"/>
      <name val="Tahoma"/>
      <family val="2"/>
    </font>
    <font>
      <b/>
      <strike/>
      <sz val="10"/>
      <name val="Tahoma"/>
      <family val="2"/>
    </font>
    <font>
      <vertAlign val="superscript"/>
      <sz val="8"/>
      <name val="Tahoma"/>
      <family val="2"/>
    </font>
    <font>
      <vertAlign val="superscript"/>
      <sz val="10"/>
      <name val="Tahoma"/>
      <family val="2"/>
    </font>
    <font>
      <b/>
      <sz val="12"/>
      <name val="Tahoma"/>
      <family val="2"/>
    </font>
    <font>
      <b/>
      <i/>
      <sz val="10"/>
      <name val="Tahoma"/>
      <family val="2"/>
    </font>
    <font>
      <sz val="11"/>
      <color theme="1"/>
      <name val="Arial"/>
      <family val="2"/>
    </font>
    <font>
      <b/>
      <sz val="12"/>
      <color theme="1"/>
      <name val="Arial"/>
      <family val="2"/>
    </font>
    <font>
      <vertAlign val="subscript"/>
      <sz val="9"/>
      <name val="Tahoma"/>
      <family val="2"/>
    </font>
    <font>
      <sz val="9"/>
      <color indexed="81"/>
      <name val="Tahoma"/>
      <family val="2"/>
    </font>
    <font>
      <sz val="11"/>
      <color rgb="FF9C0006"/>
      <name val="Calibri"/>
      <family val="2"/>
      <scheme val="minor"/>
    </font>
    <font>
      <b/>
      <sz val="11"/>
      <color theme="1"/>
      <name val="Calibri"/>
      <family val="2"/>
      <scheme val="minor"/>
    </font>
    <font>
      <b/>
      <sz val="11"/>
      <color rgb="FFFF0000"/>
      <name val="Calibri"/>
      <family val="2"/>
      <scheme val="minor"/>
    </font>
    <font>
      <sz val="9"/>
      <color rgb="FFFF0000"/>
      <name val="Arial"/>
      <family val="2"/>
    </font>
    <font>
      <b/>
      <sz val="11"/>
      <color theme="1"/>
      <name val="Arial"/>
      <family val="2"/>
    </font>
    <font>
      <b/>
      <vertAlign val="superscript"/>
      <sz val="11"/>
      <color theme="1"/>
      <name val="Arial"/>
      <family val="2"/>
    </font>
    <font>
      <b/>
      <sz val="9"/>
      <color theme="1"/>
      <name val="Arial"/>
      <family val="2"/>
    </font>
    <font>
      <b/>
      <sz val="10"/>
      <color theme="1"/>
      <name val="Arial"/>
      <family val="2"/>
    </font>
    <font>
      <b/>
      <sz val="12"/>
      <color theme="1"/>
      <name val="Calibri"/>
      <family val="2"/>
      <scheme val="minor"/>
    </font>
    <font>
      <b/>
      <sz val="9"/>
      <color rgb="FF000000"/>
      <name val="Arial"/>
      <family val="2"/>
    </font>
    <font>
      <sz val="9"/>
      <color rgb="FF000000"/>
      <name val="Arial"/>
      <family val="2"/>
    </font>
    <font>
      <sz val="9"/>
      <color theme="1"/>
      <name val="Arial"/>
      <family val="2"/>
    </font>
    <font>
      <sz val="9"/>
      <name val="Arial"/>
      <family val="2"/>
    </font>
    <font>
      <b/>
      <sz val="9"/>
      <name val="Arial"/>
      <family val="2"/>
    </font>
    <font>
      <b/>
      <sz val="9"/>
      <color indexed="81"/>
      <name val="Tahoma"/>
      <family val="2"/>
    </font>
    <font>
      <b/>
      <sz val="16"/>
      <name val="Arial"/>
      <family val="2"/>
    </font>
    <font>
      <sz val="12"/>
      <name val="Arial"/>
      <family val="2"/>
    </font>
    <font>
      <sz val="11"/>
      <name val="Arial"/>
      <family val="2"/>
    </font>
    <font>
      <b/>
      <sz val="12"/>
      <name val="Arial"/>
      <family val="2"/>
    </font>
    <font>
      <b/>
      <sz val="9"/>
      <name val="Times New Roman"/>
      <family val="1"/>
    </font>
    <font>
      <b/>
      <sz val="9"/>
      <color rgb="FF000000"/>
      <name val="Times New Roman"/>
      <family val="2"/>
    </font>
    <font>
      <sz val="9"/>
      <name val="Times New Roman"/>
      <family val="1"/>
    </font>
    <font>
      <sz val="9"/>
      <color rgb="FF000000"/>
      <name val="Times New Roman"/>
      <family val="2"/>
    </font>
    <font>
      <sz val="10"/>
      <color rgb="FF0070C0"/>
      <name val="Times New Roman"/>
      <family val="1"/>
    </font>
    <font>
      <i/>
      <u/>
      <sz val="9"/>
      <color rgb="FF0070C0"/>
      <name val="Times New Roman"/>
      <family val="1"/>
    </font>
    <font>
      <i/>
      <sz val="9"/>
      <name val="Times New Roman"/>
      <family val="1"/>
    </font>
    <font>
      <i/>
      <u/>
      <sz val="9"/>
      <color rgb="FFFF0000"/>
      <name val="Times New Roman"/>
      <family val="1"/>
    </font>
    <font>
      <i/>
      <sz val="9"/>
      <name val="Times New Roman"/>
      <family val="2"/>
    </font>
    <font>
      <sz val="9"/>
      <color rgb="FF0070C0"/>
      <name val="Times New Roman"/>
      <family val="1"/>
    </font>
    <font>
      <sz val="8"/>
      <name val="Times New Roman"/>
      <family val="1"/>
    </font>
    <font>
      <sz val="11"/>
      <color rgb="FF7030A0"/>
      <name val="Calibri"/>
      <family val="2"/>
      <scheme val="minor"/>
    </font>
    <font>
      <strike/>
      <sz val="10.5"/>
      <color rgb="FFFF0000"/>
      <name val="Tahoma"/>
      <family val="2"/>
    </font>
    <font>
      <sz val="10"/>
      <color rgb="FF000000"/>
      <name val="Tahoma"/>
      <family val="2"/>
    </font>
    <font>
      <b/>
      <sz val="10"/>
      <color rgb="FF000000"/>
      <name val="Tahoma"/>
      <family val="2"/>
    </font>
    <font>
      <sz val="8"/>
      <color rgb="FF000000"/>
      <name val="Tahoma"/>
      <family val="2"/>
    </font>
    <font>
      <vertAlign val="superscript"/>
      <sz val="8"/>
      <color rgb="FF000000"/>
      <name val="Tahoma"/>
      <family val="2"/>
    </font>
    <font>
      <sz val="10"/>
      <color theme="8"/>
      <name val="Tahoma"/>
      <family val="2"/>
    </font>
    <font>
      <sz val="11"/>
      <color theme="8"/>
      <name val="Calibri"/>
      <family val="2"/>
      <scheme val="minor"/>
    </font>
    <font>
      <b/>
      <i/>
      <sz val="10"/>
      <color theme="1"/>
      <name val="Tahoma"/>
      <family val="2"/>
    </font>
    <font>
      <b/>
      <sz val="10"/>
      <color theme="1"/>
      <name val="Tahoma"/>
      <family val="2"/>
    </font>
    <font>
      <b/>
      <vertAlign val="superscript"/>
      <sz val="10"/>
      <color theme="1"/>
      <name val="Tahoma"/>
      <family val="2"/>
    </font>
    <font>
      <sz val="9"/>
      <color theme="1"/>
      <name val="Tahoma"/>
      <family val="2"/>
    </font>
    <font>
      <vertAlign val="superscript"/>
      <sz val="9"/>
      <color theme="1"/>
      <name val="Tahoma"/>
      <family val="2"/>
    </font>
    <font>
      <i/>
      <sz val="10"/>
      <color theme="1"/>
      <name val="Tahoma"/>
      <family val="2"/>
    </font>
    <font>
      <sz val="8"/>
      <color theme="1"/>
      <name val="Tahoma"/>
      <family val="2"/>
    </font>
    <font>
      <sz val="11"/>
      <color rgb="FFFF0000"/>
      <name val="Calibri"/>
      <family val="2"/>
      <scheme val="minor"/>
    </font>
    <font>
      <sz val="8"/>
      <color rgb="FF000000"/>
      <name val="Tahoma"/>
      <family val="2"/>
    </font>
    <font>
      <strike/>
      <sz val="10"/>
      <name val="Tahoma"/>
      <family val="2"/>
    </font>
    <font>
      <strike/>
      <vertAlign val="superscript"/>
      <sz val="8"/>
      <name val="Tahoma"/>
      <family val="2"/>
    </font>
  </fonts>
  <fills count="16">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
      <patternFill patternType="solid">
        <fgColor rgb="FFF57F32"/>
        <bgColor indexed="64"/>
      </patternFill>
    </fill>
    <fill>
      <patternFill patternType="solid">
        <fgColor theme="0" tint="-4.9989318521683403E-2"/>
        <bgColor indexed="64"/>
      </patternFill>
    </fill>
    <fill>
      <patternFill patternType="solid">
        <fgColor rgb="FFFFC7CE"/>
      </patternFill>
    </fill>
    <fill>
      <patternFill patternType="solid">
        <fgColor theme="3"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FFFF00"/>
        <bgColor indexed="64"/>
      </patternFill>
    </fill>
    <fill>
      <patternFill patternType="solid">
        <fgColor rgb="FFBEBEBE"/>
      </patternFill>
    </fill>
    <fill>
      <patternFill patternType="solid">
        <fgColor rgb="FF92D050"/>
        <bgColor indexed="64"/>
      </patternFill>
    </fill>
    <fill>
      <patternFill patternType="solid">
        <fgColor theme="9" tint="0.39997558519241921"/>
        <bgColor indexed="64"/>
      </patternFill>
    </fill>
    <fill>
      <patternFill patternType="solid">
        <fgColor theme="0"/>
        <bgColor indexed="64"/>
      </patternFill>
    </fill>
  </fills>
  <borders count="99">
    <border>
      <left/>
      <right/>
      <top/>
      <bottom/>
      <diagonal/>
    </border>
    <border>
      <left style="medium">
        <color indexed="64"/>
      </left>
      <right style="medium">
        <color indexed="64"/>
      </right>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thin">
        <color indexed="64"/>
      </left>
      <right style="medium">
        <color indexed="64"/>
      </right>
      <top style="medium">
        <color indexed="64"/>
      </top>
      <bottom/>
      <diagonal/>
    </border>
    <border>
      <left/>
      <right/>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diagonal/>
    </border>
    <border>
      <left/>
      <right/>
      <top style="thin">
        <color indexed="64"/>
      </top>
      <bottom style="thin">
        <color indexed="64"/>
      </bottom>
      <diagonal/>
    </border>
    <border>
      <left/>
      <right style="medium">
        <color indexed="64"/>
      </right>
      <top/>
      <bottom/>
      <diagonal/>
    </border>
    <border>
      <left style="medium">
        <color indexed="64"/>
      </left>
      <right/>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diagonal/>
    </border>
    <border>
      <left/>
      <right style="thin">
        <color indexed="64"/>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
      <left style="medium">
        <color indexed="64"/>
      </left>
      <right style="thin">
        <color indexed="64"/>
      </right>
      <top/>
      <bottom style="medium">
        <color indexed="64"/>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bottom/>
      <diagonal/>
    </border>
    <border>
      <left style="thin">
        <color indexed="64"/>
      </left>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diagonal/>
    </border>
    <border>
      <left style="medium">
        <color rgb="FF000000"/>
      </left>
      <right/>
      <top/>
      <bottom style="medium">
        <color rgb="FF000000"/>
      </bottom>
      <diagonal/>
    </border>
    <border>
      <left/>
      <right/>
      <top/>
      <bottom style="medium">
        <color rgb="FF000000"/>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thin">
        <color indexed="64"/>
      </top>
      <bottom/>
      <diagonal/>
    </border>
    <border>
      <left/>
      <right style="medium">
        <color indexed="64"/>
      </right>
      <top style="medium">
        <color indexed="64"/>
      </top>
      <bottom style="medium">
        <color indexed="64"/>
      </bottom>
      <diagonal/>
    </border>
    <border>
      <left style="thin">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thin">
        <color indexed="64"/>
      </right>
      <top style="medium">
        <color indexed="64"/>
      </top>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bottom style="thin">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right style="thin">
        <color indexed="64"/>
      </right>
      <top style="thin">
        <color indexed="64"/>
      </top>
      <bottom/>
      <diagonal/>
    </border>
    <border>
      <left style="medium">
        <color indexed="64"/>
      </left>
      <right style="medium">
        <color indexed="64"/>
      </right>
      <top/>
      <bottom style="thin">
        <color indexed="64"/>
      </bottom>
      <diagonal/>
    </border>
    <border>
      <left/>
      <right style="medium">
        <color indexed="64"/>
      </right>
      <top style="thin">
        <color indexed="64"/>
      </top>
      <bottom/>
      <diagonal/>
    </border>
    <border>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BEBEBE"/>
      </bottom>
      <diagonal/>
    </border>
    <border>
      <left style="thin">
        <color rgb="FF000000"/>
      </left>
      <right style="thin">
        <color rgb="FF000000"/>
      </right>
      <top style="thin">
        <color rgb="FFBEBEBE"/>
      </top>
      <bottom style="thin">
        <color rgb="FFBEBEBE"/>
      </bottom>
      <diagonal/>
    </border>
    <border>
      <left style="thin">
        <color rgb="FF000000"/>
      </left>
      <right style="thin">
        <color rgb="FF000000"/>
      </right>
      <top style="thin">
        <color rgb="FF000000"/>
      </top>
      <bottom/>
      <diagonal/>
    </border>
    <border>
      <left style="thin">
        <color rgb="FF000000"/>
      </left>
      <right style="thin">
        <color rgb="FF000000"/>
      </right>
      <top style="thin">
        <color rgb="FFBEBEBE"/>
      </top>
      <bottom/>
      <diagonal/>
    </border>
    <border>
      <left style="thin">
        <color rgb="FF000000"/>
      </left>
      <right style="thin">
        <color rgb="FF000000"/>
      </right>
      <top/>
      <bottom style="thin">
        <color rgb="FFBEBEBE"/>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medium">
        <color rgb="FF000000"/>
      </right>
      <top/>
      <bottom/>
      <diagonal/>
    </border>
    <border>
      <left style="thin">
        <color rgb="FF000000"/>
      </left>
      <right style="medium">
        <color rgb="FF000000"/>
      </right>
      <top/>
      <bottom style="medium">
        <color rgb="FF000000"/>
      </bottom>
      <diagonal/>
    </border>
    <border>
      <left style="thin">
        <color rgb="FF000000"/>
      </left>
      <right/>
      <top/>
      <bottom/>
      <diagonal/>
    </border>
    <border>
      <left style="thin">
        <color rgb="FF000000"/>
      </left>
      <right/>
      <top/>
      <bottom style="medium">
        <color rgb="FF000000"/>
      </bottom>
      <diagonal/>
    </border>
    <border>
      <left style="medium">
        <color rgb="FF000000"/>
      </left>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s>
  <cellStyleXfs count="11">
    <xf numFmtId="0" fontId="0" fillId="0" borderId="0"/>
    <xf numFmtId="0" fontId="2" fillId="0" borderId="0"/>
    <xf numFmtId="0" fontId="1" fillId="0" borderId="0"/>
    <xf numFmtId="0" fontId="3" fillId="0" borderId="0"/>
    <xf numFmtId="9" fontId="1" fillId="0" borderId="0" applyFont="0" applyFill="0" applyBorder="0" applyAlignment="0" applyProtection="0"/>
    <xf numFmtId="0" fontId="3" fillId="0" borderId="0"/>
    <xf numFmtId="0" fontId="11" fillId="0" borderId="0" applyNumberFormat="0" applyFill="0" applyBorder="0" applyAlignment="0" applyProtection="0"/>
    <xf numFmtId="0" fontId="2" fillId="0" borderId="0"/>
    <xf numFmtId="0" fontId="32" fillId="0" borderId="0"/>
    <xf numFmtId="0" fontId="32" fillId="0" borderId="0"/>
    <xf numFmtId="0" fontId="46" fillId="6" borderId="0" applyNumberFormat="0" applyBorder="0" applyAlignment="0" applyProtection="0"/>
  </cellStyleXfs>
  <cellXfs count="773">
    <xf numFmtId="0" fontId="0" fillId="0" borderId="0" xfId="0"/>
    <xf numFmtId="0" fontId="4" fillId="0" borderId="0" xfId="0" applyFont="1"/>
    <xf numFmtId="0" fontId="7" fillId="0" borderId="0" xfId="0" applyFont="1"/>
    <xf numFmtId="0" fontId="5" fillId="0" borderId="0" xfId="0" applyFont="1"/>
    <xf numFmtId="0" fontId="8" fillId="0" borderId="0" xfId="0" applyFont="1"/>
    <xf numFmtId="0" fontId="9" fillId="0" borderId="0" xfId="0" applyFont="1"/>
    <xf numFmtId="0" fontId="13" fillId="0" borderId="0" xfId="0" applyFont="1" applyAlignment="1">
      <alignment horizontal="left" wrapText="1"/>
    </xf>
    <xf numFmtId="0" fontId="14" fillId="0" borderId="0" xfId="0" applyFont="1"/>
    <xf numFmtId="0" fontId="6" fillId="0" borderId="0" xfId="0" applyFont="1" applyAlignment="1">
      <alignment horizontal="left"/>
    </xf>
    <xf numFmtId="2" fontId="6" fillId="0" borderId="0" xfId="0" applyNumberFormat="1" applyFont="1" applyAlignment="1">
      <alignment horizontal="left"/>
    </xf>
    <xf numFmtId="0" fontId="17" fillId="0" borderId="0" xfId="0" applyFont="1"/>
    <xf numFmtId="0" fontId="13" fillId="0" borderId="0" xfId="0" applyFont="1" applyAlignment="1">
      <alignment horizontal="center" vertical="center"/>
    </xf>
    <xf numFmtId="0" fontId="10" fillId="0" borderId="0" xfId="0" applyFont="1"/>
    <xf numFmtId="2" fontId="9" fillId="0" borderId="0" xfId="0" applyNumberFormat="1" applyFont="1" applyAlignment="1">
      <alignment horizontal="center"/>
    </xf>
    <xf numFmtId="0" fontId="16" fillId="0" borderId="9" xfId="0" applyFont="1" applyBorder="1"/>
    <xf numFmtId="0" fontId="16" fillId="0" borderId="31" xfId="0" applyFont="1" applyBorder="1"/>
    <xf numFmtId="0" fontId="14" fillId="0" borderId="18" xfId="0" applyFont="1" applyBorder="1" applyAlignment="1">
      <alignment horizontal="center"/>
    </xf>
    <xf numFmtId="0" fontId="14" fillId="0" borderId="17" xfId="0" applyFont="1" applyBorder="1" applyAlignment="1">
      <alignment horizontal="center"/>
    </xf>
    <xf numFmtId="0" fontId="9" fillId="0" borderId="26" xfId="0" applyFont="1" applyBorder="1" applyAlignment="1">
      <alignment horizontal="center"/>
    </xf>
    <xf numFmtId="167" fontId="9" fillId="0" borderId="9" xfId="0" applyNumberFormat="1" applyFont="1" applyBorder="1" applyAlignment="1">
      <alignment horizontal="center"/>
    </xf>
    <xf numFmtId="167" fontId="9" fillId="0" borderId="18" xfId="0" applyNumberFormat="1" applyFont="1" applyBorder="1" applyAlignment="1">
      <alignment horizontal="center"/>
    </xf>
    <xf numFmtId="167" fontId="9" fillId="0" borderId="28" xfId="0" applyNumberFormat="1" applyFont="1" applyBorder="1" applyAlignment="1">
      <alignment horizontal="center"/>
    </xf>
    <xf numFmtId="0" fontId="14" fillId="0" borderId="28" xfId="0" applyFont="1" applyBorder="1" applyAlignment="1">
      <alignment horizontal="centerContinuous"/>
    </xf>
    <xf numFmtId="0" fontId="14" fillId="0" borderId="41" xfId="0" applyFont="1" applyBorder="1" applyAlignment="1">
      <alignment horizontal="centerContinuous"/>
    </xf>
    <xf numFmtId="0" fontId="9" fillId="0" borderId="18" xfId="0" applyFont="1" applyBorder="1" applyAlignment="1">
      <alignment horizontal="centerContinuous"/>
    </xf>
    <xf numFmtId="0" fontId="9" fillId="0" borderId="0" xfId="0" applyFont="1" applyAlignment="1">
      <alignment horizontal="centerContinuous"/>
    </xf>
    <xf numFmtId="167" fontId="9" fillId="0" borderId="54" xfId="0" applyNumberFormat="1" applyFont="1" applyBorder="1" applyAlignment="1">
      <alignment horizontal="center"/>
    </xf>
    <xf numFmtId="167" fontId="9" fillId="0" borderId="56" xfId="0" applyNumberFormat="1" applyFont="1" applyBorder="1" applyAlignment="1">
      <alignment horizontal="center"/>
    </xf>
    <xf numFmtId="167" fontId="9" fillId="0" borderId="57" xfId="0" applyNumberFormat="1" applyFont="1" applyBorder="1" applyAlignment="1">
      <alignment horizontal="center"/>
    </xf>
    <xf numFmtId="0" fontId="14" fillId="0" borderId="0" xfId="0" applyFont="1" applyAlignment="1">
      <alignment horizontal="center"/>
    </xf>
    <xf numFmtId="167" fontId="9" fillId="0" borderId="26" xfId="0" applyNumberFormat="1" applyFont="1" applyBorder="1" applyAlignment="1">
      <alignment horizontal="center"/>
    </xf>
    <xf numFmtId="167" fontId="9" fillId="0" borderId="0" xfId="0" applyNumberFormat="1" applyFont="1" applyAlignment="1">
      <alignment horizontal="center"/>
    </xf>
    <xf numFmtId="167" fontId="9" fillId="0" borderId="11" xfId="0" applyNumberFormat="1" applyFont="1" applyBorder="1" applyAlignment="1">
      <alignment horizontal="center"/>
    </xf>
    <xf numFmtId="167" fontId="9" fillId="0" borderId="55" xfId="0" applyNumberFormat="1" applyFont="1" applyBorder="1" applyAlignment="1">
      <alignment horizontal="center"/>
    </xf>
    <xf numFmtId="167" fontId="9" fillId="0" borderId="58" xfId="0" applyNumberFormat="1" applyFont="1" applyBorder="1" applyAlignment="1">
      <alignment horizontal="center"/>
    </xf>
    <xf numFmtId="167" fontId="9" fillId="0" borderId="31" xfId="0" applyNumberFormat="1" applyFont="1" applyBorder="1" applyAlignment="1">
      <alignment horizontal="center"/>
    </xf>
    <xf numFmtId="167" fontId="9" fillId="0" borderId="17" xfId="0" applyNumberFormat="1" applyFont="1" applyBorder="1" applyAlignment="1">
      <alignment horizontal="center"/>
    </xf>
    <xf numFmtId="167" fontId="9" fillId="0" borderId="41" xfId="0" applyNumberFormat="1" applyFont="1" applyBorder="1" applyAlignment="1">
      <alignment horizontal="center"/>
    </xf>
    <xf numFmtId="2" fontId="9" fillId="0" borderId="31" xfId="0" applyNumberFormat="1" applyFont="1" applyBorder="1" applyAlignment="1">
      <alignment horizontal="center"/>
    </xf>
    <xf numFmtId="2" fontId="9" fillId="0" borderId="17" xfId="0" applyNumberFormat="1" applyFont="1" applyBorder="1" applyAlignment="1">
      <alignment horizontal="center"/>
    </xf>
    <xf numFmtId="2" fontId="9" fillId="0" borderId="41" xfId="0" applyNumberFormat="1" applyFont="1" applyBorder="1" applyAlignment="1">
      <alignment horizontal="center"/>
    </xf>
    <xf numFmtId="0" fontId="20" fillId="0" borderId="0" xfId="0" applyFont="1"/>
    <xf numFmtId="0" fontId="9" fillId="0" borderId="0" xfId="0" applyFont="1" applyAlignment="1">
      <alignment horizontal="center"/>
    </xf>
    <xf numFmtId="2" fontId="9" fillId="0" borderId="54" xfId="0" applyNumberFormat="1" applyFont="1" applyBorder="1" applyAlignment="1">
      <alignment horizontal="center"/>
    </xf>
    <xf numFmtId="2" fontId="9" fillId="0" borderId="56" xfId="0" applyNumberFormat="1" applyFont="1" applyBorder="1" applyAlignment="1">
      <alignment horizontal="center"/>
    </xf>
    <xf numFmtId="2" fontId="9" fillId="0" borderId="57" xfId="0" applyNumberFormat="1" applyFont="1" applyBorder="1" applyAlignment="1">
      <alignment horizontal="center"/>
    </xf>
    <xf numFmtId="0" fontId="9" fillId="0" borderId="9" xfId="0" applyFont="1" applyBorder="1" applyAlignment="1">
      <alignment horizontal="center"/>
    </xf>
    <xf numFmtId="0" fontId="9" fillId="0" borderId="18" xfId="0" applyFont="1" applyBorder="1" applyAlignment="1">
      <alignment horizontal="center"/>
    </xf>
    <xf numFmtId="2" fontId="9" fillId="0" borderId="26" xfId="0" applyNumberFormat="1" applyFont="1" applyBorder="1" applyAlignment="1">
      <alignment horizontal="center"/>
    </xf>
    <xf numFmtId="2" fontId="9" fillId="0" borderId="11" xfId="0" applyNumberFormat="1" applyFont="1" applyBorder="1" applyAlignment="1">
      <alignment horizontal="center"/>
    </xf>
    <xf numFmtId="2" fontId="9" fillId="0" borderId="55" xfId="0" applyNumberFormat="1" applyFont="1" applyBorder="1" applyAlignment="1">
      <alignment horizontal="center"/>
    </xf>
    <xf numFmtId="2" fontId="9" fillId="0" borderId="58" xfId="0" applyNumberFormat="1" applyFont="1" applyBorder="1" applyAlignment="1">
      <alignment horizontal="center"/>
    </xf>
    <xf numFmtId="0" fontId="9" fillId="0" borderId="17" xfId="0" applyFont="1" applyBorder="1" applyAlignment="1">
      <alignment horizontal="center"/>
    </xf>
    <xf numFmtId="0" fontId="14" fillId="0" borderId="9" xfId="0" applyFont="1" applyBorder="1"/>
    <xf numFmtId="0" fontId="14" fillId="0" borderId="31" xfId="0" applyFont="1" applyBorder="1"/>
    <xf numFmtId="0" fontId="21" fillId="0" borderId="0" xfId="0" applyFont="1" applyAlignment="1">
      <alignment vertical="top"/>
    </xf>
    <xf numFmtId="0" fontId="22" fillId="0" borderId="0" xfId="0" applyFont="1"/>
    <xf numFmtId="0" fontId="23" fillId="0" borderId="0" xfId="0" applyFont="1"/>
    <xf numFmtId="0" fontId="25" fillId="0" borderId="4" xfId="0" applyFont="1" applyBorder="1" applyAlignment="1">
      <alignment horizontal="center"/>
    </xf>
    <xf numFmtId="0" fontId="25" fillId="0" borderId="0" xfId="0" applyFont="1"/>
    <xf numFmtId="0" fontId="26" fillId="0" borderId="0" xfId="0" applyFont="1" applyAlignment="1">
      <alignment horizontal="left"/>
    </xf>
    <xf numFmtId="0" fontId="26" fillId="0" borderId="0" xfId="0" applyFont="1"/>
    <xf numFmtId="0" fontId="28" fillId="0" borderId="0" xfId="0" applyFont="1" applyAlignment="1">
      <alignment wrapText="1"/>
    </xf>
    <xf numFmtId="0" fontId="21" fillId="0" borderId="0" xfId="0" applyFont="1"/>
    <xf numFmtId="0" fontId="27" fillId="0" borderId="0" xfId="0" applyFont="1" applyAlignment="1">
      <alignment horizontal="center"/>
    </xf>
    <xf numFmtId="0" fontId="9" fillId="0" borderId="28" xfId="0" applyFont="1" applyBorder="1" applyAlignment="1">
      <alignment horizontal="center"/>
    </xf>
    <xf numFmtId="0" fontId="9" fillId="0" borderId="11" xfId="0" applyFont="1" applyBorder="1" applyAlignment="1">
      <alignment horizontal="center"/>
    </xf>
    <xf numFmtId="0" fontId="25" fillId="0" borderId="0" xfId="0" applyFont="1" applyAlignment="1">
      <alignment vertical="top" wrapText="1"/>
    </xf>
    <xf numFmtId="0" fontId="26" fillId="0" borderId="0" xfId="0" applyFont="1" applyAlignment="1">
      <alignment horizontal="left" wrapText="1"/>
    </xf>
    <xf numFmtId="0" fontId="29" fillId="0" borderId="0" xfId="0" applyFont="1"/>
    <xf numFmtId="0" fontId="30" fillId="0" borderId="0" xfId="0" applyFont="1"/>
    <xf numFmtId="0" fontId="30" fillId="0" borderId="0" xfId="0" applyFont="1" applyAlignment="1">
      <alignment vertical="top" wrapText="1"/>
    </xf>
    <xf numFmtId="0" fontId="31" fillId="0" borderId="0" xfId="0" applyFont="1" applyAlignment="1">
      <alignment horizontal="center" wrapText="1"/>
    </xf>
    <xf numFmtId="4" fontId="31" fillId="0" borderId="0" xfId="0" applyNumberFormat="1" applyFont="1" applyAlignment="1">
      <alignment horizontal="center" wrapText="1"/>
    </xf>
    <xf numFmtId="0" fontId="30" fillId="0" borderId="0" xfId="0" applyFont="1" applyAlignment="1">
      <alignment horizontal="left"/>
    </xf>
    <xf numFmtId="0" fontId="30" fillId="0" borderId="0" xfId="0" quotePrefix="1" applyFont="1" applyAlignment="1">
      <alignment horizontal="center"/>
    </xf>
    <xf numFmtId="0" fontId="31" fillId="0" borderId="0" xfId="0" applyFont="1"/>
    <xf numFmtId="11" fontId="25" fillId="0" borderId="0" xfId="0" applyNumberFormat="1" applyFont="1"/>
    <xf numFmtId="0" fontId="30" fillId="0" borderId="0" xfId="0" applyFont="1" applyAlignment="1">
      <alignment horizontal="right" wrapText="1"/>
    </xf>
    <xf numFmtId="0" fontId="22" fillId="0" borderId="0" xfId="0" applyFont="1" applyAlignment="1">
      <alignment horizontal="center"/>
    </xf>
    <xf numFmtId="0" fontId="25" fillId="0" borderId="0" xfId="0" applyFont="1" applyAlignment="1">
      <alignment horizontal="left" vertical="top" wrapText="1"/>
    </xf>
    <xf numFmtId="168" fontId="25" fillId="0" borderId="0" xfId="0" applyNumberFormat="1" applyFont="1"/>
    <xf numFmtId="0" fontId="33" fillId="0" borderId="0" xfId="0" applyFont="1" applyAlignment="1">
      <alignment vertical="top"/>
    </xf>
    <xf numFmtId="9" fontId="25" fillId="0" borderId="0" xfId="4" applyFont="1" applyFill="1"/>
    <xf numFmtId="11" fontId="25" fillId="0" borderId="65" xfId="0" applyNumberFormat="1" applyFont="1" applyBorder="1" applyAlignment="1">
      <alignment horizontal="center"/>
    </xf>
    <xf numFmtId="11" fontId="25" fillId="0" borderId="2" xfId="0" applyNumberFormat="1" applyFont="1" applyBorder="1" applyAlignment="1">
      <alignment horizontal="center"/>
    </xf>
    <xf numFmtId="11" fontId="25" fillId="0" borderId="3" xfId="0" applyNumberFormat="1" applyFont="1" applyBorder="1" applyAlignment="1">
      <alignment horizontal="center"/>
    </xf>
    <xf numFmtId="0" fontId="30" fillId="0" borderId="0" xfId="0" applyFont="1" applyAlignment="1">
      <alignment vertical="top"/>
    </xf>
    <xf numFmtId="0" fontId="29" fillId="0" borderId="35" xfId="0" applyFont="1" applyBorder="1" applyAlignment="1">
      <alignment horizontal="center"/>
    </xf>
    <xf numFmtId="11" fontId="29" fillId="0" borderId="8" xfId="0" applyNumberFormat="1" applyFont="1" applyBorder="1" applyAlignment="1">
      <alignment horizontal="center"/>
    </xf>
    <xf numFmtId="0" fontId="29" fillId="0" borderId="7" xfId="0" applyFont="1" applyBorder="1" applyAlignment="1">
      <alignment horizontal="center"/>
    </xf>
    <xf numFmtId="0" fontId="29" fillId="0" borderId="43" xfId="0" applyFont="1" applyBorder="1" applyAlignment="1">
      <alignment horizontal="center"/>
    </xf>
    <xf numFmtId="0" fontId="29" fillId="0" borderId="4" xfId="0" applyFont="1" applyBorder="1" applyAlignment="1">
      <alignment horizontal="center"/>
    </xf>
    <xf numFmtId="11" fontId="29" fillId="0" borderId="4" xfId="0" applyNumberFormat="1" applyFont="1" applyBorder="1" applyAlignment="1">
      <alignment horizontal="center"/>
    </xf>
    <xf numFmtId="0" fontId="29" fillId="0" borderId="2" xfId="0" applyFont="1" applyBorder="1" applyAlignment="1">
      <alignment horizontal="center"/>
    </xf>
    <xf numFmtId="0" fontId="29" fillId="0" borderId="2" xfId="0" applyFont="1" applyBorder="1" applyAlignment="1">
      <alignment horizontal="center" vertical="center"/>
    </xf>
    <xf numFmtId="0" fontId="29" fillId="0" borderId="14" xfId="0" applyFont="1" applyBorder="1" applyAlignment="1">
      <alignment horizontal="center"/>
    </xf>
    <xf numFmtId="0" fontId="30" fillId="0" borderId="0" xfId="0" applyFont="1" applyAlignment="1">
      <alignment horizontal="left" vertical="top" wrapText="1"/>
    </xf>
    <xf numFmtId="11" fontId="25" fillId="0" borderId="0" xfId="0" applyNumberFormat="1" applyFont="1" applyAlignment="1">
      <alignment horizontal="center" vertical="center"/>
    </xf>
    <xf numFmtId="0" fontId="34" fillId="0" borderId="0" xfId="0" applyFont="1"/>
    <xf numFmtId="0" fontId="29" fillId="0" borderId="23" xfId="0" applyFont="1" applyBorder="1" applyAlignment="1">
      <alignment horizontal="left"/>
    </xf>
    <xf numFmtId="0" fontId="29" fillId="0" borderId="50" xfId="0" applyFont="1" applyBorder="1" applyAlignment="1">
      <alignment horizontal="center"/>
    </xf>
    <xf numFmtId="0" fontId="29" fillId="0" borderId="69" xfId="0" applyFont="1" applyBorder="1" applyAlignment="1">
      <alignment horizontal="left"/>
    </xf>
    <xf numFmtId="0" fontId="29" fillId="0" borderId="37" xfId="0" applyFont="1" applyBorder="1" applyAlignment="1">
      <alignment horizontal="center"/>
    </xf>
    <xf numFmtId="0" fontId="29" fillId="0" borderId="6" xfId="0" applyFont="1" applyBorder="1" applyAlignment="1">
      <alignment horizontal="left"/>
    </xf>
    <xf numFmtId="0" fontId="29" fillId="0" borderId="40" xfId="0" applyFont="1" applyBorder="1" applyAlignment="1">
      <alignment horizontal="center"/>
    </xf>
    <xf numFmtId="0" fontId="29" fillId="0" borderId="46" xfId="0" applyFont="1" applyBorder="1" applyAlignment="1">
      <alignment horizontal="left"/>
    </xf>
    <xf numFmtId="0" fontId="29" fillId="0" borderId="46" xfId="0" applyFont="1" applyBorder="1" applyAlignment="1">
      <alignment horizontal="left" vertical="center"/>
    </xf>
    <xf numFmtId="0" fontId="29" fillId="0" borderId="22" xfId="0" applyFont="1" applyBorder="1" applyAlignment="1">
      <alignment horizontal="left"/>
    </xf>
    <xf numFmtId="0" fontId="30" fillId="0" borderId="0" xfId="0" applyFont="1" applyAlignment="1">
      <alignment horizontal="right"/>
    </xf>
    <xf numFmtId="3" fontId="30" fillId="0" borderId="0" xfId="0" applyNumberFormat="1" applyFont="1" applyAlignment="1">
      <alignment horizontal="right" wrapText="1"/>
    </xf>
    <xf numFmtId="0" fontId="30" fillId="0" borderId="0" xfId="0" applyFont="1" applyAlignment="1">
      <alignment horizontal="left" wrapText="1"/>
    </xf>
    <xf numFmtId="0" fontId="30" fillId="0" borderId="0" xfId="0" applyFont="1" applyAlignment="1">
      <alignment horizontal="center" wrapText="1"/>
    </xf>
    <xf numFmtId="0" fontId="31" fillId="0" borderId="0" xfId="0" applyFont="1" applyAlignment="1">
      <alignment horizontal="left"/>
    </xf>
    <xf numFmtId="164" fontId="30" fillId="0" borderId="0" xfId="0" applyNumberFormat="1" applyFont="1" applyAlignment="1">
      <alignment horizontal="left"/>
    </xf>
    <xf numFmtId="164" fontId="31" fillId="0" borderId="0" xfId="0" applyNumberFormat="1" applyFont="1" applyAlignment="1">
      <alignment horizontal="left"/>
    </xf>
    <xf numFmtId="0" fontId="30" fillId="0" borderId="4" xfId="0" applyFont="1" applyBorder="1" applyAlignment="1">
      <alignment horizontal="center"/>
    </xf>
    <xf numFmtId="0" fontId="30" fillId="0" borderId="43" xfId="0" applyFont="1" applyBorder="1" applyAlignment="1">
      <alignment horizontal="center" wrapText="1"/>
    </xf>
    <xf numFmtId="0" fontId="30" fillId="0" borderId="4" xfId="0" applyFont="1" applyBorder="1" applyAlignment="1">
      <alignment horizontal="center" wrapText="1"/>
    </xf>
    <xf numFmtId="0" fontId="30" fillId="0" borderId="5" xfId="0" applyFont="1" applyBorder="1" applyAlignment="1">
      <alignment horizontal="center" wrapText="1"/>
    </xf>
    <xf numFmtId="0" fontId="30" fillId="0" borderId="8" xfId="0" applyFont="1" applyBorder="1" applyAlignment="1">
      <alignment horizontal="center"/>
    </xf>
    <xf numFmtId="2" fontId="30" fillId="0" borderId="45" xfId="0" applyNumberFormat="1" applyFont="1" applyBorder="1" applyAlignment="1">
      <alignment horizontal="center"/>
    </xf>
    <xf numFmtId="2" fontId="30" fillId="0" borderId="43" xfId="0" applyNumberFormat="1" applyFont="1" applyBorder="1" applyAlignment="1">
      <alignment horizontal="center" wrapText="1"/>
    </xf>
    <xf numFmtId="2" fontId="30" fillId="0" borderId="5" xfId="0" applyNumberFormat="1" applyFont="1" applyBorder="1" applyAlignment="1">
      <alignment horizontal="center"/>
    </xf>
    <xf numFmtId="2" fontId="30" fillId="0" borderId="4" xfId="0" applyNumberFormat="1" applyFont="1" applyBorder="1" applyAlignment="1">
      <alignment horizontal="center" wrapText="1"/>
    </xf>
    <xf numFmtId="2" fontId="31" fillId="0" borderId="0" xfId="0" applyNumberFormat="1" applyFont="1" applyAlignment="1">
      <alignment horizontal="center" wrapText="1"/>
    </xf>
    <xf numFmtId="0" fontId="30" fillId="0" borderId="0" xfId="0" applyFont="1" applyAlignment="1">
      <alignment horizontal="center"/>
    </xf>
    <xf numFmtId="0" fontId="37" fillId="0" borderId="0" xfId="0" applyFont="1"/>
    <xf numFmtId="0" fontId="37" fillId="0" borderId="0" xfId="0" applyFont="1" applyAlignment="1">
      <alignment wrapText="1"/>
    </xf>
    <xf numFmtId="0" fontId="31" fillId="0" borderId="0" xfId="0" applyFont="1" applyAlignment="1">
      <alignment horizontal="center"/>
    </xf>
    <xf numFmtId="0" fontId="25" fillId="0" borderId="39" xfId="0" applyFont="1" applyBorder="1" applyAlignment="1">
      <alignment horizontal="left"/>
    </xf>
    <xf numFmtId="0" fontId="25" fillId="0" borderId="40" xfId="0" applyFont="1" applyBorder="1" applyAlignment="1">
      <alignment horizontal="center"/>
    </xf>
    <xf numFmtId="0" fontId="25" fillId="0" borderId="69" xfId="0" applyFont="1" applyBorder="1" applyAlignment="1">
      <alignment horizontal="left"/>
    </xf>
    <xf numFmtId="0" fontId="25" fillId="0" borderId="6" xfId="0" applyFont="1" applyBorder="1" applyAlignment="1">
      <alignment horizontal="left"/>
    </xf>
    <xf numFmtId="0" fontId="25" fillId="0" borderId="43" xfId="0" applyFont="1" applyBorder="1" applyAlignment="1">
      <alignment horizontal="center"/>
    </xf>
    <xf numFmtId="0" fontId="25" fillId="0" borderId="46" xfId="0" applyFont="1" applyBorder="1" applyAlignment="1">
      <alignment horizontal="left"/>
    </xf>
    <xf numFmtId="0" fontId="25" fillId="0" borderId="2" xfId="0" applyFont="1" applyBorder="1" applyAlignment="1">
      <alignment horizontal="center"/>
    </xf>
    <xf numFmtId="0" fontId="25" fillId="0" borderId="46" xfId="0" applyFont="1" applyBorder="1" applyAlignment="1">
      <alignment horizontal="left" vertical="center"/>
    </xf>
    <xf numFmtId="0" fontId="25" fillId="0" borderId="2" xfId="0" applyFont="1" applyBorder="1" applyAlignment="1">
      <alignment horizontal="center" vertical="center"/>
    </xf>
    <xf numFmtId="0" fontId="25" fillId="0" borderId="22" xfId="0" applyFont="1" applyBorder="1" applyAlignment="1">
      <alignment horizontal="left"/>
    </xf>
    <xf numFmtId="0" fontId="25" fillId="0" borderId="14" xfId="0" applyFont="1" applyBorder="1" applyAlignment="1">
      <alignment horizontal="center"/>
    </xf>
    <xf numFmtId="0" fontId="30" fillId="0" borderId="0" xfId="0" applyFont="1" applyAlignment="1">
      <alignment horizontal="left" vertical="top"/>
    </xf>
    <xf numFmtId="0" fontId="25" fillId="0" borderId="0" xfId="0" applyFont="1" applyAlignment="1">
      <alignment horizontal="left" vertical="top"/>
    </xf>
    <xf numFmtId="0" fontId="30" fillId="0" borderId="26" xfId="0" applyFont="1" applyBorder="1" applyAlignment="1">
      <alignment vertical="top"/>
    </xf>
    <xf numFmtId="0" fontId="25" fillId="0" borderId="26" xfId="0" applyFont="1" applyBorder="1" applyAlignment="1">
      <alignment vertical="top"/>
    </xf>
    <xf numFmtId="0" fontId="25" fillId="0" borderId="26" xfId="0" applyFont="1" applyBorder="1" applyAlignment="1">
      <alignment vertical="top" wrapText="1"/>
    </xf>
    <xf numFmtId="0" fontId="22" fillId="0" borderId="72" xfId="0" applyFont="1" applyBorder="1" applyAlignment="1">
      <alignment horizontal="center" wrapText="1"/>
    </xf>
    <xf numFmtId="0" fontId="38" fillId="0" borderId="0" xfId="0" applyFont="1" applyAlignment="1">
      <alignment vertical="top"/>
    </xf>
    <xf numFmtId="0" fontId="22" fillId="0" borderId="22" xfId="0" applyFont="1" applyBorder="1" applyAlignment="1">
      <alignment horizontal="center" wrapText="1"/>
    </xf>
    <xf numFmtId="0" fontId="22" fillId="0" borderId="29" xfId="0" applyFont="1" applyBorder="1" applyAlignment="1">
      <alignment horizontal="center" wrapText="1"/>
    </xf>
    <xf numFmtId="11" fontId="25" fillId="0" borderId="61" xfId="0" applyNumberFormat="1" applyFont="1" applyBorder="1" applyAlignment="1">
      <alignment horizontal="center"/>
    </xf>
    <xf numFmtId="11" fontId="25" fillId="0" borderId="59" xfId="0" applyNumberFormat="1" applyFont="1" applyBorder="1" applyAlignment="1">
      <alignment horizontal="center"/>
    </xf>
    <xf numFmtId="11" fontId="25" fillId="0" borderId="60" xfId="0" applyNumberFormat="1" applyFont="1" applyBorder="1" applyAlignment="1">
      <alignment horizontal="center"/>
    </xf>
    <xf numFmtId="11" fontId="25" fillId="0" borderId="0" xfId="0" applyNumberFormat="1" applyFont="1" applyAlignment="1">
      <alignment horizontal="center"/>
    </xf>
    <xf numFmtId="0" fontId="39" fillId="0" borderId="0" xfId="0" applyFont="1" applyAlignment="1">
      <alignment vertical="top"/>
    </xf>
    <xf numFmtId="0" fontId="38" fillId="0" borderId="0" xfId="0" applyFont="1"/>
    <xf numFmtId="11" fontId="29" fillId="0" borderId="6" xfId="0" applyNumberFormat="1" applyFont="1" applyBorder="1" applyAlignment="1">
      <alignment horizontal="left"/>
    </xf>
    <xf numFmtId="0" fontId="29" fillId="0" borderId="61" xfId="0" applyFont="1" applyBorder="1" applyAlignment="1">
      <alignment wrapText="1"/>
    </xf>
    <xf numFmtId="0" fontId="25" fillId="0" borderId="0" xfId="0" applyFont="1" applyAlignment="1">
      <alignment horizontal="left"/>
    </xf>
    <xf numFmtId="0" fontId="29" fillId="0" borderId="0" xfId="0" applyFont="1" applyAlignment="1">
      <alignment vertical="top"/>
    </xf>
    <xf numFmtId="0" fontId="25" fillId="0" borderId="0" xfId="0" applyFont="1" applyAlignment="1">
      <alignment vertical="top"/>
    </xf>
    <xf numFmtId="0" fontId="39" fillId="0" borderId="0" xfId="0" applyFont="1"/>
    <xf numFmtId="0" fontId="29" fillId="0" borderId="0" xfId="0" applyFont="1" applyAlignment="1">
      <alignment horizontal="center"/>
    </xf>
    <xf numFmtId="0" fontId="29" fillId="0" borderId="0" xfId="0" applyFont="1" applyAlignment="1">
      <alignment horizontal="left"/>
    </xf>
    <xf numFmtId="0" fontId="23" fillId="0" borderId="0" xfId="0" applyFont="1" applyAlignment="1">
      <alignment wrapText="1"/>
    </xf>
    <xf numFmtId="0" fontId="29" fillId="0" borderId="11" xfId="0" applyFont="1" applyBorder="1"/>
    <xf numFmtId="2" fontId="29" fillId="0" borderId="0" xfId="0" applyNumberFormat="1" applyFont="1"/>
    <xf numFmtId="3" fontId="29" fillId="0" borderId="0" xfId="0" applyNumberFormat="1" applyFont="1"/>
    <xf numFmtId="0" fontId="29" fillId="0" borderId="0" xfId="0" applyFont="1" applyAlignment="1">
      <alignment vertical="center" wrapText="1"/>
    </xf>
    <xf numFmtId="0" fontId="29" fillId="0" borderId="0" xfId="0" applyFont="1" applyAlignment="1">
      <alignment vertical="center"/>
    </xf>
    <xf numFmtId="0" fontId="39" fillId="0" borderId="0" xfId="0" applyFont="1" applyAlignment="1">
      <alignment vertical="center" wrapText="1"/>
    </xf>
    <xf numFmtId="0" fontId="30" fillId="0" borderId="53" xfId="0" applyFont="1" applyBorder="1" applyAlignment="1">
      <alignment horizontal="center" wrapText="1"/>
    </xf>
    <xf numFmtId="2" fontId="30" fillId="0" borderId="53" xfId="0" applyNumberFormat="1" applyFont="1" applyBorder="1" applyAlignment="1">
      <alignment horizontal="center" wrapText="1"/>
    </xf>
    <xf numFmtId="2" fontId="30" fillId="0" borderId="0" xfId="0" applyNumberFormat="1" applyFont="1" applyAlignment="1">
      <alignment horizontal="center" wrapText="1"/>
    </xf>
    <xf numFmtId="0" fontId="30" fillId="0" borderId="0" xfId="0" applyFont="1" applyAlignment="1">
      <alignment horizontal="right" vertical="center" wrapText="1"/>
    </xf>
    <xf numFmtId="11" fontId="7" fillId="0" borderId="0" xfId="0" applyNumberFormat="1" applyFont="1"/>
    <xf numFmtId="3" fontId="30" fillId="0" borderId="0" xfId="0" applyNumberFormat="1" applyFont="1" applyAlignment="1">
      <alignment horizontal="right" vertical="center"/>
    </xf>
    <xf numFmtId="0" fontId="30" fillId="0" borderId="0" xfId="0" applyFont="1" applyAlignment="1">
      <alignment vertical="center"/>
    </xf>
    <xf numFmtId="0" fontId="30" fillId="0" borderId="0" xfId="0" applyFont="1" applyAlignment="1">
      <alignment horizontal="center" vertical="center"/>
    </xf>
    <xf numFmtId="0" fontId="30" fillId="0" borderId="0" xfId="0" applyFont="1" applyAlignment="1">
      <alignment horizontal="left" vertical="center" wrapText="1"/>
    </xf>
    <xf numFmtId="166" fontId="30" fillId="0" borderId="0" xfId="0" applyNumberFormat="1" applyFont="1" applyAlignment="1">
      <alignment horizontal="center" vertical="center" wrapText="1"/>
    </xf>
    <xf numFmtId="0" fontId="41" fillId="0" borderId="11" xfId="0" applyFont="1" applyBorder="1"/>
    <xf numFmtId="3" fontId="29" fillId="0" borderId="0" xfId="0" applyNumberFormat="1" applyFont="1" applyAlignment="1">
      <alignment horizontal="center"/>
    </xf>
    <xf numFmtId="2" fontId="30" fillId="0" borderId="0" xfId="0" applyNumberFormat="1" applyFont="1" applyAlignment="1">
      <alignment horizontal="center" vertical="center"/>
    </xf>
    <xf numFmtId="2" fontId="29" fillId="0" borderId="59" xfId="0" applyNumberFormat="1" applyFont="1" applyBorder="1" applyAlignment="1">
      <alignment horizontal="center"/>
    </xf>
    <xf numFmtId="2" fontId="29" fillId="0" borderId="0" xfId="0" applyNumberFormat="1" applyFont="1" applyAlignment="1">
      <alignment horizontal="center"/>
    </xf>
    <xf numFmtId="0" fontId="34" fillId="0" borderId="61" xfId="0" applyFont="1" applyBorder="1" applyAlignment="1">
      <alignment horizontal="center" wrapText="1"/>
    </xf>
    <xf numFmtId="0" fontId="0" fillId="0" borderId="0" xfId="0" applyAlignment="1">
      <alignment horizontal="center"/>
    </xf>
    <xf numFmtId="164" fontId="30" fillId="0" borderId="0" xfId="0" applyNumberFormat="1" applyFont="1" applyAlignment="1">
      <alignment horizontal="center" vertical="center" wrapText="1"/>
    </xf>
    <xf numFmtId="11" fontId="29" fillId="0" borderId="20" xfId="0" applyNumberFormat="1" applyFont="1" applyBorder="1" applyAlignment="1">
      <alignment horizontal="center"/>
    </xf>
    <xf numFmtId="11" fontId="29" fillId="0" borderId="52" xfId="0" applyNumberFormat="1" applyFont="1" applyBorder="1" applyAlignment="1">
      <alignment horizontal="center"/>
    </xf>
    <xf numFmtId="11" fontId="25" fillId="0" borderId="15" xfId="0" applyNumberFormat="1" applyFont="1" applyBorder="1" applyAlignment="1">
      <alignment horizontal="center"/>
    </xf>
    <xf numFmtId="0" fontId="22" fillId="0" borderId="12" xfId="0" applyFont="1" applyBorder="1" applyAlignment="1">
      <alignment horizontal="center" wrapText="1"/>
    </xf>
    <xf numFmtId="11" fontId="25" fillId="0" borderId="81" xfId="0" applyNumberFormat="1" applyFont="1" applyBorder="1" applyAlignment="1">
      <alignment horizontal="center"/>
    </xf>
    <xf numFmtId="0" fontId="41" fillId="0" borderId="0" xfId="8" applyFont="1"/>
    <xf numFmtId="0" fontId="29" fillId="0" borderId="0" xfId="8" applyFont="1"/>
    <xf numFmtId="0" fontId="26" fillId="0" borderId="0" xfId="8" applyFont="1" applyAlignment="1">
      <alignment horizontal="left" vertical="top" wrapText="1"/>
    </xf>
    <xf numFmtId="0" fontId="26" fillId="0" borderId="0" xfId="8" applyFont="1" applyAlignment="1">
      <alignment vertical="top"/>
    </xf>
    <xf numFmtId="0" fontId="26" fillId="0" borderId="0" xfId="8" applyFont="1" applyAlignment="1">
      <alignment vertical="top" wrapText="1"/>
    </xf>
    <xf numFmtId="0" fontId="29" fillId="0" borderId="0" xfId="8" applyFont="1" applyAlignment="1">
      <alignment horizontal="right"/>
    </xf>
    <xf numFmtId="3" fontId="29" fillId="0" borderId="0" xfId="8" applyNumberFormat="1" applyFont="1" applyAlignment="1">
      <alignment horizontal="center"/>
    </xf>
    <xf numFmtId="0" fontId="29" fillId="0" borderId="0" xfId="8" applyFont="1" applyAlignment="1">
      <alignment horizontal="center"/>
    </xf>
    <xf numFmtId="0" fontId="36" fillId="0" borderId="22" xfId="8" applyFont="1" applyBorder="1"/>
    <xf numFmtId="0" fontId="36" fillId="0" borderId="0" xfId="8" applyFont="1"/>
    <xf numFmtId="2" fontId="36" fillId="0" borderId="0" xfId="8" applyNumberFormat="1" applyFont="1" applyAlignment="1">
      <alignment horizontal="center"/>
    </xf>
    <xf numFmtId="0" fontId="34" fillId="0" borderId="28" xfId="8" applyFont="1" applyBorder="1"/>
    <xf numFmtId="0" fontId="34" fillId="0" borderId="11" xfId="8" applyFont="1" applyBorder="1"/>
    <xf numFmtId="0" fontId="26" fillId="0" borderId="0" xfId="8" applyFont="1" applyAlignment="1">
      <alignment horizontal="right"/>
    </xf>
    <xf numFmtId="3" fontId="26" fillId="0" borderId="0" xfId="8" applyNumberFormat="1" applyFont="1" applyAlignment="1">
      <alignment horizontal="center"/>
    </xf>
    <xf numFmtId="0" fontId="26" fillId="0" borderId="0" xfId="8" applyFont="1"/>
    <xf numFmtId="0" fontId="34" fillId="0" borderId="47" xfId="8" applyFont="1" applyBorder="1"/>
    <xf numFmtId="0" fontId="34" fillId="0" borderId="48" xfId="8" applyFont="1" applyBorder="1"/>
    <xf numFmtId="0" fontId="34" fillId="0" borderId="0" xfId="8" applyFont="1"/>
    <xf numFmtId="11" fontId="34" fillId="0" borderId="41" xfId="8" applyNumberFormat="1" applyFont="1" applyBorder="1" applyAlignment="1">
      <alignment horizontal="center"/>
    </xf>
    <xf numFmtId="0" fontId="34" fillId="0" borderId="66" xfId="0" applyFont="1" applyBorder="1" applyAlignment="1">
      <alignment horizontal="center" wrapText="1"/>
    </xf>
    <xf numFmtId="0" fontId="34" fillId="0" borderId="0" xfId="0" applyFont="1" applyAlignment="1">
      <alignment wrapText="1"/>
    </xf>
    <xf numFmtId="0" fontId="29" fillId="0" borderId="19" xfId="0" applyFont="1" applyBorder="1" applyAlignment="1">
      <alignment horizontal="center"/>
    </xf>
    <xf numFmtId="0" fontId="29" fillId="0" borderId="83" xfId="0" applyFont="1" applyBorder="1" applyAlignment="1">
      <alignment horizontal="center"/>
    </xf>
    <xf numFmtId="0" fontId="29" fillId="0" borderId="82" xfId="0" applyFont="1" applyBorder="1" applyAlignment="1">
      <alignment horizontal="center"/>
    </xf>
    <xf numFmtId="0" fontId="29" fillId="0" borderId="3" xfId="0" applyFont="1" applyBorder="1" applyAlignment="1">
      <alignment horizontal="center"/>
    </xf>
    <xf numFmtId="0" fontId="29" fillId="0" borderId="3" xfId="0" applyFont="1" applyBorder="1" applyAlignment="1">
      <alignment horizontal="center" vertical="center"/>
    </xf>
    <xf numFmtId="0" fontId="29" fillId="0" borderId="24" xfId="0" applyFont="1" applyBorder="1" applyAlignment="1">
      <alignment horizontal="center"/>
    </xf>
    <xf numFmtId="0" fontId="29" fillId="0" borderId="60" xfId="0" applyFont="1" applyBorder="1" applyAlignment="1">
      <alignment horizontal="center"/>
    </xf>
    <xf numFmtId="2" fontId="29" fillId="0" borderId="66" xfId="0" applyNumberFormat="1" applyFont="1" applyBorder="1" applyAlignment="1">
      <alignment horizontal="center"/>
    </xf>
    <xf numFmtId="11" fontId="29" fillId="0" borderId="39" xfId="0" applyNumberFormat="1" applyFont="1" applyBorder="1" applyAlignment="1">
      <alignment horizontal="center"/>
    </xf>
    <xf numFmtId="11" fontId="29" fillId="0" borderId="62" xfId="0" applyNumberFormat="1" applyFont="1" applyBorder="1" applyAlignment="1">
      <alignment horizontal="center"/>
    </xf>
    <xf numFmtId="11" fontId="29" fillId="3" borderId="6" xfId="0" applyNumberFormat="1" applyFont="1" applyFill="1" applyBorder="1" applyAlignment="1">
      <alignment horizontal="center"/>
    </xf>
    <xf numFmtId="11" fontId="29" fillId="3" borderId="4" xfId="0" applyNumberFormat="1" applyFont="1" applyFill="1" applyBorder="1" applyAlignment="1">
      <alignment horizontal="center"/>
    </xf>
    <xf numFmtId="11" fontId="29" fillId="3" borderId="62" xfId="0" applyNumberFormat="1" applyFont="1" applyFill="1" applyBorder="1" applyAlignment="1">
      <alignment horizontal="center"/>
    </xf>
    <xf numFmtId="11" fontId="29" fillId="3" borderId="39" xfId="0" applyNumberFormat="1" applyFont="1" applyFill="1" applyBorder="1" applyAlignment="1">
      <alignment horizontal="center"/>
    </xf>
    <xf numFmtId="11" fontId="29" fillId="3" borderId="8" xfId="0" applyNumberFormat="1" applyFont="1" applyFill="1" applyBorder="1" applyAlignment="1">
      <alignment horizontal="center"/>
    </xf>
    <xf numFmtId="0" fontId="40" fillId="0" borderId="0" xfId="0" applyFont="1"/>
    <xf numFmtId="0" fontId="22" fillId="0" borderId="31" xfId="0" applyFont="1" applyBorder="1" applyAlignment="1">
      <alignment horizontal="center" wrapText="1"/>
    </xf>
    <xf numFmtId="2" fontId="29" fillId="0" borderId="0" xfId="0" applyNumberFormat="1" applyFont="1" applyAlignment="1">
      <alignment horizontal="center" vertical="center"/>
    </xf>
    <xf numFmtId="3" fontId="29" fillId="0" borderId="0" xfId="0" applyNumberFormat="1" applyFont="1" applyAlignment="1">
      <alignment horizontal="center" vertical="center"/>
    </xf>
    <xf numFmtId="2" fontId="29" fillId="0" borderId="0" xfId="0" applyNumberFormat="1" applyFont="1" applyAlignment="1">
      <alignment horizontal="left" vertical="center"/>
    </xf>
    <xf numFmtId="0" fontId="34" fillId="0" borderId="59" xfId="0" applyFont="1" applyBorder="1" applyAlignment="1">
      <alignment horizontal="center" wrapText="1"/>
    </xf>
    <xf numFmtId="11" fontId="29" fillId="3" borderId="69" xfId="0" applyNumberFormat="1" applyFont="1" applyFill="1" applyBorder="1" applyAlignment="1">
      <alignment horizontal="center"/>
    </xf>
    <xf numFmtId="11" fontId="29" fillId="0" borderId="25" xfId="0" applyNumberFormat="1" applyFont="1" applyBorder="1" applyAlignment="1">
      <alignment horizontal="center"/>
    </xf>
    <xf numFmtId="0" fontId="25" fillId="0" borderId="82" xfId="0" applyFont="1" applyBorder="1" applyAlignment="1">
      <alignment horizontal="center"/>
    </xf>
    <xf numFmtId="11" fontId="25" fillId="0" borderId="27" xfId="0" applyNumberFormat="1" applyFont="1" applyBorder="1" applyAlignment="1">
      <alignment horizontal="center" vertical="center"/>
    </xf>
    <xf numFmtId="11" fontId="25" fillId="0" borderId="53" xfId="0" applyNumberFormat="1" applyFont="1" applyBorder="1" applyAlignment="1">
      <alignment horizontal="center" vertical="center"/>
    </xf>
    <xf numFmtId="11" fontId="25" fillId="0" borderId="49" xfId="0" applyNumberFormat="1" applyFont="1" applyBorder="1" applyAlignment="1">
      <alignment horizontal="center" vertical="center"/>
    </xf>
    <xf numFmtId="11" fontId="25" fillId="0" borderId="11" xfId="0" applyNumberFormat="1" applyFont="1" applyBorder="1" applyAlignment="1">
      <alignment horizontal="center" vertical="center"/>
    </xf>
    <xf numFmtId="11" fontId="25" fillId="0" borderId="77" xfId="0" applyNumberFormat="1" applyFont="1" applyBorder="1" applyAlignment="1">
      <alignment horizontal="center" vertical="center"/>
    </xf>
    <xf numFmtId="11" fontId="25" fillId="0" borderId="67" xfId="0" applyNumberFormat="1" applyFont="1" applyBorder="1" applyAlignment="1">
      <alignment horizontal="center" vertical="center"/>
    </xf>
    <xf numFmtId="11" fontId="25" fillId="0" borderId="34" xfId="0" applyNumberFormat="1" applyFont="1" applyBorder="1" applyAlignment="1">
      <alignment horizontal="center" vertical="center"/>
    </xf>
    <xf numFmtId="0" fontId="34" fillId="0" borderId="60" xfId="0" applyFont="1" applyBorder="1" applyAlignment="1">
      <alignment horizontal="center" wrapText="1"/>
    </xf>
    <xf numFmtId="11" fontId="29" fillId="0" borderId="19" xfId="0" applyNumberFormat="1" applyFont="1" applyBorder="1" applyAlignment="1">
      <alignment horizontal="center"/>
    </xf>
    <xf numFmtId="11" fontId="29" fillId="3" borderId="7" xfId="0" applyNumberFormat="1" applyFont="1" applyFill="1" applyBorder="1" applyAlignment="1">
      <alignment horizontal="center"/>
    </xf>
    <xf numFmtId="11" fontId="29" fillId="0" borderId="36" xfId="0" applyNumberFormat="1" applyFont="1" applyBorder="1" applyAlignment="1">
      <alignment horizontal="center"/>
    </xf>
    <xf numFmtId="11" fontId="29" fillId="0" borderId="29" xfId="0" applyNumberFormat="1" applyFont="1" applyBorder="1" applyAlignment="1">
      <alignment horizontal="center"/>
    </xf>
    <xf numFmtId="11" fontId="29" fillId="0" borderId="32" xfId="0" applyNumberFormat="1" applyFont="1" applyBorder="1" applyAlignment="1">
      <alignment horizontal="center"/>
    </xf>
    <xf numFmtId="11" fontId="29" fillId="0" borderId="63" xfId="0" applyNumberFormat="1" applyFont="1" applyBorder="1" applyAlignment="1">
      <alignment horizontal="center"/>
    </xf>
    <xf numFmtId="11" fontId="29" fillId="0" borderId="82" xfId="0" applyNumberFormat="1" applyFont="1" applyBorder="1" applyAlignment="1">
      <alignment horizontal="center"/>
    </xf>
    <xf numFmtId="11" fontId="29" fillId="3" borderId="82" xfId="0" applyNumberFormat="1" applyFont="1" applyFill="1" applyBorder="1" applyAlignment="1">
      <alignment horizontal="center"/>
    </xf>
    <xf numFmtId="11" fontId="29" fillId="0" borderId="34" xfId="0" applyNumberFormat="1" applyFont="1" applyBorder="1" applyAlignment="1">
      <alignment horizontal="center"/>
    </xf>
    <xf numFmtId="3" fontId="29" fillId="0" borderId="0" xfId="0" applyNumberFormat="1" applyFont="1" applyAlignment="1">
      <alignment horizontal="left" vertical="center"/>
    </xf>
    <xf numFmtId="3" fontId="29" fillId="0" borderId="0" xfId="0" applyNumberFormat="1" applyFont="1" applyAlignment="1">
      <alignment horizontal="left"/>
    </xf>
    <xf numFmtId="3" fontId="29" fillId="0" borderId="0" xfId="0" applyNumberFormat="1" applyFont="1" applyAlignment="1">
      <alignment horizontal="right"/>
    </xf>
    <xf numFmtId="11" fontId="22" fillId="0" borderId="0" xfId="0" applyNumberFormat="1" applyFont="1"/>
    <xf numFmtId="2" fontId="36" fillId="0" borderId="24" xfId="8" applyNumberFormat="1" applyFont="1" applyBorder="1" applyAlignment="1">
      <alignment horizontal="center"/>
    </xf>
    <xf numFmtId="3" fontId="34" fillId="0" borderId="31" xfId="8" applyNumberFormat="1" applyFont="1" applyBorder="1" applyAlignment="1">
      <alignment horizontal="center"/>
    </xf>
    <xf numFmtId="3" fontId="34" fillId="0" borderId="41" xfId="8" applyNumberFormat="1" applyFont="1" applyBorder="1" applyAlignment="1">
      <alignment horizontal="center"/>
    </xf>
    <xf numFmtId="0" fontId="48" fillId="0" borderId="0" xfId="0" applyFont="1" applyAlignment="1">
      <alignment horizontal="center"/>
    </xf>
    <xf numFmtId="0" fontId="49" fillId="0" borderId="0" xfId="0" applyFont="1" applyAlignment="1">
      <alignment horizontal="center"/>
    </xf>
    <xf numFmtId="0" fontId="50" fillId="7" borderId="43" xfId="0" applyFont="1" applyFill="1" applyBorder="1" applyAlignment="1">
      <alignment horizontal="center"/>
    </xf>
    <xf numFmtId="0" fontId="50" fillId="7" borderId="4" xfId="0" applyFont="1" applyFill="1" applyBorder="1" applyAlignment="1">
      <alignment horizontal="center"/>
    </xf>
    <xf numFmtId="170" fontId="50" fillId="7" borderId="43" xfId="0" applyNumberFormat="1" applyFont="1" applyFill="1" applyBorder="1" applyAlignment="1">
      <alignment horizontal="center"/>
    </xf>
    <xf numFmtId="3" fontId="50" fillId="7" borderId="8" xfId="0" applyNumberFormat="1" applyFont="1" applyFill="1" applyBorder="1" applyAlignment="1">
      <alignment horizontal="center"/>
    </xf>
    <xf numFmtId="170" fontId="53" fillId="0" borderId="53" xfId="0" applyNumberFormat="1" applyFont="1" applyBorder="1" applyAlignment="1">
      <alignment horizontal="center"/>
    </xf>
    <xf numFmtId="170" fontId="53" fillId="0" borderId="0" xfId="0" applyNumberFormat="1" applyFont="1" applyAlignment="1">
      <alignment horizontal="center"/>
    </xf>
    <xf numFmtId="0" fontId="0" fillId="2" borderId="0" xfId="0" applyFill="1" applyAlignment="1">
      <alignment horizontal="center"/>
    </xf>
    <xf numFmtId="11" fontId="7" fillId="3" borderId="0" xfId="0" applyNumberFormat="1" applyFont="1" applyFill="1" applyAlignment="1">
      <alignment horizontal="center"/>
    </xf>
    <xf numFmtId="0" fontId="0" fillId="3" borderId="0" xfId="0" applyFill="1" applyAlignment="1">
      <alignment horizontal="center"/>
    </xf>
    <xf numFmtId="11" fontId="0" fillId="10" borderId="0" xfId="0" applyNumberFormat="1" applyFill="1" applyAlignment="1">
      <alignment horizontal="center"/>
    </xf>
    <xf numFmtId="0" fontId="0" fillId="10" borderId="0" xfId="0" applyFill="1" applyAlignment="1">
      <alignment horizontal="center"/>
    </xf>
    <xf numFmtId="0" fontId="57" fillId="0" borderId="0" xfId="0" applyFont="1" applyAlignment="1">
      <alignment horizontal="center"/>
    </xf>
    <xf numFmtId="0" fontId="57" fillId="0" borderId="0" xfId="0" applyFont="1" applyAlignment="1">
      <alignment horizontal="left"/>
    </xf>
    <xf numFmtId="0" fontId="47" fillId="0" borderId="0" xfId="0" applyFont="1" applyAlignment="1">
      <alignment horizontal="center"/>
    </xf>
    <xf numFmtId="0" fontId="0" fillId="0" borderId="4" xfId="0" applyBorder="1" applyAlignment="1">
      <alignment horizontal="center"/>
    </xf>
    <xf numFmtId="0" fontId="0" fillId="0" borderId="72" xfId="0" applyBorder="1" applyAlignment="1">
      <alignment horizontal="left"/>
    </xf>
    <xf numFmtId="0" fontId="0" fillId="0" borderId="72" xfId="0" applyBorder="1" applyAlignment="1">
      <alignment horizontal="center"/>
    </xf>
    <xf numFmtId="0" fontId="0" fillId="0" borderId="42" xfId="0" applyBorder="1" applyAlignment="1">
      <alignment horizontal="left"/>
    </xf>
    <xf numFmtId="0" fontId="0" fillId="0" borderId="42" xfId="0" applyBorder="1" applyAlignment="1">
      <alignment horizontal="center"/>
    </xf>
    <xf numFmtId="0" fontId="0" fillId="0" borderId="8" xfId="0" applyBorder="1" applyAlignment="1">
      <alignment horizontal="left"/>
    </xf>
    <xf numFmtId="0" fontId="0" fillId="0" borderId="8" xfId="0" applyBorder="1" applyAlignment="1">
      <alignment horizontal="center"/>
    </xf>
    <xf numFmtId="0" fontId="50" fillId="7" borderId="5" xfId="0" applyFont="1" applyFill="1" applyBorder="1" applyAlignment="1">
      <alignment horizontal="center"/>
    </xf>
    <xf numFmtId="0" fontId="7" fillId="0" borderId="0" xfId="0" applyFont="1" applyAlignment="1">
      <alignment wrapText="1"/>
    </xf>
    <xf numFmtId="0" fontId="43" fillId="0" borderId="0" xfId="0" applyFont="1"/>
    <xf numFmtId="0" fontId="43" fillId="0" borderId="0" xfId="0" applyFont="1" applyAlignment="1">
      <alignment horizontal="center"/>
    </xf>
    <xf numFmtId="0" fontId="42" fillId="7" borderId="72" xfId="0" applyFont="1" applyFill="1" applyBorder="1"/>
    <xf numFmtId="0" fontId="42" fillId="7" borderId="72" xfId="0" applyFont="1" applyFill="1" applyBorder="1" applyAlignment="1">
      <alignment horizontal="center"/>
    </xf>
    <xf numFmtId="0" fontId="42" fillId="7" borderId="2" xfId="0" applyFont="1" applyFill="1" applyBorder="1" applyAlignment="1">
      <alignment horizontal="center"/>
    </xf>
    <xf numFmtId="0" fontId="43" fillId="8" borderId="2" xfId="0" applyFont="1" applyFill="1" applyBorder="1" applyAlignment="1">
      <alignment horizontal="center"/>
    </xf>
    <xf numFmtId="0" fontId="50" fillId="9" borderId="15" xfId="0" applyFont="1" applyFill="1" applyBorder="1"/>
    <xf numFmtId="0" fontId="47" fillId="9" borderId="15" xfId="0" applyFont="1" applyFill="1" applyBorder="1" applyAlignment="1">
      <alignment horizontal="center"/>
    </xf>
    <xf numFmtId="0" fontId="47" fillId="9" borderId="78" xfId="0" applyFont="1" applyFill="1" applyBorder="1" applyAlignment="1">
      <alignment horizontal="center"/>
    </xf>
    <xf numFmtId="0" fontId="50" fillId="7" borderId="42" xfId="0" applyFont="1" applyFill="1" applyBorder="1"/>
    <xf numFmtId="0" fontId="50" fillId="7" borderId="42" xfId="0" applyFont="1" applyFill="1" applyBorder="1" applyAlignment="1">
      <alignment horizontal="center"/>
    </xf>
    <xf numFmtId="0" fontId="52" fillId="7" borderId="53" xfId="0" applyFont="1" applyFill="1" applyBorder="1" applyAlignment="1">
      <alignment horizontal="center"/>
    </xf>
    <xf numFmtId="170" fontId="53" fillId="0" borderId="53" xfId="0" quotePrefix="1" applyNumberFormat="1" applyFont="1" applyBorder="1" applyAlignment="1">
      <alignment horizontal="center"/>
    </xf>
    <xf numFmtId="0" fontId="43" fillId="8" borderId="53" xfId="0" applyFont="1" applyFill="1" applyBorder="1" applyAlignment="1">
      <alignment horizontal="center"/>
    </xf>
    <xf numFmtId="0" fontId="50" fillId="9" borderId="0" xfId="0" applyFont="1" applyFill="1"/>
    <xf numFmtId="0" fontId="0" fillId="9" borderId="37" xfId="0" applyFill="1" applyBorder="1" applyAlignment="1">
      <alignment horizontal="center"/>
    </xf>
    <xf numFmtId="0" fontId="0" fillId="9" borderId="45" xfId="0" applyFill="1" applyBorder="1" applyAlignment="1">
      <alignment horizontal="center"/>
    </xf>
    <xf numFmtId="0" fontId="50" fillId="7" borderId="8" xfId="0" applyFont="1" applyFill="1" applyBorder="1"/>
    <xf numFmtId="0" fontId="50" fillId="7" borderId="40" xfId="0" applyFont="1" applyFill="1" applyBorder="1" applyAlignment="1">
      <alignment horizontal="center"/>
    </xf>
    <xf numFmtId="0" fontId="54" fillId="9" borderId="4" xfId="0" applyFont="1" applyFill="1" applyBorder="1" applyAlignment="1">
      <alignment horizontal="center"/>
    </xf>
    <xf numFmtId="0" fontId="54" fillId="9" borderId="4" xfId="0" applyFont="1" applyFill="1" applyBorder="1" applyAlignment="1">
      <alignment horizontal="center" vertical="top"/>
    </xf>
    <xf numFmtId="0" fontId="55" fillId="0" borderId="0" xfId="0" applyFont="1"/>
    <xf numFmtId="0" fontId="56" fillId="0" borderId="0" xfId="0" applyFont="1"/>
    <xf numFmtId="0" fontId="57" fillId="0" borderId="0" xfId="0" applyFont="1"/>
    <xf numFmtId="0" fontId="47" fillId="0" borderId="0" xfId="0" applyFont="1"/>
    <xf numFmtId="0" fontId="58" fillId="0" borderId="0" xfId="0" applyFont="1"/>
    <xf numFmtId="0" fontId="0" fillId="0" borderId="4" xfId="0" applyBorder="1"/>
    <xf numFmtId="0" fontId="7" fillId="0" borderId="0" xfId="10" applyFont="1" applyFill="1" applyAlignment="1"/>
    <xf numFmtId="0" fontId="0" fillId="0" borderId="0" xfId="0" quotePrefix="1"/>
    <xf numFmtId="0" fontId="22" fillId="0" borderId="78" xfId="0" applyFont="1" applyBorder="1" applyAlignment="1">
      <alignment horizontal="center" wrapText="1"/>
    </xf>
    <xf numFmtId="164" fontId="30" fillId="0" borderId="0" xfId="0" applyNumberFormat="1" applyFont="1" applyAlignment="1">
      <alignment horizontal="right" vertical="center" wrapText="1"/>
    </xf>
    <xf numFmtId="0" fontId="25" fillId="0" borderId="9" xfId="0" applyFont="1" applyBorder="1" applyAlignment="1">
      <alignment horizontal="center"/>
    </xf>
    <xf numFmtId="0" fontId="25" fillId="0" borderId="79" xfId="0" applyFont="1" applyBorder="1" applyAlignment="1">
      <alignment horizontal="center"/>
    </xf>
    <xf numFmtId="0" fontId="25" fillId="0" borderId="76" xfId="0" applyFont="1" applyBorder="1" applyAlignment="1">
      <alignment horizontal="center"/>
    </xf>
    <xf numFmtId="0" fontId="25" fillId="0" borderId="20" xfId="0" applyFont="1" applyBorder="1" applyAlignment="1">
      <alignment horizontal="center"/>
    </xf>
    <xf numFmtId="0" fontId="25" fillId="0" borderId="19" xfId="0" applyFont="1" applyBorder="1" applyAlignment="1">
      <alignment horizontal="center"/>
    </xf>
    <xf numFmtId="0" fontId="25" fillId="0" borderId="65" xfId="0" applyFont="1" applyBorder="1" applyAlignment="1">
      <alignment horizontal="center"/>
    </xf>
    <xf numFmtId="0" fontId="25" fillId="0" borderId="15" xfId="0" applyFont="1" applyBorder="1" applyAlignment="1">
      <alignment horizontal="center"/>
    </xf>
    <xf numFmtId="0" fontId="25" fillId="0" borderId="3" xfId="0" applyFont="1" applyBorder="1" applyAlignment="1">
      <alignment horizontal="center"/>
    </xf>
    <xf numFmtId="0" fontId="25" fillId="0" borderId="71" xfId="0" applyFont="1" applyBorder="1" applyAlignment="1">
      <alignment horizontal="center"/>
    </xf>
    <xf numFmtId="0" fontId="25" fillId="0" borderId="73" xfId="0" applyFont="1" applyBorder="1" applyAlignment="1">
      <alignment horizontal="center"/>
    </xf>
    <xf numFmtId="0" fontId="25" fillId="0" borderId="13" xfId="0" applyFont="1" applyBorder="1" applyAlignment="1">
      <alignment horizontal="center"/>
    </xf>
    <xf numFmtId="0" fontId="25" fillId="0" borderId="24" xfId="0" applyFont="1" applyBorder="1" applyAlignment="1">
      <alignment horizontal="center"/>
    </xf>
    <xf numFmtId="11" fontId="25" fillId="0" borderId="46" xfId="0" applyNumberFormat="1" applyFont="1" applyBorder="1" applyAlignment="1">
      <alignment horizontal="center"/>
    </xf>
    <xf numFmtId="11" fontId="25" fillId="0" borderId="24" xfId="0" applyNumberFormat="1" applyFont="1" applyBorder="1" applyAlignment="1">
      <alignment horizontal="center"/>
    </xf>
    <xf numFmtId="11" fontId="25" fillId="0" borderId="22" xfId="0" applyNumberFormat="1" applyFont="1" applyBorder="1" applyAlignment="1">
      <alignment horizontal="center"/>
    </xf>
    <xf numFmtId="11" fontId="25" fillId="0" borderId="64" xfId="0" applyNumberFormat="1" applyFont="1" applyBorder="1" applyAlignment="1">
      <alignment horizontal="center"/>
    </xf>
    <xf numFmtId="11" fontId="25" fillId="0" borderId="19" xfId="0" applyNumberFormat="1" applyFont="1" applyBorder="1" applyAlignment="1">
      <alignment horizontal="center"/>
    </xf>
    <xf numFmtId="11" fontId="25" fillId="0" borderId="6" xfId="0" applyNumberFormat="1" applyFont="1" applyBorder="1" applyAlignment="1">
      <alignment horizontal="center"/>
    </xf>
    <xf numFmtId="11" fontId="25" fillId="0" borderId="7" xfId="0" applyNumberFormat="1" applyFont="1" applyBorder="1" applyAlignment="1">
      <alignment horizontal="center"/>
    </xf>
    <xf numFmtId="11" fontId="25" fillId="0" borderId="27" xfId="0" applyNumberFormat="1" applyFont="1" applyBorder="1" applyAlignment="1">
      <alignment horizontal="center"/>
    </xf>
    <xf numFmtId="11" fontId="25" fillId="0" borderId="82" xfId="0" applyNumberFormat="1" applyFont="1" applyBorder="1" applyAlignment="1">
      <alignment horizontal="center"/>
    </xf>
    <xf numFmtId="11" fontId="25" fillId="0" borderId="5" xfId="0" applyNumberFormat="1" applyFont="1" applyBorder="1" applyAlignment="1">
      <alignment horizontal="center"/>
    </xf>
    <xf numFmtId="2" fontId="7" fillId="0" borderId="0" xfId="0" applyNumberFormat="1" applyFont="1"/>
    <xf numFmtId="0" fontId="7" fillId="0" borderId="0" xfId="0" applyFont="1" applyAlignment="1">
      <alignment horizontal="right"/>
    </xf>
    <xf numFmtId="3" fontId="7" fillId="0" borderId="0" xfId="0" applyNumberFormat="1" applyFont="1"/>
    <xf numFmtId="0" fontId="62" fillId="0" borderId="0" xfId="0" applyFont="1"/>
    <xf numFmtId="0" fontId="63" fillId="0" borderId="0" xfId="0" applyFont="1"/>
    <xf numFmtId="0" fontId="64" fillId="5" borderId="47" xfId="0" applyFont="1" applyFill="1" applyBorder="1" applyAlignment="1">
      <alignment horizontal="center" wrapText="1"/>
    </xf>
    <xf numFmtId="0" fontId="64" fillId="5" borderId="48" xfId="0" applyFont="1" applyFill="1" applyBorder="1" applyAlignment="1">
      <alignment horizontal="center"/>
    </xf>
    <xf numFmtId="0" fontId="64" fillId="5" borderId="48" xfId="0" applyFont="1" applyFill="1" applyBorder="1" applyAlignment="1">
      <alignment horizontal="center" wrapText="1"/>
    </xf>
    <xf numFmtId="0" fontId="64" fillId="5" borderId="66" xfId="0" applyFont="1" applyFill="1" applyBorder="1" applyAlignment="1">
      <alignment horizontal="center" wrapText="1"/>
    </xf>
    <xf numFmtId="0" fontId="62" fillId="0" borderId="64" xfId="0" applyFont="1" applyBorder="1" applyAlignment="1">
      <alignment horizontal="center"/>
    </xf>
    <xf numFmtId="0" fontId="62" fillId="0" borderId="9" xfId="0" applyFont="1" applyBorder="1" applyAlignment="1">
      <alignment horizontal="left"/>
    </xf>
    <xf numFmtId="0" fontId="62" fillId="0" borderId="70" xfId="0" applyFont="1" applyBorder="1" applyAlignment="1">
      <alignment horizontal="center"/>
    </xf>
    <xf numFmtId="10" fontId="62" fillId="0" borderId="70" xfId="4" applyNumberFormat="1" applyFont="1" applyFill="1" applyBorder="1" applyAlignment="1">
      <alignment horizontal="center"/>
    </xf>
    <xf numFmtId="0" fontId="62" fillId="0" borderId="31" xfId="0" applyFont="1" applyBorder="1" applyAlignment="1">
      <alignment horizontal="center"/>
    </xf>
    <xf numFmtId="0" fontId="62" fillId="0" borderId="31" xfId="0" applyFont="1" applyBorder="1" applyAlignment="1">
      <alignment vertical="center"/>
    </xf>
    <xf numFmtId="0" fontId="62" fillId="0" borderId="51" xfId="0" applyFont="1" applyBorder="1" applyAlignment="1">
      <alignment horizontal="center"/>
    </xf>
    <xf numFmtId="0" fontId="62" fillId="0" borderId="18" xfId="0" applyFont="1" applyBorder="1"/>
    <xf numFmtId="0" fontId="62" fillId="0" borderId="27" xfId="0" applyFont="1" applyBorder="1" applyAlignment="1">
      <alignment horizontal="center"/>
    </xf>
    <xf numFmtId="10" fontId="62" fillId="0" borderId="27" xfId="4" applyNumberFormat="1" applyFont="1" applyFill="1" applyBorder="1" applyAlignment="1">
      <alignment horizontal="center"/>
    </xf>
    <xf numFmtId="0" fontId="62" fillId="0" borderId="49" xfId="0" applyFont="1" applyBorder="1" applyAlignment="1">
      <alignment horizontal="center"/>
    </xf>
    <xf numFmtId="0" fontId="62" fillId="0" borderId="17" xfId="0" applyFont="1" applyBorder="1" applyAlignment="1">
      <alignment vertical="center"/>
    </xf>
    <xf numFmtId="0" fontId="62" fillId="0" borderId="17" xfId="0" applyFont="1" applyBorder="1" applyAlignment="1">
      <alignment horizontal="center"/>
    </xf>
    <xf numFmtId="11" fontId="62" fillId="0" borderId="49" xfId="0" applyNumberFormat="1" applyFont="1" applyBorder="1" applyAlignment="1">
      <alignment horizontal="center"/>
    </xf>
    <xf numFmtId="11" fontId="62" fillId="0" borderId="17" xfId="0" applyNumberFormat="1" applyFont="1" applyBorder="1" applyAlignment="1">
      <alignment horizontal="center"/>
    </xf>
    <xf numFmtId="0" fontId="62" fillId="0" borderId="18" xfId="0" applyFont="1" applyBorder="1" applyAlignment="1">
      <alignment horizontal="left"/>
    </xf>
    <xf numFmtId="2" fontId="62" fillId="0" borderId="17" xfId="0" applyNumberFormat="1" applyFont="1" applyBorder="1" applyAlignment="1">
      <alignment horizontal="center"/>
    </xf>
    <xf numFmtId="2" fontId="62" fillId="0" borderId="49" xfId="0" applyNumberFormat="1" applyFont="1" applyBorder="1" applyAlignment="1">
      <alignment horizontal="center"/>
    </xf>
    <xf numFmtId="0" fontId="62" fillId="0" borderId="51" xfId="0" applyFont="1" applyBorder="1" applyAlignment="1">
      <alignment horizontal="center" vertical="center"/>
    </xf>
    <xf numFmtId="0" fontId="62" fillId="0" borderId="18" xfId="0" applyFont="1" applyBorder="1" applyAlignment="1">
      <alignment wrapText="1"/>
    </xf>
    <xf numFmtId="2" fontId="62" fillId="0" borderId="49" xfId="0" applyNumberFormat="1" applyFont="1" applyBorder="1" applyAlignment="1">
      <alignment horizontal="center" vertical="center"/>
    </xf>
    <xf numFmtId="0" fontId="62" fillId="0" borderId="36" xfId="0" applyFont="1" applyBorder="1" applyAlignment="1">
      <alignment horizontal="center"/>
    </xf>
    <xf numFmtId="0" fontId="62" fillId="0" borderId="28" xfId="0" applyFont="1" applyBorder="1"/>
    <xf numFmtId="0" fontId="62" fillId="0" borderId="77" xfId="0" applyFont="1" applyBorder="1" applyAlignment="1">
      <alignment horizontal="center"/>
    </xf>
    <xf numFmtId="10" fontId="62" fillId="0" borderId="77" xfId="4" applyNumberFormat="1" applyFont="1" applyFill="1" applyBorder="1" applyAlignment="1">
      <alignment horizontal="center"/>
    </xf>
    <xf numFmtId="11" fontId="62" fillId="0" borderId="34" xfId="0" applyNumberFormat="1" applyFont="1" applyBorder="1" applyAlignment="1">
      <alignment horizontal="center"/>
    </xf>
    <xf numFmtId="0" fontId="62" fillId="0" borderId="41" xfId="0" applyFont="1" applyBorder="1" applyAlignment="1">
      <alignment vertical="center"/>
    </xf>
    <xf numFmtId="0" fontId="7" fillId="0" borderId="0" xfId="0" applyFont="1" applyAlignment="1">
      <alignment horizontal="center"/>
    </xf>
    <xf numFmtId="0" fontId="62" fillId="0" borderId="0" xfId="0" applyFont="1" applyAlignment="1">
      <alignment horizontal="center"/>
    </xf>
    <xf numFmtId="10" fontId="62" fillId="0" borderId="0" xfId="4" applyNumberFormat="1" applyFont="1" applyFill="1" applyBorder="1" applyAlignment="1">
      <alignment horizontal="center"/>
    </xf>
    <xf numFmtId="0" fontId="62" fillId="0" borderId="28" xfId="0" applyFont="1" applyBorder="1" applyAlignment="1">
      <alignment horizontal="center"/>
    </xf>
    <xf numFmtId="11" fontId="62" fillId="0" borderId="41" xfId="0" applyNumberFormat="1" applyFont="1" applyBorder="1" applyAlignment="1">
      <alignment horizontal="center"/>
    </xf>
    <xf numFmtId="1" fontId="0" fillId="0" borderId="0" xfId="0" applyNumberFormat="1"/>
    <xf numFmtId="1" fontId="25" fillId="0" borderId="82" xfId="0" applyNumberFormat="1" applyFont="1" applyBorder="1" applyAlignment="1">
      <alignment horizontal="center"/>
    </xf>
    <xf numFmtId="0" fontId="65" fillId="0" borderId="0" xfId="0" applyFont="1" applyAlignment="1">
      <alignment horizontal="center" vertical="top"/>
    </xf>
    <xf numFmtId="0" fontId="0" fillId="0" borderId="0" xfId="0" applyAlignment="1">
      <alignment horizontal="left" vertical="top"/>
    </xf>
    <xf numFmtId="0" fontId="0" fillId="0" borderId="0" xfId="0" applyAlignment="1">
      <alignment horizontal="center" vertical="top"/>
    </xf>
    <xf numFmtId="0" fontId="65" fillId="12" borderId="84" xfId="0" applyFont="1" applyFill="1" applyBorder="1" applyAlignment="1">
      <alignment horizontal="left" vertical="top" wrapText="1"/>
    </xf>
    <xf numFmtId="0" fontId="65" fillId="12" borderId="85" xfId="0" applyFont="1" applyFill="1" applyBorder="1" applyAlignment="1">
      <alignment horizontal="left" vertical="top" wrapText="1"/>
    </xf>
    <xf numFmtId="0" fontId="65" fillId="12" borderId="86" xfId="0" applyFont="1" applyFill="1" applyBorder="1" applyAlignment="1">
      <alignment horizontal="left" vertical="top" wrapText="1"/>
    </xf>
    <xf numFmtId="0" fontId="0" fillId="12" borderId="87" xfId="0" applyFill="1" applyBorder="1" applyAlignment="1">
      <alignment horizontal="left" vertical="top" wrapText="1"/>
    </xf>
    <xf numFmtId="0" fontId="0" fillId="12" borderId="88" xfId="0" applyFill="1" applyBorder="1" applyAlignment="1">
      <alignment horizontal="left" vertical="top" wrapText="1"/>
    </xf>
    <xf numFmtId="0" fontId="65" fillId="12" borderId="89" xfId="0" applyFont="1" applyFill="1" applyBorder="1" applyAlignment="1">
      <alignment horizontal="left" vertical="top" wrapText="1"/>
    </xf>
    <xf numFmtId="171" fontId="66" fillId="12" borderId="90" xfId="0" applyNumberFormat="1" applyFont="1" applyFill="1" applyBorder="1" applyAlignment="1">
      <alignment horizontal="left" vertical="top" wrapText="1"/>
    </xf>
    <xf numFmtId="171" fontId="66" fillId="12" borderId="89" xfId="0" applyNumberFormat="1" applyFont="1" applyFill="1" applyBorder="1" applyAlignment="1">
      <alignment horizontal="left" vertical="top" wrapText="1"/>
    </xf>
    <xf numFmtId="0" fontId="65" fillId="12" borderId="89" xfId="0" applyFont="1" applyFill="1" applyBorder="1" applyAlignment="1">
      <alignment horizontal="center" vertical="top" wrapText="1"/>
    </xf>
    <xf numFmtId="11" fontId="0" fillId="0" borderId="0" xfId="0" applyNumberFormat="1" applyAlignment="1">
      <alignment horizontal="left" vertical="top"/>
    </xf>
    <xf numFmtId="0" fontId="65" fillId="0" borderId="88" xfId="0" applyFont="1" applyBorder="1" applyAlignment="1">
      <alignment horizontal="left" vertical="top" wrapText="1"/>
    </xf>
    <xf numFmtId="0" fontId="0" fillId="0" borderId="87" xfId="0" applyBorder="1" applyAlignment="1">
      <alignment horizontal="left" vertical="top" wrapText="1"/>
    </xf>
    <xf numFmtId="0" fontId="0" fillId="0" borderId="88" xfId="0" applyBorder="1" applyAlignment="1">
      <alignment horizontal="left" vertical="top" wrapText="1"/>
    </xf>
    <xf numFmtId="0" fontId="67" fillId="0" borderId="91" xfId="0" applyFont="1" applyBorder="1" applyAlignment="1">
      <alignment horizontal="left" vertical="top" wrapText="1"/>
    </xf>
    <xf numFmtId="172" fontId="68" fillId="0" borderId="91" xfId="0" applyNumberFormat="1" applyFont="1" applyBorder="1" applyAlignment="1">
      <alignment horizontal="center" vertical="top" wrapText="1"/>
    </xf>
    <xf numFmtId="11" fontId="69" fillId="13" borderId="0" xfId="0" applyNumberFormat="1" applyFont="1" applyFill="1" applyAlignment="1">
      <alignment horizontal="left" vertical="top"/>
    </xf>
    <xf numFmtId="0" fontId="67" fillId="0" borderId="90" xfId="0" applyFont="1" applyBorder="1" applyAlignment="1">
      <alignment horizontal="left" vertical="top" wrapText="1"/>
    </xf>
    <xf numFmtId="172" fontId="68" fillId="0" borderId="90" xfId="0" applyNumberFormat="1" applyFont="1" applyBorder="1" applyAlignment="1">
      <alignment horizontal="center" vertical="top" wrapText="1"/>
    </xf>
    <xf numFmtId="0" fontId="65" fillId="0" borderId="87" xfId="0" applyFont="1" applyBorder="1" applyAlignment="1">
      <alignment horizontal="left" vertical="top" wrapText="1"/>
    </xf>
    <xf numFmtId="11" fontId="69" fillId="0" borderId="0" xfId="0" applyNumberFormat="1" applyFont="1" applyAlignment="1">
      <alignment horizontal="left" vertical="top"/>
    </xf>
    <xf numFmtId="11" fontId="70" fillId="11" borderId="91" xfId="0" applyNumberFormat="1" applyFont="1" applyFill="1" applyBorder="1" applyAlignment="1">
      <alignment horizontal="left" vertical="top" wrapText="1"/>
    </xf>
    <xf numFmtId="11" fontId="67" fillId="0" borderId="91" xfId="0" applyNumberFormat="1" applyFont="1" applyBorder="1" applyAlignment="1">
      <alignment horizontal="left" vertical="top" wrapText="1"/>
    </xf>
    <xf numFmtId="0" fontId="71" fillId="0" borderId="91" xfId="0" applyFont="1" applyBorder="1" applyAlignment="1">
      <alignment horizontal="left" vertical="top" wrapText="1"/>
    </xf>
    <xf numFmtId="0" fontId="71" fillId="0" borderId="90" xfId="0" applyFont="1" applyBorder="1" applyAlignment="1">
      <alignment horizontal="left" vertical="top" wrapText="1"/>
    </xf>
    <xf numFmtId="173" fontId="68" fillId="0" borderId="91" xfId="0" applyNumberFormat="1" applyFont="1" applyBorder="1" applyAlignment="1">
      <alignment horizontal="left" vertical="top" wrapText="1"/>
    </xf>
    <xf numFmtId="174" fontId="68" fillId="0" borderId="91" xfId="0" applyNumberFormat="1" applyFont="1" applyBorder="1" applyAlignment="1">
      <alignment horizontal="center" vertical="top" wrapText="1"/>
    </xf>
    <xf numFmtId="174" fontId="68" fillId="0" borderId="91" xfId="0" applyNumberFormat="1" applyFont="1" applyBorder="1" applyAlignment="1">
      <alignment horizontal="left" vertical="top" wrapText="1"/>
    </xf>
    <xf numFmtId="175" fontId="73" fillId="0" borderId="91" xfId="0" applyNumberFormat="1" applyFont="1" applyBorder="1" applyAlignment="1">
      <alignment horizontal="left" vertical="top" wrapText="1"/>
    </xf>
    <xf numFmtId="176" fontId="73" fillId="0" borderId="91" xfId="0" applyNumberFormat="1" applyFont="1" applyBorder="1" applyAlignment="1">
      <alignment horizontal="center" vertical="top" wrapText="1"/>
    </xf>
    <xf numFmtId="176" fontId="73" fillId="0" borderId="90" xfId="0" applyNumberFormat="1" applyFont="1" applyBorder="1" applyAlignment="1">
      <alignment horizontal="center" vertical="top" wrapText="1"/>
    </xf>
    <xf numFmtId="174" fontId="68" fillId="0" borderId="90" xfId="0" applyNumberFormat="1" applyFont="1" applyBorder="1" applyAlignment="1">
      <alignment horizontal="left" vertical="top" wrapText="1"/>
    </xf>
    <xf numFmtId="0" fontId="74" fillId="11" borderId="0" xfId="0" applyFont="1" applyFill="1" applyAlignment="1">
      <alignment horizontal="left" vertical="top" wrapText="1"/>
    </xf>
    <xf numFmtId="0" fontId="67" fillId="0" borderId="0" xfId="0" applyFont="1" applyAlignment="1">
      <alignment horizontal="left" vertical="top" wrapText="1"/>
    </xf>
    <xf numFmtId="0" fontId="75" fillId="0" borderId="0" xfId="0" applyFont="1" applyAlignment="1">
      <alignment horizontal="left" vertical="top"/>
    </xf>
    <xf numFmtId="11" fontId="74" fillId="0" borderId="91" xfId="0" applyNumberFormat="1" applyFont="1" applyBorder="1" applyAlignment="1">
      <alignment horizontal="left" vertical="top" wrapText="1"/>
    </xf>
    <xf numFmtId="0" fontId="67" fillId="11" borderId="0" xfId="0" applyFont="1" applyFill="1" applyAlignment="1">
      <alignment horizontal="left" vertical="top" wrapText="1"/>
    </xf>
    <xf numFmtId="11" fontId="67" fillId="0" borderId="90" xfId="0" applyNumberFormat="1" applyFont="1" applyBorder="1" applyAlignment="1">
      <alignment horizontal="left" vertical="top" wrapText="1"/>
    </xf>
    <xf numFmtId="11" fontId="74" fillId="0" borderId="90" xfId="0" applyNumberFormat="1" applyFont="1" applyBorder="1" applyAlignment="1">
      <alignment horizontal="left" vertical="top" wrapText="1"/>
    </xf>
    <xf numFmtId="177" fontId="73" fillId="0" borderId="91" xfId="0" applyNumberFormat="1" applyFont="1" applyBorder="1" applyAlignment="1">
      <alignment horizontal="center" vertical="top" wrapText="1"/>
    </xf>
    <xf numFmtId="0" fontId="29" fillId="0" borderId="64" xfId="0" applyFont="1" applyBorder="1" applyAlignment="1">
      <alignment horizontal="left"/>
    </xf>
    <xf numFmtId="2" fontId="67" fillId="0" borderId="91" xfId="0" applyNumberFormat="1" applyFont="1" applyBorder="1" applyAlignment="1">
      <alignment horizontal="left" vertical="top" wrapText="1"/>
    </xf>
    <xf numFmtId="11" fontId="76" fillId="0" borderId="0" xfId="0" applyNumberFormat="1" applyFont="1" applyAlignment="1">
      <alignment horizontal="left" vertical="top"/>
    </xf>
    <xf numFmtId="11" fontId="76" fillId="14" borderId="0" xfId="0" applyNumberFormat="1" applyFont="1" applyFill="1" applyAlignment="1">
      <alignment horizontal="left" vertical="top"/>
    </xf>
    <xf numFmtId="0" fontId="62" fillId="11" borderId="17" xfId="0" applyFont="1" applyFill="1" applyBorder="1" applyAlignment="1">
      <alignment horizontal="center"/>
    </xf>
    <xf numFmtId="0" fontId="77" fillId="0" borderId="0" xfId="0" applyFont="1"/>
    <xf numFmtId="0" fontId="76" fillId="0" borderId="0" xfId="0" applyFont="1"/>
    <xf numFmtId="0" fontId="15" fillId="0" borderId="0" xfId="0" applyFont="1"/>
    <xf numFmtId="0" fontId="25" fillId="0" borderId="56" xfId="0" applyFont="1" applyBorder="1"/>
    <xf numFmtId="0" fontId="34" fillId="0" borderId="56" xfId="0" applyFont="1" applyBorder="1" applyAlignment="1">
      <alignment horizontal="center"/>
    </xf>
    <xf numFmtId="11" fontId="29" fillId="0" borderId="21" xfId="9" applyNumberFormat="1" applyFont="1" applyBorder="1" applyAlignment="1">
      <alignment horizontal="center" vertical="center"/>
    </xf>
    <xf numFmtId="11" fontId="29" fillId="0" borderId="16" xfId="9" applyNumberFormat="1" applyFont="1" applyBorder="1" applyAlignment="1">
      <alignment horizontal="center" vertical="center"/>
    </xf>
    <xf numFmtId="11" fontId="29" fillId="0" borderId="37" xfId="9" applyNumberFormat="1" applyFont="1" applyBorder="1" applyAlignment="1">
      <alignment horizontal="center" vertical="center"/>
    </xf>
    <xf numFmtId="11" fontId="29" fillId="0" borderId="43" xfId="9" applyNumberFormat="1" applyFont="1" applyBorder="1" applyAlignment="1">
      <alignment horizontal="center" vertical="center"/>
    </xf>
    <xf numFmtId="11" fontId="29" fillId="0" borderId="14" xfId="9" applyNumberFormat="1" applyFont="1" applyBorder="1" applyAlignment="1">
      <alignment horizontal="center" vertical="center"/>
    </xf>
    <xf numFmtId="0" fontId="79" fillId="0" borderId="81" xfId="0" applyFont="1" applyBorder="1" applyAlignment="1">
      <alignment horizontal="center" wrapText="1"/>
    </xf>
    <xf numFmtId="2" fontId="78" fillId="0" borderId="59" xfId="0" applyNumberFormat="1" applyFont="1" applyBorder="1" applyAlignment="1">
      <alignment horizontal="center"/>
    </xf>
    <xf numFmtId="0" fontId="83" fillId="0" borderId="0" xfId="0" applyFont="1"/>
    <xf numFmtId="0" fontId="82" fillId="0" borderId="0" xfId="8" applyFont="1"/>
    <xf numFmtId="0" fontId="32" fillId="0" borderId="0" xfId="8"/>
    <xf numFmtId="0" fontId="84" fillId="0" borderId="0" xfId="8" applyFont="1"/>
    <xf numFmtId="0" fontId="85" fillId="0" borderId="37" xfId="8" applyFont="1" applyBorder="1" applyAlignment="1">
      <alignment horizontal="center" wrapText="1"/>
    </xf>
    <xf numFmtId="0" fontId="85" fillId="0" borderId="8" xfId="8" applyFont="1" applyBorder="1" applyAlignment="1">
      <alignment horizontal="center" wrapText="1"/>
    </xf>
    <xf numFmtId="0" fontId="85" fillId="0" borderId="0" xfId="8" applyFont="1"/>
    <xf numFmtId="0" fontId="32" fillId="0" borderId="65" xfId="8" applyBorder="1" applyAlignment="1">
      <alignment horizontal="center"/>
    </xf>
    <xf numFmtId="0" fontId="32" fillId="0" borderId="72" xfId="8" applyBorder="1" applyAlignment="1">
      <alignment horizontal="center"/>
    </xf>
    <xf numFmtId="169" fontId="32" fillId="0" borderId="15" xfId="8" applyNumberFormat="1" applyBorder="1" applyAlignment="1">
      <alignment horizontal="center"/>
    </xf>
    <xf numFmtId="11" fontId="32" fillId="0" borderId="42" xfId="8" applyNumberFormat="1" applyBorder="1" applyAlignment="1">
      <alignment horizontal="center"/>
    </xf>
    <xf numFmtId="169" fontId="32" fillId="0" borderId="80" xfId="8" applyNumberFormat="1" applyBorder="1" applyAlignment="1">
      <alignment horizontal="center"/>
    </xf>
    <xf numFmtId="0" fontId="32" fillId="0" borderId="18" xfId="8" applyBorder="1" applyAlignment="1">
      <alignment horizontal="center"/>
    </xf>
    <xf numFmtId="0" fontId="32" fillId="0" borderId="42" xfId="8" applyBorder="1" applyAlignment="1">
      <alignment horizontal="center"/>
    </xf>
    <xf numFmtId="169" fontId="32" fillId="0" borderId="0" xfId="8" applyNumberFormat="1" applyAlignment="1">
      <alignment horizontal="center"/>
    </xf>
    <xf numFmtId="169" fontId="32" fillId="0" borderId="17" xfId="8" applyNumberFormat="1" applyBorder="1" applyAlignment="1">
      <alignment horizontal="center"/>
    </xf>
    <xf numFmtId="0" fontId="87" fillId="0" borderId="0" xfId="8" applyFont="1" applyAlignment="1">
      <alignment vertical="top" wrapText="1"/>
    </xf>
    <xf numFmtId="0" fontId="87" fillId="0" borderId="0" xfId="8" applyFont="1" applyAlignment="1">
      <alignment vertical="top"/>
    </xf>
    <xf numFmtId="0" fontId="32" fillId="0" borderId="0" xfId="8" applyAlignment="1">
      <alignment horizontal="right"/>
    </xf>
    <xf numFmtId="3" fontId="32" fillId="0" borderId="0" xfId="8" applyNumberFormat="1" applyAlignment="1">
      <alignment horizontal="center"/>
    </xf>
    <xf numFmtId="0" fontId="89" fillId="0" borderId="6" xfId="8" applyFont="1" applyBorder="1" applyAlignment="1">
      <alignment horizontal="left"/>
    </xf>
    <xf numFmtId="3" fontId="89" fillId="0" borderId="7" xfId="8" applyNumberFormat="1" applyFont="1" applyBorder="1" applyAlignment="1">
      <alignment horizontal="center"/>
    </xf>
    <xf numFmtId="3" fontId="85" fillId="0" borderId="31" xfId="8" applyNumberFormat="1" applyFont="1" applyBorder="1" applyAlignment="1">
      <alignment horizontal="center"/>
    </xf>
    <xf numFmtId="0" fontId="32" fillId="0" borderId="51" xfId="8" applyBorder="1" applyAlignment="1">
      <alignment horizontal="left"/>
    </xf>
    <xf numFmtId="3" fontId="32" fillId="0" borderId="49" xfId="8" applyNumberFormat="1" applyBorder="1" applyAlignment="1">
      <alignment horizontal="center"/>
    </xf>
    <xf numFmtId="3" fontId="85" fillId="0" borderId="41" xfId="8" applyNumberFormat="1" applyFont="1" applyBorder="1" applyAlignment="1">
      <alignment horizontal="center"/>
    </xf>
    <xf numFmtId="0" fontId="85" fillId="0" borderId="9" xfId="8" applyFont="1" applyBorder="1"/>
    <xf numFmtId="0" fontId="85" fillId="0" borderId="26" xfId="8" applyFont="1" applyBorder="1"/>
    <xf numFmtId="2" fontId="85" fillId="0" borderId="31" xfId="8" applyNumberFormat="1" applyFont="1" applyBorder="1" applyAlignment="1">
      <alignment horizontal="center"/>
    </xf>
    <xf numFmtId="0" fontId="32" fillId="0" borderId="51" xfId="8" applyBorder="1"/>
    <xf numFmtId="0" fontId="85" fillId="0" borderId="28" xfId="8" applyFont="1" applyBorder="1"/>
    <xf numFmtId="0" fontId="85" fillId="0" borderId="11" xfId="8" applyFont="1" applyBorder="1"/>
    <xf numFmtId="2" fontId="85" fillId="0" borderId="41" xfId="8" applyNumberFormat="1" applyFont="1" applyBorder="1" applyAlignment="1">
      <alignment horizontal="center"/>
    </xf>
    <xf numFmtId="2" fontId="85" fillId="0" borderId="0" xfId="8" applyNumberFormat="1" applyFont="1" applyAlignment="1">
      <alignment horizontal="center"/>
    </xf>
    <xf numFmtId="0" fontId="89" fillId="0" borderId="22" xfId="8" applyFont="1" applyBorder="1"/>
    <xf numFmtId="2" fontId="89" fillId="0" borderId="24" xfId="8" applyNumberFormat="1" applyFont="1" applyBorder="1" applyAlignment="1">
      <alignment horizontal="center"/>
    </xf>
    <xf numFmtId="169" fontId="32" fillId="0" borderId="78" xfId="8" applyNumberFormat="1" applyBorder="1" applyAlignment="1">
      <alignment horizontal="center"/>
    </xf>
    <xf numFmtId="11" fontId="32" fillId="0" borderId="72" xfId="8" applyNumberFormat="1" applyBorder="1" applyAlignment="1">
      <alignment horizontal="center"/>
    </xf>
    <xf numFmtId="11" fontId="32" fillId="0" borderId="2" xfId="8" applyNumberFormat="1" applyBorder="1" applyAlignment="1">
      <alignment horizontal="center"/>
    </xf>
    <xf numFmtId="11" fontId="32" fillId="0" borderId="80" xfId="8" applyNumberFormat="1" applyBorder="1" applyAlignment="1">
      <alignment horizontal="center"/>
    </xf>
    <xf numFmtId="169" fontId="32" fillId="0" borderId="27" xfId="8" applyNumberFormat="1" applyBorder="1" applyAlignment="1">
      <alignment horizontal="center"/>
    </xf>
    <xf numFmtId="11" fontId="32" fillId="0" borderId="53" xfId="8" applyNumberFormat="1" applyBorder="1" applyAlignment="1">
      <alignment horizontal="center"/>
    </xf>
    <xf numFmtId="11" fontId="32" fillId="0" borderId="17" xfId="8" applyNumberFormat="1" applyBorder="1" applyAlignment="1">
      <alignment horizontal="center"/>
    </xf>
    <xf numFmtId="0" fontId="32" fillId="0" borderId="0" xfId="0" applyFont="1"/>
    <xf numFmtId="11" fontId="85" fillId="0" borderId="31" xfId="8" applyNumberFormat="1" applyFont="1" applyBorder="1" applyAlignment="1">
      <alignment horizontal="center"/>
    </xf>
    <xf numFmtId="3" fontId="32" fillId="0" borderId="0" xfId="0" applyNumberFormat="1" applyFont="1"/>
    <xf numFmtId="0" fontId="85" fillId="0" borderId="18" xfId="8" applyFont="1" applyBorder="1"/>
    <xf numFmtId="2" fontId="85" fillId="0" borderId="17" xfId="8" applyNumberFormat="1" applyFont="1" applyBorder="1" applyAlignment="1">
      <alignment horizontal="center"/>
    </xf>
    <xf numFmtId="0" fontId="89" fillId="0" borderId="0" xfId="8" applyFont="1"/>
    <xf numFmtId="2" fontId="89" fillId="0" borderId="0" xfId="8" applyNumberFormat="1" applyFont="1" applyAlignment="1">
      <alignment horizontal="center"/>
    </xf>
    <xf numFmtId="0" fontId="32" fillId="0" borderId="64" xfId="8" applyBorder="1" applyAlignment="1">
      <alignment horizontal="center"/>
    </xf>
    <xf numFmtId="0" fontId="32" fillId="0" borderId="52" xfId="8" applyBorder="1" applyAlignment="1">
      <alignment horizontal="center"/>
    </xf>
    <xf numFmtId="169" fontId="32" fillId="0" borderId="52" xfId="8" applyNumberFormat="1" applyBorder="1" applyAlignment="1">
      <alignment horizontal="center"/>
    </xf>
    <xf numFmtId="11" fontId="32" fillId="0" borderId="52" xfId="8" applyNumberFormat="1" applyBorder="1" applyAlignment="1">
      <alignment horizontal="center"/>
    </xf>
    <xf numFmtId="169" fontId="32" fillId="0" borderId="35" xfId="8" applyNumberFormat="1" applyBorder="1" applyAlignment="1">
      <alignment horizontal="center"/>
    </xf>
    <xf numFmtId="11" fontId="32" fillId="0" borderId="31" xfId="8" applyNumberFormat="1" applyBorder="1" applyAlignment="1">
      <alignment horizontal="center"/>
    </xf>
    <xf numFmtId="0" fontId="32" fillId="0" borderId="51" xfId="8" applyBorder="1" applyAlignment="1">
      <alignment horizontal="center"/>
    </xf>
    <xf numFmtId="2" fontId="32" fillId="0" borderId="26" xfId="8" applyNumberFormat="1" applyBorder="1" applyAlignment="1">
      <alignment horizontal="center"/>
    </xf>
    <xf numFmtId="3" fontId="32" fillId="0" borderId="10" xfId="8" applyNumberFormat="1" applyBorder="1" applyAlignment="1">
      <alignment horizontal="center"/>
    </xf>
    <xf numFmtId="2" fontId="32" fillId="0" borderId="0" xfId="8" applyNumberFormat="1" applyAlignment="1">
      <alignment horizontal="center"/>
    </xf>
    <xf numFmtId="3" fontId="89" fillId="0" borderId="24" xfId="8" applyNumberFormat="1" applyFont="1" applyBorder="1" applyAlignment="1">
      <alignment horizontal="center"/>
    </xf>
    <xf numFmtId="2" fontId="85" fillId="0" borderId="66" xfId="8" applyNumberFormat="1" applyFont="1" applyBorder="1" applyAlignment="1">
      <alignment horizontal="center"/>
    </xf>
    <xf numFmtId="0" fontId="85" fillId="0" borderId="0" xfId="0" applyFont="1"/>
    <xf numFmtId="0" fontId="85" fillId="0" borderId="4" xfId="0" applyFont="1" applyBorder="1"/>
    <xf numFmtId="0" fontId="85" fillId="0" borderId="72" xfId="0" applyFont="1" applyBorder="1" applyAlignment="1">
      <alignment horizontal="center" wrapText="1"/>
    </xf>
    <xf numFmtId="0" fontId="85" fillId="0" borderId="4" xfId="0" applyFont="1" applyBorder="1" applyAlignment="1">
      <alignment wrapText="1"/>
    </xf>
    <xf numFmtId="164" fontId="32" fillId="0" borderId="4" xfId="0" applyNumberFormat="1" applyFont="1" applyBorder="1" applyAlignment="1">
      <alignment horizontal="center" vertical="center"/>
    </xf>
    <xf numFmtId="164" fontId="32" fillId="0" borderId="4" xfId="0" quotePrefix="1" applyNumberFormat="1" applyFont="1" applyBorder="1" applyAlignment="1">
      <alignment horizontal="center" vertical="center"/>
    </xf>
    <xf numFmtId="0" fontId="32" fillId="0" borderId="8" xfId="0" applyFont="1" applyBorder="1"/>
    <xf numFmtId="0" fontId="32" fillId="0" borderId="8" xfId="0" applyFont="1" applyBorder="1" applyAlignment="1">
      <alignment horizontal="center" vertical="center"/>
    </xf>
    <xf numFmtId="0" fontId="32" fillId="0" borderId="8" xfId="0" applyFont="1" applyBorder="1" applyAlignment="1">
      <alignment horizontal="center" vertical="center" wrapText="1"/>
    </xf>
    <xf numFmtId="0" fontId="32" fillId="0" borderId="4" xfId="0" applyFont="1" applyBorder="1"/>
    <xf numFmtId="0" fontId="32" fillId="0" borderId="4" xfId="0" applyFont="1" applyBorder="1" applyAlignment="1">
      <alignment horizontal="center" vertical="center"/>
    </xf>
    <xf numFmtId="0" fontId="32" fillId="0" borderId="4" xfId="0" applyFont="1" applyBorder="1" applyAlignment="1">
      <alignment horizontal="center" vertical="center" wrapText="1"/>
    </xf>
    <xf numFmtId="0" fontId="90" fillId="0" borderId="0" xfId="0" applyFont="1"/>
    <xf numFmtId="0" fontId="85" fillId="0" borderId="9" xfId="0" applyFont="1" applyBorder="1" applyAlignment="1">
      <alignment wrapText="1"/>
    </xf>
    <xf numFmtId="0" fontId="85" fillId="0" borderId="26" xfId="0" applyFont="1" applyBorder="1" applyAlignment="1">
      <alignment horizontal="center"/>
    </xf>
    <xf numFmtId="0" fontId="85" fillId="0" borderId="26" xfId="0" applyFont="1" applyBorder="1" applyAlignment="1">
      <alignment horizontal="center" wrapText="1"/>
    </xf>
    <xf numFmtId="0" fontId="85" fillId="0" borderId="31" xfId="0" applyFont="1" applyBorder="1" applyAlignment="1">
      <alignment horizontal="center" wrapText="1"/>
    </xf>
    <xf numFmtId="0" fontId="85" fillId="0" borderId="28" xfId="0" applyFont="1" applyBorder="1" applyAlignment="1">
      <alignment wrapText="1"/>
    </xf>
    <xf numFmtId="0" fontId="85" fillId="0" borderId="11" xfId="0" applyFont="1" applyBorder="1" applyAlignment="1">
      <alignment horizontal="center"/>
    </xf>
    <xf numFmtId="0" fontId="85" fillId="0" borderId="11" xfId="0" applyFont="1" applyBorder="1" applyAlignment="1">
      <alignment horizontal="center" wrapText="1"/>
    </xf>
    <xf numFmtId="0" fontId="85" fillId="0" borderId="41" xfId="0" applyFont="1" applyBorder="1" applyAlignment="1">
      <alignment horizontal="center"/>
    </xf>
    <xf numFmtId="0" fontId="85" fillId="0" borderId="0" xfId="0" applyFont="1" applyAlignment="1">
      <alignment horizontal="center" wrapText="1"/>
    </xf>
    <xf numFmtId="0" fontId="85" fillId="0" borderId="18" xfId="0" applyFont="1" applyBorder="1" applyAlignment="1">
      <alignment horizontal="center" wrapText="1"/>
    </xf>
    <xf numFmtId="0" fontId="85" fillId="0" borderId="17" xfId="0" applyFont="1" applyBorder="1" applyAlignment="1">
      <alignment horizontal="center" wrapText="1"/>
    </xf>
    <xf numFmtId="2" fontId="32" fillId="0" borderId="18" xfId="0" applyNumberFormat="1" applyFont="1" applyBorder="1"/>
    <xf numFmtId="3" fontId="32" fillId="0" borderId="0" xfId="0" applyNumberFormat="1" applyFont="1" applyAlignment="1">
      <alignment horizontal="center"/>
    </xf>
    <xf numFmtId="0" fontId="32" fillId="0" borderId="17" xfId="0" applyFont="1" applyBorder="1"/>
    <xf numFmtId="2" fontId="32" fillId="0" borderId="26" xfId="0" applyNumberFormat="1" applyFont="1" applyBorder="1" applyAlignment="1">
      <alignment horizontal="center"/>
    </xf>
    <xf numFmtId="3" fontId="32" fillId="0" borderId="38" xfId="0" applyNumberFormat="1" applyFont="1" applyBorder="1" applyAlignment="1">
      <alignment horizontal="center"/>
    </xf>
    <xf numFmtId="3" fontId="32" fillId="0" borderId="9" xfId="0" applyNumberFormat="1" applyFont="1" applyBorder="1" applyAlignment="1">
      <alignment horizontal="center"/>
    </xf>
    <xf numFmtId="2" fontId="32" fillId="0" borderId="31" xfId="0" applyNumberFormat="1" applyFont="1" applyBorder="1" applyAlignment="1">
      <alignment horizontal="center"/>
    </xf>
    <xf numFmtId="3" fontId="32" fillId="0" borderId="0" xfId="0" quotePrefix="1" applyNumberFormat="1" applyFont="1" applyAlignment="1">
      <alignment horizontal="center"/>
    </xf>
    <xf numFmtId="166" fontId="32" fillId="0" borderId="0" xfId="0" quotePrefix="1" applyNumberFormat="1" applyFont="1" applyAlignment="1">
      <alignment horizontal="center"/>
    </xf>
    <xf numFmtId="2" fontId="32" fillId="0" borderId="17" xfId="0" applyNumberFormat="1" applyFont="1" applyBorder="1" applyAlignment="1">
      <alignment horizontal="center"/>
    </xf>
    <xf numFmtId="2" fontId="32" fillId="0" borderId="0" xfId="0" applyNumberFormat="1" applyFont="1" applyAlignment="1">
      <alignment horizontal="center"/>
    </xf>
    <xf numFmtId="165" fontId="32" fillId="0" borderId="0" xfId="0" applyNumberFormat="1" applyFont="1" applyAlignment="1">
      <alignment horizontal="center"/>
    </xf>
    <xf numFmtId="3" fontId="32" fillId="0" borderId="1" xfId="0" applyNumberFormat="1" applyFont="1" applyBorder="1" applyAlignment="1">
      <alignment horizontal="center"/>
    </xf>
    <xf numFmtId="2" fontId="32" fillId="0" borderId="18" xfId="0" applyNumberFormat="1" applyFont="1" applyBorder="1" applyAlignment="1">
      <alignment horizontal="center"/>
    </xf>
    <xf numFmtId="2" fontId="32" fillId="0" borderId="0" xfId="0" applyNumberFormat="1" applyFont="1"/>
    <xf numFmtId="2" fontId="32" fillId="0" borderId="28" xfId="0" applyNumberFormat="1" applyFont="1" applyBorder="1"/>
    <xf numFmtId="0" fontId="32" fillId="0" borderId="11" xfId="0" applyFont="1" applyBorder="1"/>
    <xf numFmtId="3" fontId="32" fillId="0" borderId="11" xfId="0" applyNumberFormat="1" applyFont="1" applyBorder="1" applyAlignment="1">
      <alignment horizontal="center"/>
    </xf>
    <xf numFmtId="0" fontId="32" fillId="0" borderId="41" xfId="0" applyFont="1" applyBorder="1"/>
    <xf numFmtId="2" fontId="32" fillId="0" borderId="11" xfId="0" applyNumberFormat="1" applyFont="1" applyBorder="1" applyAlignment="1">
      <alignment horizontal="center"/>
    </xf>
    <xf numFmtId="3" fontId="32" fillId="0" borderId="33" xfId="0" applyNumberFormat="1" applyFont="1" applyBorder="1" applyAlignment="1">
      <alignment horizontal="center"/>
    </xf>
    <xf numFmtId="3" fontId="32" fillId="0" borderId="28" xfId="0" applyNumberFormat="1" applyFont="1" applyBorder="1" applyAlignment="1">
      <alignment horizontal="center"/>
    </xf>
    <xf numFmtId="165" fontId="32" fillId="0" borderId="11" xfId="0" applyNumberFormat="1" applyFont="1" applyBorder="1" applyAlignment="1">
      <alignment horizontal="center"/>
    </xf>
    <xf numFmtId="165" fontId="32" fillId="0" borderId="41" xfId="0" applyNumberFormat="1" applyFont="1" applyBorder="1" applyAlignment="1">
      <alignment horizontal="center"/>
    </xf>
    <xf numFmtId="3" fontId="85" fillId="0" borderId="0" xfId="0" applyNumberFormat="1" applyFont="1" applyAlignment="1">
      <alignment horizontal="center"/>
    </xf>
    <xf numFmtId="3" fontId="85" fillId="0" borderId="68" xfId="0" applyNumberFormat="1" applyFont="1" applyBorder="1" applyAlignment="1">
      <alignment horizontal="center"/>
    </xf>
    <xf numFmtId="166" fontId="85" fillId="0" borderId="11" xfId="0" applyNumberFormat="1" applyFont="1" applyBorder="1" applyAlignment="1">
      <alignment horizontal="center"/>
    </xf>
    <xf numFmtId="166" fontId="85" fillId="0" borderId="41" xfId="0" applyNumberFormat="1" applyFont="1" applyBorder="1" applyAlignment="1">
      <alignment horizontal="center"/>
    </xf>
    <xf numFmtId="0" fontId="85" fillId="0" borderId="0" xfId="0" applyFont="1" applyAlignment="1">
      <alignment horizontal="center"/>
    </xf>
    <xf numFmtId="166" fontId="85" fillId="0" borderId="0" xfId="0" applyNumberFormat="1" applyFont="1" applyAlignment="1">
      <alignment horizontal="center"/>
    </xf>
    <xf numFmtId="0" fontId="32" fillId="0" borderId="0" xfId="0" applyFont="1" applyAlignment="1">
      <alignment vertical="center" wrapText="1"/>
    </xf>
    <xf numFmtId="0" fontId="22" fillId="0" borderId="0" xfId="0" applyFont="1" applyAlignment="1">
      <alignment horizontal="center" wrapText="1"/>
    </xf>
    <xf numFmtId="0" fontId="25" fillId="0" borderId="57" xfId="0" applyFont="1" applyBorder="1"/>
    <xf numFmtId="0" fontId="25" fillId="0" borderId="92" xfId="0" applyFont="1" applyBorder="1"/>
    <xf numFmtId="0" fontId="25" fillId="0" borderId="93" xfId="0" applyFont="1" applyBorder="1"/>
    <xf numFmtId="0" fontId="25" fillId="0" borderId="94" xfId="0" applyFont="1" applyBorder="1"/>
    <xf numFmtId="0" fontId="25" fillId="0" borderId="95" xfId="0" applyFont="1" applyBorder="1"/>
    <xf numFmtId="0" fontId="25" fillId="0" borderId="96" xfId="0" applyFont="1" applyBorder="1"/>
    <xf numFmtId="0" fontId="22" fillId="0" borderId="97" xfId="0" applyFont="1" applyBorder="1" applyAlignment="1">
      <alignment horizontal="center" wrapText="1"/>
    </xf>
    <xf numFmtId="0" fontId="22" fillId="0" borderId="98" xfId="0" applyFont="1" applyBorder="1" applyAlignment="1">
      <alignment horizontal="center" wrapText="1"/>
    </xf>
    <xf numFmtId="0" fontId="91" fillId="0" borderId="0" xfId="0" applyFont="1"/>
    <xf numFmtId="0" fontId="22" fillId="0" borderId="9" xfId="0" applyFont="1" applyBorder="1" applyAlignment="1">
      <alignment horizontal="center" wrapText="1"/>
    </xf>
    <xf numFmtId="0" fontId="25" fillId="0" borderId="0" xfId="0" applyFont="1" applyAlignment="1">
      <alignment vertical="center" wrapText="1"/>
    </xf>
    <xf numFmtId="0" fontId="22" fillId="0" borderId="38" xfId="0" applyFont="1" applyBorder="1" applyAlignment="1">
      <alignment horizontal="center" wrapText="1"/>
    </xf>
    <xf numFmtId="0" fontId="37" fillId="0" borderId="56" xfId="0" applyFont="1" applyBorder="1" applyAlignment="1">
      <alignment horizontal="center" wrapText="1"/>
    </xf>
    <xf numFmtId="11" fontId="29" fillId="0" borderId="23" xfId="0" applyNumberFormat="1" applyFont="1" applyBorder="1" applyAlignment="1">
      <alignment horizontal="center"/>
    </xf>
    <xf numFmtId="1" fontId="29" fillId="0" borderId="20" xfId="0" applyNumberFormat="1" applyFont="1" applyBorder="1" applyAlignment="1">
      <alignment horizontal="center"/>
    </xf>
    <xf numFmtId="11" fontId="29" fillId="0" borderId="76" xfId="9" applyNumberFormat="1" applyFont="1" applyBorder="1" applyAlignment="1">
      <alignment horizontal="center" vertical="center"/>
    </xf>
    <xf numFmtId="11" fontId="93" fillId="0" borderId="56" xfId="9" applyNumberFormat="1" applyFont="1" applyBorder="1" applyAlignment="1">
      <alignment horizontal="center" vertical="center"/>
    </xf>
    <xf numFmtId="11" fontId="29" fillId="0" borderId="6" xfId="0" applyNumberFormat="1" applyFont="1" applyBorder="1" applyAlignment="1">
      <alignment horizontal="center"/>
    </xf>
    <xf numFmtId="11" fontId="29" fillId="0" borderId="7" xfId="0" applyNumberFormat="1" applyFont="1" applyBorder="1" applyAlignment="1">
      <alignment horizontal="center"/>
    </xf>
    <xf numFmtId="11" fontId="29" fillId="0" borderId="5" xfId="9" applyNumberFormat="1" applyFont="1" applyBorder="1" applyAlignment="1">
      <alignment horizontal="center" vertical="center"/>
    </xf>
    <xf numFmtId="1" fontId="29" fillId="0" borderId="4" xfId="0" applyNumberFormat="1" applyFont="1" applyBorder="1" applyAlignment="1">
      <alignment horizontal="center"/>
    </xf>
    <xf numFmtId="0" fontId="93" fillId="0" borderId="4" xfId="0" applyFont="1" applyBorder="1" applyAlignment="1">
      <alignment horizontal="center"/>
    </xf>
    <xf numFmtId="0" fontId="93" fillId="15" borderId="4" xfId="0" applyFont="1" applyFill="1" applyBorder="1" applyAlignment="1">
      <alignment horizontal="center"/>
    </xf>
    <xf numFmtId="11" fontId="93" fillId="0" borderId="56" xfId="0" applyNumberFormat="1" applyFont="1" applyBorder="1" applyAlignment="1">
      <alignment horizontal="center"/>
    </xf>
    <xf numFmtId="11" fontId="29" fillId="0" borderId="22" xfId="0" applyNumberFormat="1" applyFont="1" applyBorder="1" applyAlignment="1">
      <alignment horizontal="center"/>
    </xf>
    <xf numFmtId="0" fontId="29" fillId="0" borderId="29" xfId="0" applyFont="1" applyBorder="1" applyAlignment="1">
      <alignment horizontal="center"/>
    </xf>
    <xf numFmtId="11" fontId="29" fillId="0" borderId="24" xfId="0" applyNumberFormat="1" applyFont="1" applyBorder="1" applyAlignment="1">
      <alignment horizontal="center"/>
    </xf>
    <xf numFmtId="11" fontId="29" fillId="0" borderId="12" xfId="9" applyNumberFormat="1" applyFont="1" applyBorder="1" applyAlignment="1">
      <alignment horizontal="center" vertical="center"/>
    </xf>
    <xf numFmtId="0" fontId="34" fillId="0" borderId="81" xfId="0" applyFont="1" applyBorder="1" applyAlignment="1">
      <alignment horizontal="center" wrapText="1"/>
    </xf>
    <xf numFmtId="2" fontId="29" fillId="0" borderId="61" xfId="0" applyNumberFormat="1" applyFont="1" applyBorder="1" applyAlignment="1">
      <alignment horizontal="center"/>
    </xf>
    <xf numFmtId="2" fontId="29" fillId="0" borderId="81" xfId="0" applyNumberFormat="1" applyFont="1" applyBorder="1" applyAlignment="1">
      <alignment horizontal="center"/>
    </xf>
    <xf numFmtId="0" fontId="94" fillId="0" borderId="0" xfId="0" applyFont="1" applyAlignment="1">
      <alignment vertical="top"/>
    </xf>
    <xf numFmtId="0" fontId="31" fillId="0" borderId="0" xfId="0" applyFont="1" applyAlignment="1">
      <alignment horizontal="left" vertical="top"/>
    </xf>
    <xf numFmtId="0" fontId="27" fillId="0" borderId="0" xfId="0" applyFont="1" applyAlignment="1">
      <alignment horizontal="left" vertical="top" wrapText="1"/>
    </xf>
    <xf numFmtId="11" fontId="27" fillId="0" borderId="0" xfId="0" applyNumberFormat="1" applyFont="1" applyAlignment="1">
      <alignment horizontal="center"/>
    </xf>
    <xf numFmtId="0" fontId="25" fillId="0" borderId="33" xfId="0" applyFont="1" applyBorder="1" applyAlignment="1">
      <alignment horizontal="center" vertical="center" wrapText="1"/>
    </xf>
    <xf numFmtId="0" fontId="29" fillId="0" borderId="9" xfId="0" applyFont="1" applyBorder="1" applyAlignment="1">
      <alignment horizontal="left" wrapText="1"/>
    </xf>
    <xf numFmtId="0" fontId="29" fillId="0" borderId="52" xfId="0" applyFont="1" applyBorder="1" applyAlignment="1">
      <alignment horizontal="left" wrapText="1"/>
    </xf>
    <xf numFmtId="0" fontId="29" fillId="0" borderId="18" xfId="0" applyFont="1" applyBorder="1" applyAlignment="1">
      <alignment horizontal="left" wrapText="1"/>
    </xf>
    <xf numFmtId="0" fontId="29" fillId="0" borderId="42" xfId="0" applyFont="1" applyBorder="1" applyAlignment="1">
      <alignment horizontal="left" wrapText="1"/>
    </xf>
    <xf numFmtId="0" fontId="29" fillId="0" borderId="28" xfId="0" applyFont="1" applyBorder="1" applyAlignment="1">
      <alignment horizontal="left" wrapText="1"/>
    </xf>
    <xf numFmtId="0" fontId="29" fillId="0" borderId="32" xfId="0" applyFont="1" applyBorder="1" applyAlignment="1">
      <alignment horizontal="left" wrapText="1"/>
    </xf>
    <xf numFmtId="164" fontId="29" fillId="0" borderId="4" xfId="0" applyNumberFormat="1" applyFont="1" applyBorder="1" applyAlignment="1">
      <alignment horizontal="center" vertical="center"/>
    </xf>
    <xf numFmtId="0" fontId="30" fillId="0" borderId="0" xfId="0" applyFont="1" applyAlignment="1">
      <alignment horizontal="left" vertical="top" wrapText="1"/>
    </xf>
    <xf numFmtId="0" fontId="34" fillId="0" borderId="0" xfId="0" applyFont="1" applyAlignment="1">
      <alignment horizontal="left" vertical="top" wrapText="1"/>
    </xf>
    <xf numFmtId="0" fontId="34" fillId="0" borderId="23" xfId="0" applyFont="1" applyBorder="1" applyAlignment="1">
      <alignment horizontal="center"/>
    </xf>
    <xf numFmtId="0" fontId="34" fillId="0" borderId="22" xfId="0" applyFont="1" applyBorder="1" applyAlignment="1">
      <alignment horizontal="center"/>
    </xf>
    <xf numFmtId="0" fontId="34" fillId="0" borderId="19" xfId="0" applyFont="1" applyBorder="1" applyAlignment="1">
      <alignment horizontal="center" wrapText="1"/>
    </xf>
    <xf numFmtId="0" fontId="34" fillId="0" borderId="24" xfId="0" applyFont="1" applyBorder="1" applyAlignment="1">
      <alignment horizontal="center" wrapText="1"/>
    </xf>
    <xf numFmtId="0" fontId="34" fillId="0" borderId="35" xfId="0" applyFont="1" applyBorder="1" applyAlignment="1">
      <alignment horizontal="center" wrapText="1"/>
    </xf>
    <xf numFmtId="0" fontId="34" fillId="0" borderId="53" xfId="0" applyFont="1" applyBorder="1" applyAlignment="1">
      <alignment horizontal="center" wrapText="1"/>
    </xf>
    <xf numFmtId="0" fontId="34" fillId="0" borderId="70" xfId="0" applyFont="1" applyBorder="1" applyAlignment="1">
      <alignment horizontal="center" wrapText="1"/>
    </xf>
    <xf numFmtId="0" fontId="34" fillId="0" borderId="27" xfId="0" applyFont="1" applyBorder="1" applyAlignment="1">
      <alignment horizontal="center" wrapText="1"/>
    </xf>
    <xf numFmtId="0" fontId="34" fillId="0" borderId="47" xfId="0" applyFont="1" applyBorder="1" applyAlignment="1">
      <alignment horizontal="center" wrapText="1"/>
    </xf>
    <xf numFmtId="0" fontId="34" fillId="0" borderId="48" xfId="0" applyFont="1" applyBorder="1" applyAlignment="1">
      <alignment horizontal="center" wrapText="1"/>
    </xf>
    <xf numFmtId="0" fontId="34" fillId="0" borderId="66" xfId="0" applyFont="1" applyBorder="1" applyAlignment="1">
      <alignment horizontal="center" wrapText="1"/>
    </xf>
    <xf numFmtId="0" fontId="34" fillId="0" borderId="47" xfId="0" applyFont="1" applyBorder="1" applyAlignment="1">
      <alignment horizontal="center"/>
    </xf>
    <xf numFmtId="0" fontId="34" fillId="0" borderId="48" xfId="0" applyFont="1" applyBorder="1" applyAlignment="1">
      <alignment horizontal="center"/>
    </xf>
    <xf numFmtId="0" fontId="34" fillId="0" borderId="9" xfId="0" applyFont="1" applyBorder="1" applyAlignment="1">
      <alignment horizontal="center"/>
    </xf>
    <xf numFmtId="0" fontId="34" fillId="0" borderId="18" xfId="0" applyFont="1" applyBorder="1" applyAlignment="1">
      <alignment horizontal="center"/>
    </xf>
    <xf numFmtId="0" fontId="30" fillId="0" borderId="26" xfId="0" applyFont="1" applyBorder="1" applyAlignment="1">
      <alignment horizontal="left" vertical="top" wrapText="1"/>
    </xf>
    <xf numFmtId="0" fontId="34" fillId="0" borderId="19" xfId="0" applyFont="1" applyBorder="1" applyAlignment="1">
      <alignment horizontal="center"/>
    </xf>
    <xf numFmtId="0" fontId="34" fillId="0" borderId="7" xfId="0" applyFont="1" applyBorder="1" applyAlignment="1">
      <alignment horizontal="center"/>
    </xf>
    <xf numFmtId="0" fontId="34" fillId="0" borderId="24" xfId="0" applyFont="1" applyBorder="1" applyAlignment="1">
      <alignment horizontal="center"/>
    </xf>
    <xf numFmtId="0" fontId="34" fillId="0" borderId="20" xfId="0" applyFont="1" applyBorder="1" applyAlignment="1">
      <alignment horizontal="center"/>
    </xf>
    <xf numFmtId="0" fontId="34" fillId="0" borderId="4" xfId="0" applyFont="1" applyBorder="1" applyAlignment="1">
      <alignment horizontal="center"/>
    </xf>
    <xf numFmtId="0" fontId="34" fillId="0" borderId="29" xfId="0" applyFont="1" applyBorder="1" applyAlignment="1">
      <alignment horizontal="center"/>
    </xf>
    <xf numFmtId="0" fontId="34" fillId="0" borderId="64" xfId="0" applyFont="1" applyBorder="1" applyAlignment="1">
      <alignment horizontal="center" wrapText="1"/>
    </xf>
    <xf numFmtId="0" fontId="34" fillId="0" borderId="51" xfId="0" applyFont="1" applyBorder="1" applyAlignment="1">
      <alignment horizontal="center" wrapText="1"/>
    </xf>
    <xf numFmtId="0" fontId="34" fillId="0" borderId="36" xfId="0" applyFont="1" applyBorder="1" applyAlignment="1">
      <alignment horizontal="center" wrapText="1"/>
    </xf>
    <xf numFmtId="0" fontId="34" fillId="0" borderId="52" xfId="0" applyFont="1" applyBorder="1" applyAlignment="1">
      <alignment horizontal="center" wrapText="1"/>
    </xf>
    <xf numFmtId="0" fontId="34" fillId="0" borderId="32" xfId="0" applyFont="1" applyBorder="1" applyAlignment="1">
      <alignment horizontal="center" wrapText="1"/>
    </xf>
    <xf numFmtId="0" fontId="34" fillId="0" borderId="42" xfId="0" applyFont="1" applyBorder="1" applyAlignment="1">
      <alignment horizontal="center" wrapText="1"/>
    </xf>
    <xf numFmtId="0" fontId="34" fillId="0" borderId="10" xfId="0" applyFont="1" applyBorder="1" applyAlignment="1">
      <alignment horizontal="center"/>
    </xf>
    <xf numFmtId="0" fontId="34" fillId="0" borderId="34" xfId="0" applyFont="1" applyBorder="1" applyAlignment="1">
      <alignment horizontal="center"/>
    </xf>
    <xf numFmtId="0" fontId="30" fillId="0" borderId="15" xfId="0" applyFont="1" applyBorder="1" applyAlignment="1">
      <alignment horizontal="left" vertical="top" wrapText="1"/>
    </xf>
    <xf numFmtId="0" fontId="34" fillId="0" borderId="64" xfId="0" applyFont="1" applyBorder="1" applyAlignment="1">
      <alignment horizontal="center"/>
    </xf>
    <xf numFmtId="0" fontId="34" fillId="0" borderId="51" xfId="0" applyFont="1" applyBorder="1" applyAlignment="1">
      <alignment horizontal="center"/>
    </xf>
    <xf numFmtId="0" fontId="34" fillId="0" borderId="35" xfId="0" applyFont="1" applyBorder="1" applyAlignment="1">
      <alignment horizontal="center"/>
    </xf>
    <xf numFmtId="0" fontId="34" fillId="0" borderId="53" xfId="0" applyFont="1" applyBorder="1" applyAlignment="1">
      <alignment horizontal="center"/>
    </xf>
    <xf numFmtId="0" fontId="25" fillId="0" borderId="28" xfId="0" applyFont="1" applyBorder="1" applyAlignment="1">
      <alignment horizontal="center" vertical="center" wrapText="1"/>
    </xf>
    <xf numFmtId="0" fontId="25" fillId="0" borderId="41" xfId="0" applyFont="1" applyBorder="1" applyAlignment="1">
      <alignment horizontal="center" vertical="center" wrapText="1"/>
    </xf>
    <xf numFmtId="0" fontId="22" fillId="0" borderId="10" xfId="0" applyFont="1" applyBorder="1" applyAlignment="1">
      <alignment horizontal="center" vertical="center"/>
    </xf>
    <xf numFmtId="0" fontId="22" fillId="0" borderId="34" xfId="0" applyFont="1" applyBorder="1" applyAlignment="1">
      <alignment horizontal="center" vertical="center"/>
    </xf>
    <xf numFmtId="0" fontId="22" fillId="0" borderId="64" xfId="0" applyFont="1" applyBorder="1" applyAlignment="1">
      <alignment horizontal="center" vertical="center"/>
    </xf>
    <xf numFmtId="0" fontId="22" fillId="0" borderId="36" xfId="0" applyFont="1" applyBorder="1" applyAlignment="1">
      <alignment horizontal="center" vertical="center"/>
    </xf>
    <xf numFmtId="0" fontId="22" fillId="0" borderId="25" xfId="0" applyFont="1" applyBorder="1" applyAlignment="1">
      <alignment horizontal="center" vertical="center" wrapText="1"/>
    </xf>
    <xf numFmtId="0" fontId="22" fillId="0" borderId="21" xfId="0" applyFont="1" applyBorder="1" applyAlignment="1">
      <alignment horizontal="center" vertical="center"/>
    </xf>
    <xf numFmtId="0" fontId="22" fillId="0" borderId="44" xfId="0" applyFont="1" applyBorder="1" applyAlignment="1">
      <alignment horizontal="center" vertical="center"/>
    </xf>
    <xf numFmtId="0" fontId="22" fillId="0" borderId="6" xfId="0" applyFont="1" applyBorder="1" applyAlignment="1">
      <alignment horizontal="center" wrapText="1"/>
    </xf>
    <xf numFmtId="0" fontId="22" fillId="0" borderId="4" xfId="0" applyFont="1" applyBorder="1" applyAlignment="1">
      <alignment horizontal="center" wrapText="1"/>
    </xf>
    <xf numFmtId="0" fontId="22" fillId="0" borderId="3" xfId="0" applyFont="1" applyBorder="1" applyAlignment="1">
      <alignment horizontal="center" wrapText="1"/>
    </xf>
    <xf numFmtId="0" fontId="22" fillId="0" borderId="34" xfId="0" applyFont="1" applyBorder="1" applyAlignment="1">
      <alignment horizontal="center" wrapText="1"/>
    </xf>
    <xf numFmtId="0" fontId="22" fillId="0" borderId="7" xfId="0" applyFont="1" applyBorder="1" applyAlignment="1">
      <alignment horizontal="center" wrapText="1"/>
    </xf>
    <xf numFmtId="0" fontId="22" fillId="0" borderId="24" xfId="0" applyFont="1" applyBorder="1" applyAlignment="1">
      <alignment horizontal="center" wrapText="1"/>
    </xf>
    <xf numFmtId="0" fontId="22" fillId="0" borderId="31" xfId="0" applyFont="1" applyBorder="1" applyAlignment="1">
      <alignment horizontal="center" wrapText="1"/>
    </xf>
    <xf numFmtId="0" fontId="22" fillId="0" borderId="17" xfId="0" applyFont="1" applyBorder="1" applyAlignment="1">
      <alignment horizontal="center" wrapText="1"/>
    </xf>
    <xf numFmtId="0" fontId="22" fillId="0" borderId="41" xfId="0" applyFont="1" applyBorder="1" applyAlignment="1">
      <alignment horizontal="center" wrapText="1"/>
    </xf>
    <xf numFmtId="0" fontId="22" fillId="0" borderId="47" xfId="0" applyFont="1" applyBorder="1" applyAlignment="1">
      <alignment horizontal="center"/>
    </xf>
    <xf numFmtId="0" fontId="22" fillId="0" borderId="48" xfId="0" applyFont="1" applyBorder="1" applyAlignment="1">
      <alignment horizontal="center"/>
    </xf>
    <xf numFmtId="0" fontId="22" fillId="0" borderId="66" xfId="0" applyFont="1" applyBorder="1" applyAlignment="1">
      <alignment horizontal="center"/>
    </xf>
    <xf numFmtId="0" fontId="22" fillId="0" borderId="64" xfId="0" applyFont="1" applyBorder="1" applyAlignment="1">
      <alignment horizontal="center"/>
    </xf>
    <xf numFmtId="0" fontId="22" fillId="0" borderId="51" xfId="0" applyFont="1" applyBorder="1" applyAlignment="1">
      <alignment horizontal="center"/>
    </xf>
    <xf numFmtId="0" fontId="22" fillId="0" borderId="36" xfId="0" applyFont="1" applyBorder="1" applyAlignment="1">
      <alignment horizontal="center"/>
    </xf>
    <xf numFmtId="0" fontId="22" fillId="0" borderId="9" xfId="0" applyFont="1" applyBorder="1" applyAlignment="1">
      <alignment horizontal="center"/>
    </xf>
    <xf numFmtId="0" fontId="22" fillId="0" borderId="18" xfId="0" applyFont="1" applyBorder="1" applyAlignment="1">
      <alignment horizontal="center"/>
    </xf>
    <xf numFmtId="0" fontId="22" fillId="0" borderId="28" xfId="0" applyFont="1" applyBorder="1" applyAlignment="1">
      <alignment horizontal="center"/>
    </xf>
    <xf numFmtId="0" fontId="34" fillId="0" borderId="10" xfId="0" applyFont="1" applyBorder="1" applyAlignment="1">
      <alignment horizontal="center" wrapText="1"/>
    </xf>
    <xf numFmtId="0" fontId="34" fillId="0" borderId="49" xfId="0" applyFont="1" applyBorder="1" applyAlignment="1">
      <alignment horizontal="center" wrapText="1"/>
    </xf>
    <xf numFmtId="0" fontId="34" fillId="0" borderId="34" xfId="0" applyFont="1" applyBorder="1" applyAlignment="1">
      <alignment horizontal="center" wrapText="1"/>
    </xf>
    <xf numFmtId="0" fontId="22" fillId="0" borderId="9" xfId="0" applyFont="1" applyBorder="1" applyAlignment="1">
      <alignment horizontal="center" wrapText="1"/>
    </xf>
    <xf numFmtId="0" fontId="22" fillId="0" borderId="18" xfId="0" applyFont="1" applyBorder="1" applyAlignment="1">
      <alignment horizontal="center" wrapText="1"/>
    </xf>
    <xf numFmtId="0" fontId="22" fillId="0" borderId="76" xfId="0" applyFont="1" applyBorder="1" applyAlignment="1">
      <alignment horizontal="center"/>
    </xf>
    <xf numFmtId="0" fontId="22" fillId="0" borderId="20" xfId="0" applyFont="1" applyBorder="1" applyAlignment="1">
      <alignment horizontal="center"/>
    </xf>
    <xf numFmtId="0" fontId="22" fillId="0" borderId="19" xfId="0" applyFont="1" applyBorder="1" applyAlignment="1">
      <alignment horizontal="center"/>
    </xf>
    <xf numFmtId="0" fontId="22" fillId="0" borderId="5" xfId="0" applyFont="1" applyBorder="1" applyAlignment="1">
      <alignment horizontal="center" wrapText="1"/>
    </xf>
    <xf numFmtId="0" fontId="22" fillId="0" borderId="74" xfId="0" applyFont="1" applyBorder="1" applyAlignment="1">
      <alignment horizontal="center" wrapText="1"/>
    </xf>
    <xf numFmtId="0" fontId="22" fillId="0" borderId="30" xfId="0" applyFont="1" applyBorder="1" applyAlignment="1">
      <alignment horizontal="center" wrapText="1"/>
    </xf>
    <xf numFmtId="0" fontId="22" fillId="0" borderId="73" xfId="0" applyFont="1" applyBorder="1" applyAlignment="1">
      <alignment horizontal="center" wrapText="1"/>
    </xf>
    <xf numFmtId="0" fontId="22" fillId="0" borderId="10" xfId="0" applyFont="1" applyBorder="1" applyAlignment="1">
      <alignment horizontal="center" wrapText="1"/>
    </xf>
    <xf numFmtId="0" fontId="22" fillId="0" borderId="49" xfId="0" applyFont="1" applyBorder="1" applyAlignment="1">
      <alignment horizontal="center" wrapText="1"/>
    </xf>
    <xf numFmtId="0" fontId="22" fillId="0" borderId="64" xfId="0" applyFont="1" applyBorder="1" applyAlignment="1">
      <alignment horizontal="center" wrapText="1"/>
    </xf>
    <xf numFmtId="0" fontId="22" fillId="0" borderId="51" xfId="0" applyFont="1" applyBorder="1" applyAlignment="1">
      <alignment horizontal="center" wrapText="1"/>
    </xf>
    <xf numFmtId="0" fontId="22" fillId="0" borderId="36" xfId="0" applyFont="1" applyBorder="1" applyAlignment="1">
      <alignment horizontal="center" wrapText="1"/>
    </xf>
    <xf numFmtId="0" fontId="22" fillId="0" borderId="69" xfId="0" applyFont="1" applyBorder="1" applyAlignment="1">
      <alignment horizontal="center" wrapText="1"/>
    </xf>
    <xf numFmtId="0" fontId="22" fillId="0" borderId="43" xfId="0" applyFont="1" applyBorder="1" applyAlignment="1">
      <alignment horizontal="center" wrapText="1"/>
    </xf>
    <xf numFmtId="0" fontId="22" fillId="0" borderId="16" xfId="0" applyFont="1" applyBorder="1" applyAlignment="1">
      <alignment horizontal="center" wrapText="1"/>
    </xf>
    <xf numFmtId="0" fontId="22" fillId="0" borderId="64" xfId="0" applyFont="1" applyBorder="1" applyAlignment="1">
      <alignment horizontal="center" vertical="center" wrapText="1"/>
    </xf>
    <xf numFmtId="0" fontId="22" fillId="0" borderId="51" xfId="0" applyFont="1" applyBorder="1" applyAlignment="1">
      <alignment horizontal="center" vertical="center" wrapText="1"/>
    </xf>
    <xf numFmtId="0" fontId="22" fillId="0" borderId="36"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49" xfId="0" applyFont="1" applyBorder="1" applyAlignment="1">
      <alignment horizontal="center" vertical="center" wrapText="1"/>
    </xf>
    <xf numFmtId="0" fontId="22" fillId="0" borderId="34" xfId="0" applyFont="1" applyBorder="1" applyAlignment="1">
      <alignment horizontal="center" vertical="center" wrapText="1"/>
    </xf>
    <xf numFmtId="0" fontId="87" fillId="0" borderId="26" xfId="8" applyFont="1" applyBorder="1" applyAlignment="1">
      <alignment horizontal="left" vertical="top" wrapText="1"/>
    </xf>
    <xf numFmtId="0" fontId="87" fillId="0" borderId="0" xfId="8" applyFont="1" applyAlignment="1">
      <alignment horizontal="left" vertical="top" wrapText="1"/>
    </xf>
    <xf numFmtId="0" fontId="85" fillId="0" borderId="64" xfId="8" applyFont="1" applyBorder="1" applyAlignment="1">
      <alignment horizontal="center"/>
    </xf>
    <xf numFmtId="0" fontId="85" fillId="0" borderId="39" xfId="8" applyFont="1" applyBorder="1" applyAlignment="1">
      <alignment horizontal="center"/>
    </xf>
    <xf numFmtId="0" fontId="85" fillId="0" borderId="10" xfId="8" applyFont="1" applyBorder="1" applyAlignment="1">
      <alignment horizontal="center" wrapText="1"/>
    </xf>
    <xf numFmtId="0" fontId="85" fillId="0" borderId="82" xfId="8" applyFont="1" applyBorder="1" applyAlignment="1">
      <alignment horizontal="center"/>
    </xf>
    <xf numFmtId="0" fontId="85" fillId="0" borderId="9" xfId="8" applyFont="1" applyBorder="1" applyAlignment="1">
      <alignment horizontal="left"/>
    </xf>
    <xf numFmtId="0" fontId="85" fillId="0" borderId="26" xfId="8" applyFont="1" applyBorder="1" applyAlignment="1">
      <alignment horizontal="left"/>
    </xf>
    <xf numFmtId="0" fontId="85" fillId="0" borderId="28" xfId="8" applyFont="1" applyBorder="1" applyAlignment="1">
      <alignment horizontal="left"/>
    </xf>
    <xf numFmtId="0" fontId="85" fillId="0" borderId="11" xfId="8" applyFont="1" applyBorder="1" applyAlignment="1">
      <alignment horizontal="left"/>
    </xf>
    <xf numFmtId="0" fontId="85" fillId="0" borderId="31" xfId="8" applyFont="1" applyBorder="1" applyAlignment="1">
      <alignment horizontal="center" wrapText="1"/>
    </xf>
    <xf numFmtId="0" fontId="85" fillId="0" borderId="17" xfId="8" applyFont="1" applyBorder="1" applyAlignment="1">
      <alignment horizontal="center" wrapText="1"/>
    </xf>
    <xf numFmtId="0" fontId="85" fillId="0" borderId="83" xfId="8" applyFont="1" applyBorder="1" applyAlignment="1">
      <alignment horizontal="center" wrapText="1"/>
    </xf>
    <xf numFmtId="0" fontId="85" fillId="0" borderId="9" xfId="8" applyFont="1" applyBorder="1" applyAlignment="1">
      <alignment horizontal="center" wrapText="1"/>
    </xf>
    <xf numFmtId="0" fontId="85" fillId="0" borderId="18" xfId="8" applyFont="1" applyBorder="1" applyAlignment="1">
      <alignment horizontal="center" wrapText="1"/>
    </xf>
    <xf numFmtId="0" fontId="85" fillId="0" borderId="75" xfId="8" applyFont="1" applyBorder="1" applyAlignment="1">
      <alignment horizontal="center" wrapText="1"/>
    </xf>
    <xf numFmtId="0" fontId="85" fillId="0" borderId="52" xfId="8" applyFont="1" applyBorder="1" applyAlignment="1">
      <alignment horizontal="center"/>
    </xf>
    <xf numFmtId="0" fontId="85" fillId="0" borderId="42" xfId="8" applyFont="1" applyBorder="1" applyAlignment="1">
      <alignment horizontal="center"/>
    </xf>
    <xf numFmtId="0" fontId="85" fillId="0" borderId="8" xfId="8" applyFont="1" applyBorder="1" applyAlignment="1">
      <alignment horizontal="center"/>
    </xf>
    <xf numFmtId="0" fontId="85" fillId="0" borderId="26" xfId="8" applyFont="1" applyBorder="1" applyAlignment="1">
      <alignment horizontal="center" wrapText="1"/>
    </xf>
    <xf numFmtId="0" fontId="85" fillId="0" borderId="0" xfId="8" applyFont="1" applyAlignment="1">
      <alignment horizontal="center" wrapText="1"/>
    </xf>
    <xf numFmtId="0" fontId="85" fillId="0" borderId="52" xfId="8" applyFont="1" applyBorder="1" applyAlignment="1">
      <alignment horizontal="center" wrapText="1"/>
    </xf>
    <xf numFmtId="0" fontId="85" fillId="0" borderId="42" xfId="8" applyFont="1" applyBorder="1" applyAlignment="1">
      <alignment horizontal="center" wrapText="1"/>
    </xf>
    <xf numFmtId="0" fontId="85" fillId="0" borderId="37" xfId="8" applyFont="1" applyBorder="1" applyAlignment="1">
      <alignment horizontal="center" wrapText="1"/>
    </xf>
    <xf numFmtId="0" fontId="85" fillId="0" borderId="41" xfId="8" applyFont="1" applyBorder="1" applyAlignment="1">
      <alignment horizontal="center" wrapText="1"/>
    </xf>
    <xf numFmtId="0" fontId="85" fillId="0" borderId="64" xfId="8" applyFont="1" applyBorder="1" applyAlignment="1">
      <alignment horizontal="center" wrapText="1"/>
    </xf>
    <xf numFmtId="0" fontId="85" fillId="0" borderId="51" xfId="8" applyFont="1" applyBorder="1" applyAlignment="1">
      <alignment horizontal="center" wrapText="1"/>
    </xf>
    <xf numFmtId="0" fontId="85" fillId="0" borderId="36" xfId="8" applyFont="1" applyBorder="1" applyAlignment="1">
      <alignment horizontal="center" wrapText="1"/>
    </xf>
    <xf numFmtId="0" fontId="85" fillId="0" borderId="32" xfId="8" applyFont="1" applyBorder="1" applyAlignment="1">
      <alignment horizontal="center"/>
    </xf>
    <xf numFmtId="0" fontId="85" fillId="0" borderId="35" xfId="8" applyFont="1" applyBorder="1" applyAlignment="1">
      <alignment horizontal="center" wrapText="1"/>
    </xf>
    <xf numFmtId="0" fontId="85" fillId="0" borderId="53" xfId="8" applyFont="1" applyBorder="1" applyAlignment="1">
      <alignment horizontal="center" wrapText="1"/>
    </xf>
    <xf numFmtId="0" fontId="85" fillId="0" borderId="67" xfId="8" applyFont="1" applyBorder="1" applyAlignment="1">
      <alignment horizontal="center" wrapText="1"/>
    </xf>
    <xf numFmtId="0" fontId="34" fillId="0" borderId="9" xfId="8" applyFont="1" applyBorder="1" applyAlignment="1">
      <alignment horizontal="left"/>
    </xf>
    <xf numFmtId="0" fontId="34" fillId="0" borderId="26" xfId="8" applyFont="1" applyBorder="1" applyAlignment="1">
      <alignment horizontal="left"/>
    </xf>
    <xf numFmtId="0" fontId="34" fillId="0" borderId="28" xfId="8" applyFont="1" applyBorder="1" applyAlignment="1">
      <alignment horizontal="left"/>
    </xf>
    <xf numFmtId="0" fontId="34" fillId="0" borderId="11" xfId="8" applyFont="1" applyBorder="1" applyAlignment="1">
      <alignment horizontal="left"/>
    </xf>
    <xf numFmtId="0" fontId="85" fillId="0" borderId="32" xfId="8" applyFont="1" applyBorder="1" applyAlignment="1">
      <alignment horizontal="center" wrapText="1"/>
    </xf>
    <xf numFmtId="0" fontId="89" fillId="0" borderId="71" xfId="8" applyFont="1" applyBorder="1" applyAlignment="1">
      <alignment horizontal="right"/>
    </xf>
    <xf numFmtId="0" fontId="89" fillId="0" borderId="13" xfId="8" applyFont="1" applyBorder="1" applyAlignment="1">
      <alignment horizontal="right"/>
    </xf>
    <xf numFmtId="0" fontId="89" fillId="0" borderId="12" xfId="8" applyFont="1" applyBorder="1" applyAlignment="1">
      <alignment horizontal="right"/>
    </xf>
    <xf numFmtId="0" fontId="92" fillId="0" borderId="0" xfId="0" applyFont="1" applyAlignment="1">
      <alignment horizontal="left" vertical="top" wrapText="1"/>
    </xf>
    <xf numFmtId="0" fontId="90" fillId="0" borderId="0" xfId="0" applyFont="1" applyAlignment="1">
      <alignment horizontal="left" vertical="top" wrapText="1"/>
    </xf>
    <xf numFmtId="0" fontId="92" fillId="0" borderId="0" xfId="0" applyFont="1" applyAlignment="1">
      <alignment horizontal="left" wrapText="1"/>
    </xf>
    <xf numFmtId="0" fontId="90" fillId="0" borderId="0" xfId="0" applyFont="1" applyAlignment="1">
      <alignment horizontal="left" wrapText="1"/>
    </xf>
    <xf numFmtId="0" fontId="14" fillId="0" borderId="9" xfId="0" applyFont="1" applyBorder="1" applyAlignment="1">
      <alignment horizontal="center"/>
    </xf>
    <xf numFmtId="0" fontId="14" fillId="0" borderId="26" xfId="0" applyFont="1" applyBorder="1" applyAlignment="1">
      <alignment horizontal="center"/>
    </xf>
    <xf numFmtId="0" fontId="14" fillId="0" borderId="31" xfId="0" applyFont="1" applyBorder="1" applyAlignment="1">
      <alignment horizontal="center"/>
    </xf>
    <xf numFmtId="0" fontId="14" fillId="0" borderId="38" xfId="0" applyFont="1" applyBorder="1" applyAlignment="1">
      <alignment horizontal="center" wrapText="1"/>
    </xf>
    <xf numFmtId="0" fontId="14" fillId="0" borderId="33" xfId="0" applyFont="1" applyBorder="1" applyAlignment="1">
      <alignment horizontal="center" wrapText="1"/>
    </xf>
    <xf numFmtId="0" fontId="9" fillId="0" borderId="28" xfId="0" applyFont="1" applyBorder="1" applyAlignment="1">
      <alignment horizontal="center"/>
    </xf>
    <xf numFmtId="0" fontId="9" fillId="0" borderId="11" xfId="0" applyFont="1" applyBorder="1" applyAlignment="1">
      <alignment horizontal="center"/>
    </xf>
    <xf numFmtId="0" fontId="18" fillId="0" borderId="0" xfId="0" applyFont="1" applyAlignment="1">
      <alignment horizontal="left"/>
    </xf>
    <xf numFmtId="0" fontId="14" fillId="0" borderId="0" xfId="0" applyFont="1" applyAlignment="1">
      <alignment horizontal="center" wrapText="1"/>
    </xf>
    <xf numFmtId="0" fontId="34" fillId="0" borderId="0" xfId="0" applyFont="1" applyAlignment="1">
      <alignment horizontal="center"/>
    </xf>
    <xf numFmtId="0" fontId="87" fillId="0" borderId="0" xfId="0" applyFont="1" applyAlignment="1">
      <alignment horizontal="left" wrapText="1"/>
    </xf>
    <xf numFmtId="0" fontId="26" fillId="0" borderId="0" xfId="0" applyFont="1" applyAlignment="1">
      <alignment horizontal="left" vertical="top" wrapText="1"/>
    </xf>
    <xf numFmtId="0" fontId="21" fillId="0" borderId="0" xfId="0" applyFont="1" applyAlignment="1">
      <alignment horizontal="left" vertical="top" wrapText="1"/>
    </xf>
    <xf numFmtId="0" fontId="85" fillId="0" borderId="26" xfId="0" applyFont="1" applyBorder="1" applyAlignment="1">
      <alignment horizontal="center" wrapText="1"/>
    </xf>
    <xf numFmtId="0" fontId="85" fillId="0" borderId="11" xfId="0" applyFont="1" applyBorder="1" applyAlignment="1">
      <alignment horizontal="center" wrapText="1"/>
    </xf>
    <xf numFmtId="0" fontId="85" fillId="0" borderId="9" xfId="0" applyFont="1" applyBorder="1" applyAlignment="1">
      <alignment horizontal="center" wrapText="1"/>
    </xf>
    <xf numFmtId="0" fontId="85" fillId="0" borderId="31" xfId="0" applyFont="1" applyBorder="1" applyAlignment="1">
      <alignment horizontal="center" wrapText="1"/>
    </xf>
    <xf numFmtId="0" fontId="85" fillId="0" borderId="38" xfId="0" applyFont="1" applyBorder="1" applyAlignment="1">
      <alignment horizontal="center" vertical="center" wrapText="1"/>
    </xf>
    <xf numFmtId="0" fontId="85" fillId="0" borderId="33" xfId="0" applyFont="1" applyBorder="1" applyAlignment="1">
      <alignment horizontal="center" vertical="center" wrapText="1"/>
    </xf>
    <xf numFmtId="0" fontId="85" fillId="0" borderId="47" xfId="0" applyFont="1" applyBorder="1" applyAlignment="1">
      <alignment horizontal="center"/>
    </xf>
    <xf numFmtId="0" fontId="85" fillId="0" borderId="66" xfId="0" applyFont="1" applyBorder="1" applyAlignment="1">
      <alignment horizontal="center"/>
    </xf>
    <xf numFmtId="0" fontId="34" fillId="0" borderId="0" xfId="0" applyFont="1" applyAlignment="1">
      <alignment horizontal="left"/>
    </xf>
    <xf numFmtId="0" fontId="61" fillId="4" borderId="0" xfId="0" applyFont="1" applyFill="1" applyAlignment="1">
      <alignment horizontal="left" vertical="center"/>
    </xf>
    <xf numFmtId="0" fontId="61" fillId="4" borderId="0" xfId="0" applyFont="1" applyFill="1" applyAlignment="1">
      <alignment horizontal="left"/>
    </xf>
    <xf numFmtId="0" fontId="63" fillId="0" borderId="0" xfId="0" applyFont="1" applyAlignment="1">
      <alignment horizontal="left" vertical="center" wrapText="1"/>
    </xf>
    <xf numFmtId="0" fontId="63" fillId="0" borderId="0" xfId="0" applyFont="1" applyAlignment="1">
      <alignment horizontal="left" wrapText="1"/>
    </xf>
    <xf numFmtId="0" fontId="63" fillId="0" borderId="0" xfId="0" applyFont="1" applyAlignment="1">
      <alignment horizontal="left"/>
    </xf>
    <xf numFmtId="0" fontId="61" fillId="4" borderId="0" xfId="0" applyFont="1" applyFill="1" applyAlignment="1">
      <alignment horizontal="left" vertical="center" wrapText="1"/>
    </xf>
    <xf numFmtId="0" fontId="50" fillId="7" borderId="43" xfId="0" applyFont="1" applyFill="1" applyBorder="1" applyAlignment="1">
      <alignment horizontal="center"/>
    </xf>
    <xf numFmtId="0" fontId="50" fillId="7" borderId="16" xfId="0" applyFont="1" applyFill="1" applyBorder="1" applyAlignment="1">
      <alignment horizontal="center"/>
    </xf>
    <xf numFmtId="0" fontId="50" fillId="7" borderId="5" xfId="0" applyFont="1" applyFill="1" applyBorder="1" applyAlignment="1">
      <alignment horizontal="center"/>
    </xf>
    <xf numFmtId="0" fontId="42" fillId="7" borderId="43" xfId="0" applyFont="1" applyFill="1" applyBorder="1" applyAlignment="1">
      <alignment horizontal="center"/>
    </xf>
    <xf numFmtId="0" fontId="42" fillId="7" borderId="5" xfId="0" applyFont="1" applyFill="1" applyBorder="1" applyAlignment="1">
      <alignment horizontal="center"/>
    </xf>
    <xf numFmtId="0" fontId="58" fillId="0" borderId="0" xfId="0" applyFont="1" applyAlignment="1">
      <alignment horizontal="left"/>
    </xf>
  </cellXfs>
  <cellStyles count="11">
    <cellStyle name="Bad" xfId="10" builtinId="27"/>
    <cellStyle name="Hyperlink 2" xfId="6" xr:uid="{00000000-0005-0000-0000-000002000000}"/>
    <cellStyle name="Normal" xfId="0" builtinId="0"/>
    <cellStyle name="Normal 2" xfId="5" xr:uid="{00000000-0005-0000-0000-000004000000}"/>
    <cellStyle name="Normal 2 2" xfId="9" xr:uid="{9F48C6D6-E3CC-44C7-ADC0-A94FA3048157}"/>
    <cellStyle name="Normal 2 2 2" xfId="7" xr:uid="{CB2D8E80-7CCC-4ACF-B8E1-A1CDEF644031}"/>
    <cellStyle name="Normal 2 3" xfId="3" xr:uid="{00000000-0005-0000-0000-000005000000}"/>
    <cellStyle name="Normal 3" xfId="2" xr:uid="{00000000-0005-0000-0000-000006000000}"/>
    <cellStyle name="Normal 4" xfId="8" xr:uid="{8C074B86-E1FC-46C2-BAA3-992D01B9FDFB}"/>
    <cellStyle name="Normal 4 2" xfId="1" xr:uid="{00000000-0005-0000-0000-000007000000}"/>
    <cellStyle name="Percent" xfId="4" builtinId="5"/>
  </cellStyles>
  <dxfs count="6">
    <dxf>
      <font>
        <b/>
        <i val="0"/>
        <strike val="0"/>
      </font>
    </dxf>
    <dxf>
      <numFmt numFmtId="178" formatCode="&quot;&quot;"/>
    </dxf>
    <dxf>
      <numFmt numFmtId="178" formatCode="&quot;&quot;"/>
    </dxf>
    <dxf>
      <numFmt numFmtId="5" formatCode="#,##0_);\(#,##0\)"/>
    </dxf>
    <dxf>
      <numFmt numFmtId="15" formatCode="0.00E+00"/>
    </dxf>
    <dxf>
      <numFmt numFmtId="15" formatCode="0.00E+00"/>
    </dxf>
  </dxfs>
  <tableStyles count="0" defaultTableStyle="TableStyleMedium2" defaultPivotStyle="PivotStyleLight16"/>
  <colors>
    <mruColors>
      <color rgb="FFFFCCCC"/>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9" Type="http://schemas.microsoft.com/office/2017/10/relationships/person" Target="persons/person.xml"/><Relationship Id="rId21" Type="http://schemas.openxmlformats.org/officeDocument/2006/relationships/worksheet" Target="worksheets/sheet21.xml"/><Relationship Id="rId34" Type="http://schemas.openxmlformats.org/officeDocument/2006/relationships/externalLink" Target="externalLinks/externalLink10.xml"/><Relationship Id="rId42"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5.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8.xml"/><Relationship Id="rId37" Type="http://schemas.openxmlformats.org/officeDocument/2006/relationships/sharedStrings" Target="sharedStrings.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4.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7.xml"/><Relationship Id="rId44"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3.xml"/><Relationship Id="rId30" Type="http://schemas.openxmlformats.org/officeDocument/2006/relationships/externalLink" Target="externalLinks/externalLink6.xml"/><Relationship Id="rId35" Type="http://schemas.openxmlformats.org/officeDocument/2006/relationships/theme" Target="theme/theme1.xml"/><Relationship Id="rId43"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33" Type="http://schemas.openxmlformats.org/officeDocument/2006/relationships/externalLink" Target="externalLinks/externalLink9.xml"/><Relationship Id="rId38"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120</xdr:row>
      <xdr:rowOff>0</xdr:rowOff>
    </xdr:from>
    <xdr:to>
      <xdr:col>7</xdr:col>
      <xdr:colOff>132350</xdr:colOff>
      <xdr:row>147</xdr:row>
      <xdr:rowOff>75612</xdr:rowOff>
    </xdr:to>
    <xdr:pic>
      <xdr:nvPicPr>
        <xdr:cNvPr id="14" name="Picture 13">
          <a:extLst>
            <a:ext uri="{FF2B5EF4-FFF2-40B4-BE49-F238E27FC236}">
              <a16:creationId xmlns:a16="http://schemas.microsoft.com/office/drawing/2014/main" id="{40B93FE8-365B-4487-BD91-0226B7D20D69}"/>
            </a:ext>
          </a:extLst>
        </xdr:cNvPr>
        <xdr:cNvPicPr>
          <a:picLocks noChangeAspect="1"/>
        </xdr:cNvPicPr>
      </xdr:nvPicPr>
      <xdr:blipFill>
        <a:blip xmlns:r="http://schemas.openxmlformats.org/officeDocument/2006/relationships" r:embed="rId1"/>
        <a:stretch>
          <a:fillRect/>
        </a:stretch>
      </xdr:blipFill>
      <xdr:spPr>
        <a:xfrm>
          <a:off x="762000" y="18529300"/>
          <a:ext cx="8000000" cy="470476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114300</xdr:colOff>
      <xdr:row>0</xdr:row>
      <xdr:rowOff>66675</xdr:rowOff>
    </xdr:from>
    <xdr:to>
      <xdr:col>0</xdr:col>
      <xdr:colOff>600075</xdr:colOff>
      <xdr:row>0</xdr:row>
      <xdr:rowOff>355909</xdr:rowOff>
    </xdr:to>
    <xdr:pic>
      <xdr:nvPicPr>
        <xdr:cNvPr id="3" name="Picture 1">
          <a:extLst>
            <a:ext uri="{FF2B5EF4-FFF2-40B4-BE49-F238E27FC236}">
              <a16:creationId xmlns:a16="http://schemas.microsoft.com/office/drawing/2014/main" id="{FE0E5AA6-D559-4F7D-8C13-354B248D7C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66675"/>
          <a:ext cx="485775" cy="2892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114300</xdr:colOff>
      <xdr:row>0</xdr:row>
      <xdr:rowOff>66675</xdr:rowOff>
    </xdr:from>
    <xdr:to>
      <xdr:col>0</xdr:col>
      <xdr:colOff>600075</xdr:colOff>
      <xdr:row>0</xdr:row>
      <xdr:rowOff>355909</xdr:rowOff>
    </xdr:to>
    <xdr:pic>
      <xdr:nvPicPr>
        <xdr:cNvPr id="4" name="Picture 1">
          <a:extLst>
            <a:ext uri="{FF2B5EF4-FFF2-40B4-BE49-F238E27FC236}">
              <a16:creationId xmlns:a16="http://schemas.microsoft.com/office/drawing/2014/main" id="{70C799D8-1A73-4388-9809-B5A27F9CC0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66675"/>
          <a:ext cx="485775" cy="2892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114300</xdr:colOff>
      <xdr:row>0</xdr:row>
      <xdr:rowOff>66675</xdr:rowOff>
    </xdr:from>
    <xdr:to>
      <xdr:col>0</xdr:col>
      <xdr:colOff>600075</xdr:colOff>
      <xdr:row>0</xdr:row>
      <xdr:rowOff>355909</xdr:rowOff>
    </xdr:to>
    <xdr:pic>
      <xdr:nvPicPr>
        <xdr:cNvPr id="2" name="Picture 1">
          <a:extLst>
            <a:ext uri="{FF2B5EF4-FFF2-40B4-BE49-F238E27FC236}">
              <a16:creationId xmlns:a16="http://schemas.microsoft.com/office/drawing/2014/main" id="{D4B7C9FC-A537-4866-8775-E05DEEED95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66675"/>
          <a:ext cx="485775" cy="2892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114300</xdr:colOff>
      <xdr:row>0</xdr:row>
      <xdr:rowOff>66675</xdr:rowOff>
    </xdr:from>
    <xdr:to>
      <xdr:col>0</xdr:col>
      <xdr:colOff>600075</xdr:colOff>
      <xdr:row>0</xdr:row>
      <xdr:rowOff>355909</xdr:rowOff>
    </xdr:to>
    <xdr:pic>
      <xdr:nvPicPr>
        <xdr:cNvPr id="5" name="Picture 1">
          <a:extLst>
            <a:ext uri="{FF2B5EF4-FFF2-40B4-BE49-F238E27FC236}">
              <a16:creationId xmlns:a16="http://schemas.microsoft.com/office/drawing/2014/main" id="{1B9D4EC1-5A95-49F1-ABF8-8CB23C291D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66675"/>
          <a:ext cx="485775" cy="2892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8.1.2\p\Documents%20and%20Settings\laura.rose\My%20Documents\Misc%202\CC%20Actual%20Emissions.xls" TargetMode="External"/></Relationships>
</file>

<file path=xl/externalLinks/_rels/externalLink10.xml.rels><?xml version="1.0" encoding="UTF-8" standalone="yes"?>
<Relationships xmlns="http://schemas.openxmlformats.org/package/2006/relationships"><Relationship Id="rId2" Type="http://schemas.openxmlformats.org/officeDocument/2006/relationships/externalLinkPath" Target="https://tciusa.sharepoint.com/sites/Amazon/Shared%20Documents/OR%20PDX/All%20Projects/PDX04/09%20Toxics/2024-07%20CAO%20G2%20Call%20In/07%20Models/2024-0918/PDX04%20CAO%20Emission%20Inventory%20v2.0-PTE.xlsx" TargetMode="External"/><Relationship Id="rId1" Type="http://schemas.openxmlformats.org/officeDocument/2006/relationships/externalLinkPath" Target="/sites/Amazon/Shared%20Documents/OR%20PDX/All%20Projects/PDX04/09%20Toxics/2024-07%20CAO%20G2%20Call%20In/09%20Model%20Report/Appendix%20C,%20E,%20F%20&amp;%20G/PDX04%20CAO%20Emission%20Inventory%20v2.0-PTE.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LOAD"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amily%20Care/KLEENEX%20Prem%20Products/%20MOIST%20COTTONELLE/FMW%20(Folded%20Flushable%20Moist%20Wipes)/FMW%20Trade%20and%20Volumes/2000%20V&amp;T%20by%20Month/2000%208-M%20FMW%20Volumes%20&amp;%20Trad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ocuments%20and%20Settings/RGolus/Desktop/ConfTBLS1-2-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I:\P\01\01005\Excel\FLAR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sites/Amazon/Shared%20Documents/OR/All%20Projects/203801.0019%20%202020%20EnvE/05%20%20Application%20Forms/PDX109/AQ405CAO%20v1.0.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P/11/111901.0053%20-%20Placid%20ICR%20Component%202/Deliverables/Refinery_Wastewater_Emissions_Tool%20v1.2.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Kcfiles\SHARE\NACP\Customer%20Development\Web\CustomerBusDev\BusinessPlanning\VFF\2013\11%20Nov\Roll%20Products\Final%20Files\13%20Nov%20FCC%20-%20VFF%20(Final).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Adult-Fem%20Care/AFC%20Workstream/Customer%20Dev/Forecasts/Volumes/Quarterly%20Forecasts/September%202005/2005-2006%20SEPTEMBER%20AC%20FC%20Volumes/BFA%20Forecast/March-August%2005%20BF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 Data"/>
      <sheetName val="ES Option III"/>
      <sheetName val="ES Page 3"/>
      <sheetName val="Input Data"/>
      <sheetName val="Summary"/>
      <sheetName val="CC Boilers"/>
      <sheetName val="CC CT's"/>
      <sheetName val="CC Coal Handling"/>
      <sheetName val="CC Coal Pile Wind Errosion"/>
      <sheetName val="MH Coal Pile"/>
      <sheetName val="MH Fly Ash"/>
      <sheetName val="Page 2"/>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creening Risk--&gt;"/>
      <sheetName val="EF Determination"/>
      <sheetName val="Screening Emission Calculations"/>
      <sheetName val="Model Results --&gt;"/>
      <sheetName val="Model Results Summary - PDX109"/>
      <sheetName val="Reference--&gt;"/>
      <sheetName val="Criteria 39tpy"/>
      <sheetName val="ODEQ Emissions Factors"/>
      <sheetName val="2019 Stack Test"/>
    </sheetNames>
    <sheetDataSet>
      <sheetData sheetId="0" refreshError="1"/>
      <sheetData sheetId="1" refreshError="1"/>
      <sheetData sheetId="2" refreshError="1"/>
      <sheetData sheetId="3" refreshError="1"/>
      <sheetData sheetId="4" refreshError="1"/>
      <sheetData sheetId="5" refreshError="1"/>
      <sheetData sheetId="6">
        <row r="7">
          <cell r="I7">
            <v>2.3380000000000001E-2</v>
          </cell>
        </row>
        <row r="8">
          <cell r="I8">
            <v>2.3379999999999998E-2</v>
          </cell>
        </row>
        <row r="9">
          <cell r="I9">
            <v>2.3380000000000001E-2</v>
          </cell>
        </row>
        <row r="10">
          <cell r="I10">
            <v>2.3379999999999998E-2</v>
          </cell>
        </row>
        <row r="11">
          <cell r="I11">
            <v>2.3380000000000001E-2</v>
          </cell>
        </row>
        <row r="12">
          <cell r="I12">
            <v>1.69752457004105E-2</v>
          </cell>
        </row>
        <row r="13">
          <cell r="I13">
            <v>2.3380000000000001E-2</v>
          </cell>
        </row>
        <row r="14">
          <cell r="I14">
            <v>0.23473684210526316</v>
          </cell>
        </row>
        <row r="15">
          <cell r="I15">
            <v>2.3379999999999998E-2</v>
          </cell>
        </row>
      </sheetData>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AD"/>
      <sheetName val="VP Calc"/>
      <sheetName val="Sheet1"/>
      <sheetName val="Ap-42 Ref Tables"/>
      <sheetName val="DATA"/>
      <sheetName val="SIEVE PLOT"/>
      <sheetName val="LHC 7 Boiler"/>
      <sheetName val="POP"/>
      <sheetName val="CapPress"/>
      <sheetName val="#REF"/>
      <sheetName val="fuel"/>
      <sheetName val="Drop Down Lists"/>
      <sheetName val="A-4 Sewers 4,7,5"/>
      <sheetName val="Summary 09"/>
      <sheetName val="Speciation (Kelloggs)"/>
      <sheetName val="BOILER-1"/>
      <sheetName val="PLANER-1"/>
      <sheetName val="Calculations"/>
      <sheetName val="Labor"/>
      <sheetName val="Exchangers R4"/>
      <sheetName val="REACTION LIST"/>
      <sheetName val="Filters R4"/>
      <sheetName val="Assumption"/>
      <sheetName val="PUMPS R4"/>
      <sheetName val="A-1"/>
      <sheetName val="Vacuum Trucks"/>
      <sheetName val="Table 3-1"/>
      <sheetName val="Drop Down List"/>
      <sheetName val="Tank speciations"/>
      <sheetName val="INDE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lts"/>
      <sheetName val="To-Do's"/>
      <sheetName val="Sheet1"/>
      <sheetName val="Market Share"/>
      <sheetName val="Mix Summary"/>
      <sheetName val="Volume Comparisons"/>
      <sheetName val="TRADE COMPARISONS"/>
      <sheetName val="Variable Trade Summary"/>
      <sheetName val="Utilization Rate History"/>
      <sheetName val="1999 CMF Calculation"/>
      <sheetName val="BREAK"/>
      <sheetName val="1999 Volumes "/>
      <sheetName val="1999 Trade Spending"/>
      <sheetName val="Ship Rate"/>
      <sheetName val="VEF &amp; CSP 2000 &amp; 2001 Adjstmnt"/>
      <sheetName val="TRADE - Trial Size Shipper Est"/>
      <sheetName val="2000 Volumes"/>
      <sheetName val="3-M Comparison"/>
      <sheetName val="Trade Summary"/>
      <sheetName val="Bracket Pricing"/>
      <sheetName val="High Low-B&amp;B"/>
      <sheetName val="Pollutant Lookup"/>
      <sheetName val="REF - Pollutant Lookup"/>
      <sheetName val="Site Specific Gen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1">
          <cell r="A1" t="str">
            <v>1999 KLEENEX COTTONELLE TOILET PAPER</v>
          </cell>
        </row>
        <row r="3">
          <cell r="A3" t="str">
            <v>MSU VOLUME</v>
          </cell>
        </row>
        <row r="4">
          <cell r="A4" t="str">
            <v>Total 1999 Volume =</v>
          </cell>
          <cell r="B4">
            <v>16350.000451098374</v>
          </cell>
          <cell r="C4" t="str">
            <v>MSU</v>
          </cell>
          <cell r="AE4" t="str">
            <v>PERCENT MIX</v>
          </cell>
          <cell r="AN4" t="str">
            <v>CASES (OOO)</v>
          </cell>
          <cell r="AW4" t="str">
            <v>VARIABLE CONTRIBUTION</v>
          </cell>
        </row>
        <row r="5">
          <cell r="A5">
            <v>-229.99954890182562</v>
          </cell>
          <cell r="AA5">
            <v>2000</v>
          </cell>
        </row>
        <row r="6">
          <cell r="A6">
            <v>30.000000000199861</v>
          </cell>
          <cell r="B6" t="str">
            <v>PROD</v>
          </cell>
          <cell r="C6" t="str">
            <v>ACT</v>
          </cell>
          <cell r="D6" t="str">
            <v>ACT</v>
          </cell>
          <cell r="E6" t="str">
            <v>ACT</v>
          </cell>
          <cell r="F6" t="str">
            <v>ACT</v>
          </cell>
          <cell r="G6" t="str">
            <v>ACT</v>
          </cell>
          <cell r="H6" t="str">
            <v>ACT</v>
          </cell>
          <cell r="I6" t="str">
            <v>ACT</v>
          </cell>
          <cell r="J6" t="str">
            <v>ACT</v>
          </cell>
          <cell r="K6" t="str">
            <v>ACT</v>
          </cell>
          <cell r="L6" t="str">
            <v>CDM</v>
          </cell>
          <cell r="M6" t="str">
            <v>CDM</v>
          </cell>
          <cell r="N6" t="str">
            <v>FCST</v>
          </cell>
          <cell r="U6" t="str">
            <v>TOTAL</v>
          </cell>
          <cell r="Y6" t="str">
            <v>TOTAL</v>
          </cell>
          <cell r="Z6" t="str">
            <v>TOTAL</v>
          </cell>
          <cell r="AA6" t="str">
            <v>% Splits</v>
          </cell>
          <cell r="AB6" t="str">
            <v>% Split</v>
          </cell>
          <cell r="AC6" t="str">
            <v>% Split</v>
          </cell>
          <cell r="AI6" t="str">
            <v>TOTAL</v>
          </cell>
          <cell r="AJ6" t="str">
            <v>TOTAL</v>
          </cell>
          <cell r="AK6" t="str">
            <v>TOTAL</v>
          </cell>
          <cell r="AM6" t="str">
            <v>SU/</v>
          </cell>
          <cell r="AR6" t="str">
            <v>TOTAL</v>
          </cell>
          <cell r="AS6" t="str">
            <v>TOTAL</v>
          </cell>
          <cell r="AT6" t="str">
            <v>TOTAL</v>
          </cell>
          <cell r="AV6" t="str">
            <v xml:space="preserve">Contribution </v>
          </cell>
          <cell r="BA6" t="str">
            <v>TOTAL</v>
          </cell>
          <cell r="BB6" t="str">
            <v>TOTAL</v>
          </cell>
          <cell r="BC6" t="str">
            <v>TOTAL</v>
          </cell>
        </row>
        <row r="7">
          <cell r="B7" t="str">
            <v>LINE #</v>
          </cell>
          <cell r="C7" t="str">
            <v>JAN</v>
          </cell>
          <cell r="D7" t="str">
            <v>FEB</v>
          </cell>
          <cell r="E7" t="str">
            <v>MAR</v>
          </cell>
          <cell r="F7" t="str">
            <v>APR</v>
          </cell>
          <cell r="G7" t="str">
            <v>MAY</v>
          </cell>
          <cell r="H7" t="str">
            <v>JUN</v>
          </cell>
          <cell r="I7" t="str">
            <v>JUL</v>
          </cell>
          <cell r="J7" t="str">
            <v>AUG</v>
          </cell>
          <cell r="K7" t="str">
            <v>SEP</v>
          </cell>
          <cell r="L7" t="str">
            <v>OCT</v>
          </cell>
          <cell r="M7" t="str">
            <v>NOV</v>
          </cell>
          <cell r="N7" t="str">
            <v>DEC</v>
          </cell>
          <cell r="P7" t="str">
            <v>Q1</v>
          </cell>
          <cell r="Q7" t="str">
            <v>Q2</v>
          </cell>
          <cell r="R7" t="str">
            <v>Q3</v>
          </cell>
          <cell r="S7" t="str">
            <v>Q4</v>
          </cell>
          <cell r="U7">
            <v>1999</v>
          </cell>
          <cell r="Y7">
            <v>2000</v>
          </cell>
          <cell r="Z7">
            <v>2001</v>
          </cell>
          <cell r="AA7">
            <v>2001</v>
          </cell>
          <cell r="AB7" t="str">
            <v>Budget</v>
          </cell>
          <cell r="AC7">
            <v>1998</v>
          </cell>
          <cell r="AE7" t="str">
            <v>Q1</v>
          </cell>
          <cell r="AF7" t="str">
            <v>Q2</v>
          </cell>
          <cell r="AG7" t="str">
            <v>Q3</v>
          </cell>
          <cell r="AH7" t="str">
            <v>Q4</v>
          </cell>
          <cell r="AI7">
            <v>1999</v>
          </cell>
          <cell r="AJ7">
            <v>2000</v>
          </cell>
          <cell r="AK7">
            <v>2001</v>
          </cell>
          <cell r="AM7" t="str">
            <v>CASES</v>
          </cell>
          <cell r="AN7" t="str">
            <v>Q1</v>
          </cell>
          <cell r="AO7" t="str">
            <v>Q2</v>
          </cell>
          <cell r="AP7" t="str">
            <v>Q3</v>
          </cell>
          <cell r="AQ7" t="str">
            <v>Q4</v>
          </cell>
          <cell r="AR7">
            <v>1999</v>
          </cell>
          <cell r="AS7">
            <v>2000</v>
          </cell>
          <cell r="AT7">
            <v>2001</v>
          </cell>
          <cell r="AV7" t="str">
            <v>Margin By Code</v>
          </cell>
          <cell r="AW7" t="str">
            <v>Q1</v>
          </cell>
          <cell r="AX7" t="str">
            <v>Q2</v>
          </cell>
          <cell r="AY7" t="str">
            <v>Q3</v>
          </cell>
          <cell r="AZ7" t="str">
            <v>Q4</v>
          </cell>
          <cell r="BA7">
            <v>1999</v>
          </cell>
          <cell r="BB7">
            <v>2000</v>
          </cell>
          <cell r="BC7">
            <v>2001</v>
          </cell>
        </row>
        <row r="8">
          <cell r="A8" t="str">
            <v>COTTONELLE - CACTUS</v>
          </cell>
        </row>
        <row r="9">
          <cell r="A9" t="str">
            <v>Total 2-pk Regular Roll</v>
          </cell>
        </row>
        <row r="10">
          <cell r="A10" t="str">
            <v>2-pk 280</v>
          </cell>
          <cell r="B10">
            <v>61000</v>
          </cell>
        </row>
        <row r="12">
          <cell r="A12" t="str">
            <v>Total 4-pk Regular Roll</v>
          </cell>
        </row>
        <row r="13">
          <cell r="A13" t="str">
            <v>4-pk 280</v>
          </cell>
          <cell r="B13">
            <v>61110</v>
          </cell>
        </row>
        <row r="14">
          <cell r="A14" t="str">
            <v>4-pk 280 LS(GMA)</v>
          </cell>
          <cell r="B14">
            <v>61600</v>
          </cell>
        </row>
        <row r="15">
          <cell r="A15" t="str">
            <v>4-pk 280 LS (CHEP)-MTO</v>
          </cell>
          <cell r="B15">
            <v>61016</v>
          </cell>
        </row>
        <row r="17">
          <cell r="A17" t="str">
            <v>Total 12-pk Regular Roll</v>
          </cell>
        </row>
        <row r="18">
          <cell r="A18" t="str">
            <v>12-pk 280</v>
          </cell>
          <cell r="B18">
            <v>61500</v>
          </cell>
        </row>
        <row r="19">
          <cell r="A19" t="str">
            <v>12-pk 280 "Tray"LS(GMA) (Apr &amp; Aug includes 61034)</v>
          </cell>
          <cell r="B19">
            <v>61028</v>
          </cell>
        </row>
        <row r="20">
          <cell r="A20" t="str">
            <v>12-pk 280 "Tray"LS(CHEP)-MTO</v>
          </cell>
          <cell r="B20">
            <v>61013</v>
          </cell>
        </row>
        <row r="22">
          <cell r="A22" t="str">
            <v>Total 24-pk Regular Roll</v>
          </cell>
        </row>
        <row r="23">
          <cell r="A23" t="str">
            <v>24-pk 280 Case</v>
          </cell>
          <cell r="B23">
            <v>61031</v>
          </cell>
        </row>
        <row r="24">
          <cell r="A24" t="str">
            <v>24-pk 280 LS (GMA)</v>
          </cell>
          <cell r="B24">
            <v>61098</v>
          </cell>
        </row>
        <row r="26">
          <cell r="A26" t="str">
            <v>Total 36-pk Regular Roll</v>
          </cell>
        </row>
        <row r="27">
          <cell r="A27" t="str">
            <v>36-pk 280 Pallet-MTO</v>
          </cell>
          <cell r="B27">
            <v>61035</v>
          </cell>
        </row>
        <row r="29">
          <cell r="A29" t="str">
            <v>Regular Roll</v>
          </cell>
        </row>
        <row r="31">
          <cell r="A31" t="str">
            <v>Total 4-pk Double Roll</v>
          </cell>
        </row>
        <row r="32">
          <cell r="A32" t="str">
            <v>4-pk 560</v>
          </cell>
          <cell r="B32">
            <v>61115</v>
          </cell>
        </row>
        <row r="33">
          <cell r="A33" t="str">
            <v>4-pk 560 Prints</v>
          </cell>
          <cell r="B33">
            <v>61335</v>
          </cell>
        </row>
        <row r="34">
          <cell r="A34" t="str">
            <v>4-pk 560 LS (GMA)</v>
          </cell>
          <cell r="B34">
            <v>61025</v>
          </cell>
        </row>
        <row r="35">
          <cell r="A35" t="str">
            <v>4-pk 560 LS (CHEP)-MTO</v>
          </cell>
          <cell r="B35">
            <v>61010</v>
          </cell>
        </row>
        <row r="37">
          <cell r="A37" t="str">
            <v>Total 6-pk Double Roll</v>
          </cell>
        </row>
        <row r="38">
          <cell r="A38" t="str">
            <v>6-pk 560</v>
          </cell>
          <cell r="B38">
            <v>61775</v>
          </cell>
        </row>
        <row r="39">
          <cell r="A39" t="str">
            <v>6-pk 560 LS(GMA)</v>
          </cell>
          <cell r="B39">
            <v>61755</v>
          </cell>
        </row>
        <row r="40">
          <cell r="A40" t="str">
            <v>6-pk 560 LS (CHEP)-MTO</v>
          </cell>
          <cell r="B40">
            <v>61019</v>
          </cell>
        </row>
        <row r="42">
          <cell r="A42" t="str">
            <v>Total 12-pk Double Roll</v>
          </cell>
        </row>
        <row r="43">
          <cell r="A43" t="str">
            <v>12-pk 560</v>
          </cell>
          <cell r="B43">
            <v>61800</v>
          </cell>
        </row>
        <row r="44">
          <cell r="A44" t="str">
            <v>12-pk 560 LS (GMA)</v>
          </cell>
          <cell r="B44">
            <v>61841</v>
          </cell>
        </row>
        <row r="46">
          <cell r="A46" t="str">
            <v>Total 16-pk Double Roll</v>
          </cell>
        </row>
        <row r="47">
          <cell r="A47" t="str">
            <v>16-pk 560 Pallet (CHEP)-MTO</v>
          </cell>
          <cell r="B47">
            <v>61820</v>
          </cell>
        </row>
        <row r="48">
          <cell r="A48" t="str">
            <v>16-pk 560 Pallet-MTO</v>
          </cell>
          <cell r="B48">
            <v>61006</v>
          </cell>
        </row>
        <row r="50">
          <cell r="A50" t="str">
            <v>Double Roll</v>
          </cell>
        </row>
        <row r="52">
          <cell r="A52" t="str">
            <v>TOTAL COTTONELLE CACTUS</v>
          </cell>
        </row>
        <row r="55">
          <cell r="A55" t="str">
            <v>COTTONELLE UCTAD</v>
          </cell>
        </row>
        <row r="56">
          <cell r="A56" t="str">
            <v>Total 2-pk Regular Roll</v>
          </cell>
        </row>
        <row r="57">
          <cell r="A57" t="str">
            <v>2-pk 280</v>
          </cell>
          <cell r="B57">
            <v>64508</v>
          </cell>
        </row>
        <row r="59">
          <cell r="A59" t="str">
            <v>Total 4-pk Regular Roll</v>
          </cell>
        </row>
        <row r="60">
          <cell r="A60" t="str">
            <v>4-pk 280</v>
          </cell>
          <cell r="B60">
            <v>64538</v>
          </cell>
        </row>
        <row r="61">
          <cell r="A61" t="str">
            <v>4-pk 280 LS(GMA)</v>
          </cell>
          <cell r="B61">
            <v>64622</v>
          </cell>
        </row>
        <row r="63">
          <cell r="A63" t="str">
            <v>Total 12-pk Regular Roll</v>
          </cell>
        </row>
        <row r="64">
          <cell r="A64" t="str">
            <v>12-pk 280</v>
          </cell>
          <cell r="B64">
            <v>64586</v>
          </cell>
        </row>
        <row r="65">
          <cell r="A65" t="str">
            <v xml:space="preserve">12-pk 280 "Tray"LS(GMA) </v>
          </cell>
          <cell r="B65">
            <v>64785</v>
          </cell>
        </row>
        <row r="67">
          <cell r="A67" t="str">
            <v>Total 24-pk Regular Roll</v>
          </cell>
        </row>
        <row r="68">
          <cell r="A68" t="str">
            <v>24-pk 280 Case</v>
          </cell>
          <cell r="B68">
            <v>64017</v>
          </cell>
        </row>
        <row r="69">
          <cell r="A69" t="str">
            <v>24-pk 280 LS (GMA)</v>
          </cell>
          <cell r="B69">
            <v>64300</v>
          </cell>
        </row>
        <row r="71">
          <cell r="A71" t="str">
            <v>Total 36-Pack Regular Roll</v>
          </cell>
        </row>
        <row r="72">
          <cell r="A72" t="str">
            <v>36-pk 280 Pallet-MTO</v>
          </cell>
          <cell r="B72">
            <v>64106</v>
          </cell>
        </row>
        <row r="74">
          <cell r="A74" t="str">
            <v>Regular Roll</v>
          </cell>
        </row>
        <row r="76">
          <cell r="A76" t="str">
            <v>Total 1-pk Double Roll</v>
          </cell>
        </row>
        <row r="77">
          <cell r="A77" t="str">
            <v>1-pk Display Shipper</v>
          </cell>
          <cell r="B77">
            <v>64008</v>
          </cell>
        </row>
        <row r="79">
          <cell r="A79" t="str">
            <v>Total 4-pk Double Roll</v>
          </cell>
        </row>
        <row r="80">
          <cell r="A80" t="str">
            <v>4-pk 560</v>
          </cell>
          <cell r="B80">
            <v>64001</v>
          </cell>
        </row>
        <row r="81">
          <cell r="A81" t="str">
            <v>4-pk 560 (PDQ)</v>
          </cell>
          <cell r="B81">
            <v>64040</v>
          </cell>
        </row>
        <row r="82">
          <cell r="A82" t="str">
            <v>4-pk 560 LS (GMA)</v>
          </cell>
          <cell r="B82">
            <v>64196</v>
          </cell>
        </row>
        <row r="84">
          <cell r="A84" t="str">
            <v>Total 6-pk Double Roll</v>
          </cell>
        </row>
        <row r="85">
          <cell r="A85" t="str">
            <v>6-pk 560</v>
          </cell>
          <cell r="B85">
            <v>64026</v>
          </cell>
        </row>
        <row r="86">
          <cell r="A86" t="str">
            <v>6-pk 560 LS(GMA)</v>
          </cell>
          <cell r="B86">
            <v>64309</v>
          </cell>
        </row>
        <row r="88">
          <cell r="A88" t="str">
            <v>Total 12-pk Double Roll</v>
          </cell>
        </row>
        <row r="89">
          <cell r="A89" t="str">
            <v>12-pk 560</v>
          </cell>
          <cell r="B89">
            <v>64059</v>
          </cell>
        </row>
        <row r="90">
          <cell r="A90" t="str">
            <v>12-pk 560 LS(GMA)</v>
          </cell>
          <cell r="B90">
            <v>64159</v>
          </cell>
        </row>
        <row r="92">
          <cell r="A92" t="str">
            <v>TOTAL 16-pk Double Roll</v>
          </cell>
        </row>
        <row r="93">
          <cell r="A93" t="str">
            <v>16-pk 560 Pallet</v>
          </cell>
          <cell r="B93">
            <v>64160</v>
          </cell>
        </row>
        <row r="95">
          <cell r="A95" t="str">
            <v>Total 24 Pack Double Roll</v>
          </cell>
        </row>
        <row r="96">
          <cell r="A96" t="str">
            <v>24-pk 560 Pallet</v>
          </cell>
          <cell r="B96">
            <v>64023</v>
          </cell>
        </row>
        <row r="98">
          <cell r="A98" t="str">
            <v>Double Roll</v>
          </cell>
        </row>
        <row r="100">
          <cell r="A100" t="str">
            <v>TOTAL COTTONELLE UCTAD</v>
          </cell>
        </row>
        <row r="102">
          <cell r="A102" t="str">
            <v>COTTONELLE- SPLE</v>
          </cell>
        </row>
        <row r="103">
          <cell r="A103" t="str">
            <v>Total 4-pk Regular Roll</v>
          </cell>
        </row>
        <row r="104">
          <cell r="A104" t="str">
            <v>4-pk 170</v>
          </cell>
          <cell r="B104">
            <v>60655</v>
          </cell>
        </row>
        <row r="106">
          <cell r="A106" t="str">
            <v>Total 12-pk Regular Roll</v>
          </cell>
        </row>
        <row r="107">
          <cell r="A107" t="str">
            <v>12-pk 170</v>
          </cell>
          <cell r="B107">
            <v>60677</v>
          </cell>
        </row>
        <row r="109">
          <cell r="A109" t="str">
            <v>Regular Roll</v>
          </cell>
        </row>
        <row r="111">
          <cell r="A111" t="str">
            <v>Total 4-pk Double Roll</v>
          </cell>
        </row>
        <row r="112">
          <cell r="A112" t="str">
            <v>4-pk 340</v>
          </cell>
          <cell r="B112">
            <v>60610</v>
          </cell>
        </row>
        <row r="113">
          <cell r="A113" t="str">
            <v>4-pk 340 LS(GMA)</v>
          </cell>
          <cell r="B113">
            <v>60006</v>
          </cell>
        </row>
        <row r="114">
          <cell r="A114" t="str">
            <v>4-pk 340 LS(CHEP)-MTO</v>
          </cell>
          <cell r="B114">
            <v>60003</v>
          </cell>
        </row>
        <row r="116">
          <cell r="A116" t="str">
            <v>Total 6-pk Double Roll</v>
          </cell>
        </row>
        <row r="117">
          <cell r="A117" t="str">
            <v>6-pk 340</v>
          </cell>
          <cell r="B117">
            <v>60620</v>
          </cell>
        </row>
        <row r="118">
          <cell r="A118" t="str">
            <v>6-pk 340 LS(GMA)-MTO</v>
          </cell>
          <cell r="B118">
            <v>60031</v>
          </cell>
        </row>
        <row r="119">
          <cell r="A119" t="str">
            <v>6-pk 340 LS (CHEP)-MTO</v>
          </cell>
          <cell r="B119">
            <v>60000</v>
          </cell>
        </row>
        <row r="121">
          <cell r="A121" t="str">
            <v>Total 12-pk Double Roll</v>
          </cell>
        </row>
        <row r="122">
          <cell r="A122" t="str">
            <v>12-pk 340</v>
          </cell>
          <cell r="B122">
            <v>60630</v>
          </cell>
        </row>
        <row r="124">
          <cell r="A124" t="str">
            <v>Double Roll</v>
          </cell>
        </row>
        <row r="126">
          <cell r="A126" t="str">
            <v>TOTAL SPLE</v>
          </cell>
        </row>
        <row r="128">
          <cell r="A128" t="str">
            <v>TOTAL CACTUS</v>
          </cell>
        </row>
        <row r="129">
          <cell r="A129" t="str">
            <v>TOTAL UCTAD</v>
          </cell>
        </row>
        <row r="130">
          <cell r="A130" t="str">
            <v>TOTAL SPLE</v>
          </cell>
        </row>
        <row r="131">
          <cell r="A131" t="str">
            <v>GRAND TOTAL</v>
          </cell>
        </row>
        <row r="135">
          <cell r="A135" t="str">
            <v>UCTAD &amp; CACTUS TOTAL</v>
          </cell>
        </row>
        <row r="136">
          <cell r="A136" t="str">
            <v>REGULAR ROLL</v>
          </cell>
        </row>
        <row r="137">
          <cell r="A137" t="str">
            <v>2-pk</v>
          </cell>
        </row>
        <row r="138">
          <cell r="A138" t="str">
            <v>4-pk</v>
          </cell>
        </row>
        <row r="139">
          <cell r="A139" t="str">
            <v>12-pk</v>
          </cell>
        </row>
        <row r="140">
          <cell r="A140" t="str">
            <v>24-pk</v>
          </cell>
        </row>
        <row r="141">
          <cell r="A141" t="str">
            <v>36-pk</v>
          </cell>
        </row>
        <row r="143">
          <cell r="A143" t="str">
            <v>DOUBLE ROLL</v>
          </cell>
        </row>
        <row r="144">
          <cell r="A144" t="str">
            <v>1-pk</v>
          </cell>
        </row>
        <row r="145">
          <cell r="A145" t="str">
            <v>4-pk</v>
          </cell>
        </row>
        <row r="146">
          <cell r="A146" t="str">
            <v>6-pk</v>
          </cell>
        </row>
        <row r="147">
          <cell r="A147" t="str">
            <v>12-pk</v>
          </cell>
        </row>
        <row r="148">
          <cell r="A148" t="str">
            <v>16-pk</v>
          </cell>
        </row>
        <row r="149">
          <cell r="A149" t="str">
            <v>24-pk</v>
          </cell>
        </row>
        <row r="151">
          <cell r="A151" t="str">
            <v>SPLE</v>
          </cell>
        </row>
        <row r="152">
          <cell r="A152" t="str">
            <v>REGULAR ROLL</v>
          </cell>
        </row>
        <row r="153">
          <cell r="A153" t="str">
            <v>4-pk</v>
          </cell>
        </row>
        <row r="154">
          <cell r="A154" t="str">
            <v>12-pk</v>
          </cell>
        </row>
        <row r="156">
          <cell r="A156" t="str">
            <v>DOUBLE ROLL</v>
          </cell>
        </row>
        <row r="157">
          <cell r="A157" t="str">
            <v>4-pk</v>
          </cell>
        </row>
        <row r="158">
          <cell r="A158" t="str">
            <v>6-pk</v>
          </cell>
        </row>
        <row r="159">
          <cell r="A159" t="str">
            <v>12-pk</v>
          </cell>
        </row>
        <row r="161">
          <cell r="A161" t="str">
            <v>GRAND TOTAL</v>
          </cell>
        </row>
        <row r="163">
          <cell r="A163" t="str">
            <v>Monthly Sales Quota</v>
          </cell>
        </row>
        <row r="165">
          <cell r="A165" t="str">
            <v>Shipment Days</v>
          </cell>
        </row>
        <row r="167">
          <cell r="A167" t="str">
            <v>COMPARISON OF DAILY SHIPMENT RATES</v>
          </cell>
        </row>
        <row r="168">
          <cell r="A168" t="str">
            <v>UCTAD &amp; CACTUS TOTAL</v>
          </cell>
        </row>
        <row r="169">
          <cell r="A169" t="str">
            <v>REGULAR ROLL</v>
          </cell>
        </row>
        <row r="170">
          <cell r="A170" t="str">
            <v>2-pk</v>
          </cell>
        </row>
        <row r="171">
          <cell r="A171" t="str">
            <v>4-pk</v>
          </cell>
        </row>
        <row r="172">
          <cell r="A172" t="str">
            <v>12-pk</v>
          </cell>
        </row>
        <row r="173">
          <cell r="A173" t="str">
            <v>24-pk</v>
          </cell>
        </row>
        <row r="174">
          <cell r="A174" t="str">
            <v>36-pk</v>
          </cell>
        </row>
        <row r="176">
          <cell r="A176" t="str">
            <v>DOUBLE ROLL</v>
          </cell>
        </row>
        <row r="177">
          <cell r="A177" t="str">
            <v>1-pk</v>
          </cell>
        </row>
        <row r="178">
          <cell r="A178" t="str">
            <v>4-pk</v>
          </cell>
        </row>
        <row r="179">
          <cell r="A179" t="str">
            <v>6-pk</v>
          </cell>
        </row>
        <row r="180">
          <cell r="A180" t="str">
            <v>12-pk</v>
          </cell>
        </row>
        <row r="181">
          <cell r="A181" t="str">
            <v>16-pk</v>
          </cell>
        </row>
        <row r="182">
          <cell r="A182" t="str">
            <v>24-pk</v>
          </cell>
        </row>
        <row r="184">
          <cell r="A184" t="str">
            <v>SPLE</v>
          </cell>
        </row>
        <row r="185">
          <cell r="A185" t="str">
            <v>REGULAR ROLL</v>
          </cell>
        </row>
        <row r="186">
          <cell r="A186" t="str">
            <v>4-pk</v>
          </cell>
        </row>
        <row r="187">
          <cell r="A187" t="str">
            <v>12-pk</v>
          </cell>
        </row>
        <row r="189">
          <cell r="A189" t="str">
            <v>DOUBLE ROLL</v>
          </cell>
        </row>
        <row r="190">
          <cell r="A190" t="str">
            <v>4-pk</v>
          </cell>
        </row>
        <row r="191">
          <cell r="A191" t="str">
            <v>6-pk</v>
          </cell>
        </row>
        <row r="192">
          <cell r="A192" t="str">
            <v>12-pk</v>
          </cell>
        </row>
        <row r="194">
          <cell r="A194" t="str">
            <v>GRAND TOTAL</v>
          </cell>
        </row>
        <row r="196">
          <cell r="A196" t="str">
            <v>GMA</v>
          </cell>
        </row>
        <row r="197">
          <cell r="A197" t="str">
            <v>CHEP</v>
          </cell>
        </row>
        <row r="198">
          <cell r="A198" t="str">
            <v>CACTUS Display Volume</v>
          </cell>
        </row>
        <row r="199">
          <cell r="A199" t="str">
            <v>Running Total</v>
          </cell>
        </row>
        <row r="201">
          <cell r="A201" t="str">
            <v>GMA</v>
          </cell>
        </row>
        <row r="202">
          <cell r="A202" t="str">
            <v>CHEP</v>
          </cell>
        </row>
        <row r="203">
          <cell r="A203" t="str">
            <v>UCTAD Display Volume</v>
          </cell>
        </row>
        <row r="204">
          <cell r="A204" t="str">
            <v>Running Total</v>
          </cell>
        </row>
        <row r="206">
          <cell r="A206" t="str">
            <v>GMA</v>
          </cell>
        </row>
        <row r="207">
          <cell r="A207" t="str">
            <v>CHEP</v>
          </cell>
        </row>
        <row r="208">
          <cell r="A208" t="str">
            <v>SPLE Display Volume</v>
          </cell>
        </row>
        <row r="209">
          <cell r="A209" t="str">
            <v>Running Total</v>
          </cell>
        </row>
        <row r="211">
          <cell r="A211" t="str">
            <v>Total in SU</v>
          </cell>
        </row>
        <row r="212">
          <cell r="A212" t="str">
            <v>Running Total in SU</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p) DPOD Max 60 (PTE)NewForm"/>
      <sheetName val="Misc Usage"/>
      <sheetName val="Dryer"/>
      <sheetName val="PermitLevels"/>
      <sheetName val="(Disp) DPOD Max 58"/>
      <sheetName val="5year CFF Solution"/>
      <sheetName val="Factor Calc Sheet Less PG"/>
      <sheetName val="5 year planning details"/>
      <sheetName val="Chemical Usage New Ink"/>
    </sheetNames>
    <sheetDataSet>
      <sheetData sheetId="0"/>
      <sheetData sheetId="1"/>
      <sheetData sheetId="2"/>
      <sheetData sheetId="3" refreshError="1"/>
      <sheetData sheetId="4" refreshError="1"/>
      <sheetData sheetId="5">
        <row r="3">
          <cell r="F3">
            <v>0.08</v>
          </cell>
        </row>
        <row r="4">
          <cell r="F4">
            <v>7.5999999999999998E-2</v>
          </cell>
        </row>
        <row r="5">
          <cell r="F5">
            <v>0.1</v>
          </cell>
        </row>
      </sheetData>
      <sheetData sheetId="6" refreshError="1"/>
      <sheetData sheetId="7" refreshError="1"/>
      <sheetData sheetId="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tentials"/>
      <sheetName val="Sheet1"/>
      <sheetName val="Main Flare"/>
      <sheetName val="Actuals-2001"/>
      <sheetName val="Actuals-2000"/>
      <sheetName val="Actuals-99"/>
      <sheetName val="Actuals-98"/>
      <sheetName val=" (Hourly)"/>
    </sheetNames>
    <sheetDataSet>
      <sheetData sheetId="0"/>
      <sheetData sheetId="1"/>
      <sheetData sheetId="2"/>
      <sheetData sheetId="3"/>
      <sheetData sheetId="4"/>
      <sheetData sheetId="5"/>
      <sheetData sheetId="6"/>
      <sheetData sheetId="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 Instructions"/>
      <sheetName val="1. Facility Information"/>
      <sheetName val="2. Emissions Units &amp; Activities"/>
      <sheetName val="3. Pollutant Emissions - EF"/>
      <sheetName val="4. Material Balance Activities"/>
      <sheetName val="5. Pollutant Emissions - MB"/>
      <sheetName val="DEQ Pollutant List"/>
      <sheetName val="RevHistory"/>
    </sheetNames>
    <sheetDataSet>
      <sheetData sheetId="0"/>
      <sheetData sheetId="1"/>
      <sheetData sheetId="2"/>
      <sheetData sheetId="3"/>
      <sheetData sheetId="4"/>
      <sheetData sheetId="5"/>
      <sheetData sheetId="6">
        <row r="617">
          <cell r="D617" t="str">
            <v>nickel</v>
          </cell>
        </row>
        <row r="618">
          <cell r="D618" t="str">
            <v>mineral fiber emissions</v>
          </cell>
        </row>
        <row r="619">
          <cell r="D619" t="str">
            <v>PCB</v>
          </cell>
        </row>
        <row r="620">
          <cell r="D620" t="str">
            <v>PAH</v>
          </cell>
        </row>
        <row r="621">
          <cell r="D621" t="str">
            <v>radionuclides</v>
          </cell>
        </row>
        <row r="622">
          <cell r="D622" t="str">
            <v>radon</v>
          </cell>
        </row>
        <row r="623">
          <cell r="D623" t="str">
            <v>teq</v>
          </cell>
        </row>
        <row r="624">
          <cell r="D624" t="str">
            <v>phthalates</v>
          </cell>
        </row>
        <row r="625">
          <cell r="D625" t="str">
            <v>coke</v>
          </cell>
        </row>
      </sheetData>
      <sheetData sheetId="7"/>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POTW Discharge"/>
      <sheetName val="Wastewater Collection System"/>
      <sheetName val="Weir"/>
      <sheetName val="Oil-Water Separators"/>
      <sheetName val="DAF"/>
      <sheetName val="EQ Tanks"/>
      <sheetName val="Bio. Diff. Aer. Act. Sldg."/>
      <sheetName val="Bio. Mech. Aer. Act. Sldg."/>
      <sheetName val="Quiescent Unit"/>
      <sheetName val="Chemical Properties"/>
      <sheetName val="Tank 945"/>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O TO"/>
      <sheetName val="Checklist"/>
      <sheetName val="NA VOL-GS-TR 11"/>
      <sheetName val="CurrConvRates"/>
      <sheetName val="Delete SKU"/>
      <sheetName val="Add SKU"/>
      <sheetName val="Update SKU Attributes"/>
      <sheetName val="OASISPrd"/>
      <sheetName val="OASISPrc"/>
      <sheetName val="OASISPrdRel"/>
      <sheetName val="ActShip"/>
      <sheetName val="TII Rates"/>
      <sheetName val="TII Rates - CA"/>
      <sheetName val="2012 Base US"/>
      <sheetName val="Sheet1"/>
      <sheetName val="DB US NonConv - SU"/>
      <sheetName val="DB US NonConv - GS &amp; Trade"/>
      <sheetName val="DB US Conv - SU &amp; GS"/>
      <sheetName val="2012 - DB US Conv - SU &amp; GS"/>
      <sheetName val="Trade Recon FCC"/>
      <sheetName val="US Display Conv"/>
      <sheetName val="DB CA Conv - SU &amp; GS"/>
      <sheetName val="2012 - DB CA Conv - SU &amp; GS"/>
      <sheetName val="DB CA NonConv - SU"/>
      <sheetName val="DB CA NonConv - GS &amp; Trade"/>
      <sheetName val="CA Display Conv"/>
      <sheetName val="Inputs for Monthly Fcst"/>
      <sheetName val="NA VOL-GS-TR 12"/>
      <sheetName val="NA VOL-GS-TR 13"/>
      <sheetName val="NA VOL-GS-TR 14"/>
      <sheetName val="NA VOL-GS-TR 15"/>
      <sheetName val="2015 Canada - Updates"/>
      <sheetName val="2013 Base US"/>
      <sheetName val="2014 Base US"/>
      <sheetName val="2013 Base Canada"/>
      <sheetName val="2015 Base US"/>
      <sheetName val="2014 Base Canada"/>
      <sheetName val="ActShip - Paste Beacon Here"/>
      <sheetName val="2013 Base US Values"/>
      <sheetName val="2014 Base US Values"/>
      <sheetName val="2013 Base CA Values"/>
      <sheetName val="2014 CA Base Values"/>
      <sheetName val="2013 USA - Updates"/>
      <sheetName val="2015 Base Canada"/>
      <sheetName val="2014 USA - Updates"/>
      <sheetName val="2013 Canada - Updates"/>
      <sheetName val="2015 USA - Updates"/>
      <sheetName val="2014 Canada - Updates"/>
      <sheetName val="2011 Summary"/>
      <sheetName val="2012 Summary"/>
      <sheetName val="Admin"/>
      <sheetName val="2013 Summary"/>
      <sheetName val="Summary"/>
      <sheetName val="Supporting Page"/>
      <sheetName val="Pr Mnth Recon"/>
      <sheetName val="2014 Summary"/>
      <sheetName val="BFA-EST"/>
      <sheetName val="BFA-USA"/>
      <sheetName val="BFA-CAN"/>
      <sheetName val="2012 Base Canada"/>
      <sheetName val="2012 Canada - Updates"/>
      <sheetName val="2012 USA - Updates"/>
      <sheetName val="APO Dates"/>
    </sheetNames>
    <sheetDataSet>
      <sheetData sheetId="0"/>
      <sheetData sheetId="1"/>
      <sheetData sheetId="2"/>
      <sheetData sheetId="3"/>
      <sheetData sheetId="4"/>
      <sheetData sheetId="5">
        <row r="5">
          <cell r="D5" t="str">
            <v>40922</v>
          </cell>
        </row>
      </sheetData>
      <sheetData sheetId="6"/>
      <sheetData sheetId="7">
        <row r="4">
          <cell r="A4" t="str">
            <v>PRD_ID_PREFIX</v>
          </cell>
          <cell r="B4" t="str">
            <v>PRD_ID</v>
          </cell>
          <cell r="C4" t="str">
            <v>PRD_LINE</v>
          </cell>
          <cell r="D4" t="str">
            <v>STD_UNT_FC</v>
          </cell>
          <cell r="E4" t="str">
            <v>PKG2UOMCNT</v>
          </cell>
          <cell r="F4" t="str">
            <v>PKG1UOMCNT</v>
          </cell>
          <cell r="G4" t="str">
            <v>INVC_DSC</v>
          </cell>
          <cell r="H4" t="str">
            <v>EQUIV_CS</v>
          </cell>
          <cell r="I4" t="str">
            <v>PRDSTATCDE</v>
          </cell>
          <cell r="J4" t="str">
            <v>PRDUOMCDE</v>
          </cell>
          <cell r="K4" t="str">
            <v>PRD_TYPE</v>
          </cell>
          <cell r="L4" t="str">
            <v>PackingCode</v>
          </cell>
          <cell r="M4" t="str">
            <v>ProdCatgy</v>
          </cell>
          <cell r="N4" t="str">
            <v>ProdGrp</v>
          </cell>
          <cell r="O4" t="str">
            <v>ProdSubGrp</v>
          </cell>
          <cell r="P4" t="str">
            <v>PRD_WHERE_SOLD_CDE</v>
          </cell>
          <cell r="Q4" t="str">
            <v>ProdPackingDesc</v>
          </cell>
          <cell r="R4" t="str">
            <v>ProdGroupDesc</v>
          </cell>
        </row>
        <row r="5">
          <cell r="A5" t="str">
            <v>10319</v>
          </cell>
          <cell r="B5" t="str">
            <v>1031901</v>
          </cell>
          <cell r="C5" t="str">
            <v>00000</v>
          </cell>
          <cell r="D5">
            <v>8.6400000000000005E-2</v>
          </cell>
          <cell r="E5">
            <v>108</v>
          </cell>
          <cell r="F5">
            <v>8</v>
          </cell>
          <cell r="G5" t="str">
            <v xml:space="preserve">COTT FRSH RFL 108     </v>
          </cell>
          <cell r="H5">
            <v>1</v>
          </cell>
          <cell r="I5" t="str">
            <v>O</v>
          </cell>
          <cell r="J5" t="str">
            <v>CSE</v>
          </cell>
          <cell r="K5" t="str">
            <v>S</v>
          </cell>
          <cell r="L5" t="str">
            <v>102002010</v>
          </cell>
          <cell r="M5" t="str">
            <v>102</v>
          </cell>
          <cell r="N5" t="str">
            <v>002</v>
          </cell>
          <cell r="O5" t="str">
            <v>010</v>
          </cell>
          <cell r="P5" t="str">
            <v xml:space="preserve">NA </v>
          </cell>
          <cell r="Q5" t="str">
            <v xml:space="preserve">COTT FRSH FMW RFL8/108   </v>
          </cell>
          <cell r="R5" t="str">
            <v>Cott FMW Rfl</v>
          </cell>
        </row>
        <row r="6">
          <cell r="A6" t="str">
            <v>10321</v>
          </cell>
          <cell r="B6" t="str">
            <v>1032100</v>
          </cell>
          <cell r="C6" t="str">
            <v>00000</v>
          </cell>
          <cell r="D6">
            <v>0.28000000000000003</v>
          </cell>
          <cell r="E6">
            <v>108</v>
          </cell>
          <cell r="F6">
            <v>20</v>
          </cell>
          <cell r="G6" t="str">
            <v>COTT SC FMW RFL 108DSP</v>
          </cell>
          <cell r="H6">
            <v>2.5</v>
          </cell>
          <cell r="I6" t="str">
            <v>O</v>
          </cell>
          <cell r="J6" t="str">
            <v>DIS</v>
          </cell>
          <cell r="K6" t="str">
            <v>S</v>
          </cell>
          <cell r="L6" t="str">
            <v>102002011</v>
          </cell>
          <cell r="M6" t="str">
            <v>102</v>
          </cell>
          <cell r="N6" t="str">
            <v>002</v>
          </cell>
          <cell r="O6" t="str">
            <v>011</v>
          </cell>
          <cell r="P6" t="str">
            <v>USA</v>
          </cell>
          <cell r="Q6" t="str">
            <v xml:space="preserve">10321-COTT FRSH RFL108   </v>
          </cell>
          <cell r="R6" t="str">
            <v>Cott FMW Rfl</v>
          </cell>
        </row>
        <row r="7">
          <cell r="A7" t="str">
            <v>10334</v>
          </cell>
          <cell r="B7" t="str">
            <v>1033400</v>
          </cell>
          <cell r="C7" t="str">
            <v>00000</v>
          </cell>
          <cell r="D7">
            <v>5.0540000000000003</v>
          </cell>
          <cell r="E7">
            <v>234</v>
          </cell>
          <cell r="F7">
            <v>216</v>
          </cell>
          <cell r="G7" t="str">
            <v xml:space="preserve">COTT FMW RFL 234 PLT  </v>
          </cell>
          <cell r="H7">
            <v>58.32</v>
          </cell>
          <cell r="I7" t="str">
            <v>O</v>
          </cell>
          <cell r="J7" t="str">
            <v>PLT</v>
          </cell>
          <cell r="K7" t="str">
            <v>S</v>
          </cell>
          <cell r="L7" t="str">
            <v>102002012</v>
          </cell>
          <cell r="M7" t="str">
            <v>102</v>
          </cell>
          <cell r="N7" t="str">
            <v>002</v>
          </cell>
          <cell r="O7" t="str">
            <v>012</v>
          </cell>
          <cell r="P7" t="str">
            <v>CAN</v>
          </cell>
          <cell r="Q7" t="str">
            <v xml:space="preserve">10334-COTT FMW RFL 234   </v>
          </cell>
          <cell r="R7" t="str">
            <v>Cott FMW Rfl</v>
          </cell>
        </row>
        <row r="8">
          <cell r="A8" t="str">
            <v>10358</v>
          </cell>
          <cell r="B8" t="str">
            <v>1035802</v>
          </cell>
          <cell r="C8" t="str">
            <v>00000</v>
          </cell>
          <cell r="D8">
            <v>0.13439999999999999</v>
          </cell>
          <cell r="E8">
            <v>168</v>
          </cell>
          <cell r="F8">
            <v>8</v>
          </cell>
          <cell r="G8" t="str">
            <v xml:space="preserve">COTT FRSH FMW RFL 168 </v>
          </cell>
          <cell r="H8">
            <v>1</v>
          </cell>
          <cell r="I8" t="str">
            <v>A</v>
          </cell>
          <cell r="J8" t="str">
            <v>CSE</v>
          </cell>
          <cell r="K8" t="str">
            <v>S</v>
          </cell>
          <cell r="L8" t="str">
            <v>102002014</v>
          </cell>
          <cell r="M8" t="str">
            <v>102</v>
          </cell>
          <cell r="N8" t="str">
            <v>002</v>
          </cell>
          <cell r="O8" t="str">
            <v>014</v>
          </cell>
          <cell r="P8" t="str">
            <v xml:space="preserve">NA </v>
          </cell>
          <cell r="Q8" t="str">
            <v>COTT FMW RFL 8/168</v>
          </cell>
          <cell r="R8" t="str">
            <v>Cott FMW Rfl</v>
          </cell>
        </row>
        <row r="9">
          <cell r="A9" t="str">
            <v>10529</v>
          </cell>
          <cell r="B9" t="str">
            <v>1052903</v>
          </cell>
          <cell r="C9" t="str">
            <v>00000</v>
          </cell>
          <cell r="D9">
            <v>1.6848000000000001</v>
          </cell>
          <cell r="E9">
            <v>234</v>
          </cell>
          <cell r="F9">
            <v>72</v>
          </cell>
          <cell r="G9" t="str">
            <v xml:space="preserve">COTT FMW RFL 234 PLT  </v>
          </cell>
          <cell r="H9">
            <v>18</v>
          </cell>
          <cell r="I9" t="str">
            <v>A</v>
          </cell>
          <cell r="J9" t="str">
            <v>PLT</v>
          </cell>
          <cell r="K9" t="str">
            <v>S</v>
          </cell>
          <cell r="L9" t="str">
            <v>102002013</v>
          </cell>
          <cell r="M9" t="str">
            <v>102</v>
          </cell>
          <cell r="N9" t="str">
            <v>002</v>
          </cell>
          <cell r="O9" t="str">
            <v>013</v>
          </cell>
          <cell r="P9" t="str">
            <v>CAN</v>
          </cell>
          <cell r="Q9" t="str">
            <v>10529-COTT FMW RFL 234</v>
          </cell>
          <cell r="R9" t="str">
            <v>Cott FMW Rfl</v>
          </cell>
        </row>
        <row r="10">
          <cell r="A10" t="str">
            <v>11726</v>
          </cell>
          <cell r="B10" t="str">
            <v>1172601</v>
          </cell>
          <cell r="C10" t="str">
            <v>00000</v>
          </cell>
          <cell r="D10">
            <v>6.1199999999999997E-2</v>
          </cell>
          <cell r="E10">
            <v>51</v>
          </cell>
          <cell r="F10">
            <v>12</v>
          </cell>
          <cell r="G10" t="str">
            <v xml:space="preserve">SCOTT NAT WIPE TUB 51 </v>
          </cell>
          <cell r="H10">
            <v>1</v>
          </cell>
          <cell r="I10" t="str">
            <v>A</v>
          </cell>
          <cell r="J10" t="str">
            <v>CSE</v>
          </cell>
          <cell r="K10" t="str">
            <v>S</v>
          </cell>
          <cell r="L10" t="str">
            <v>102008004</v>
          </cell>
          <cell r="M10" t="str">
            <v>102</v>
          </cell>
          <cell r="N10" t="str">
            <v>008</v>
          </cell>
          <cell r="O10" t="str">
            <v>004</v>
          </cell>
          <cell r="P10" t="str">
            <v>USA</v>
          </cell>
          <cell r="Q10" t="str">
            <v xml:space="preserve">SCOTT NATWIPE TUB12/51   </v>
          </cell>
          <cell r="R10" t="str">
            <v xml:space="preserve">Scott Naturals FMW Tub   </v>
          </cell>
        </row>
        <row r="11">
          <cell r="A11" t="str">
            <v>11727</v>
          </cell>
          <cell r="B11" t="str">
            <v>1172701</v>
          </cell>
          <cell r="C11" t="str">
            <v>00000</v>
          </cell>
          <cell r="D11">
            <v>8.1600000000000006E-2</v>
          </cell>
          <cell r="E11">
            <v>102</v>
          </cell>
          <cell r="F11">
            <v>8</v>
          </cell>
          <cell r="G11" t="str">
            <v>SCOTT NAT WIPE RFL 102</v>
          </cell>
          <cell r="H11">
            <v>1</v>
          </cell>
          <cell r="I11" t="str">
            <v>A</v>
          </cell>
          <cell r="J11" t="str">
            <v>CSE</v>
          </cell>
          <cell r="K11" t="str">
            <v>S</v>
          </cell>
          <cell r="L11" t="str">
            <v>102010001</v>
          </cell>
          <cell r="M11" t="str">
            <v>102</v>
          </cell>
          <cell r="N11" t="str">
            <v>010</v>
          </cell>
          <cell r="O11" t="str">
            <v>001</v>
          </cell>
          <cell r="P11" t="str">
            <v>USA</v>
          </cell>
          <cell r="Q11" t="str">
            <v xml:space="preserve">SCOTT NAT WIPES RFL102   </v>
          </cell>
          <cell r="R11" t="str">
            <v>Scott Naturals FMW Rf Med</v>
          </cell>
        </row>
        <row r="12">
          <cell r="A12" t="str">
            <v>11728</v>
          </cell>
          <cell r="B12" t="str">
            <v>1172801</v>
          </cell>
          <cell r="C12" t="str">
            <v>00000</v>
          </cell>
          <cell r="D12">
            <v>6.1199999999999997E-2</v>
          </cell>
          <cell r="E12">
            <v>51</v>
          </cell>
          <cell r="F12">
            <v>12</v>
          </cell>
          <cell r="G12" t="str">
            <v xml:space="preserve">SCOTT NAT WIPE RFL 51 </v>
          </cell>
          <cell r="H12">
            <v>1</v>
          </cell>
          <cell r="I12" t="str">
            <v>A</v>
          </cell>
          <cell r="J12" t="str">
            <v>CSE</v>
          </cell>
          <cell r="K12" t="str">
            <v>S</v>
          </cell>
          <cell r="L12" t="str">
            <v>102009004</v>
          </cell>
          <cell r="M12" t="str">
            <v>102</v>
          </cell>
          <cell r="N12" t="str">
            <v>009</v>
          </cell>
          <cell r="O12" t="str">
            <v>004</v>
          </cell>
          <cell r="P12" t="str">
            <v>USA</v>
          </cell>
          <cell r="Q12" t="str">
            <v xml:space="preserve">SCOTT WIPE RFL 12/51     </v>
          </cell>
          <cell r="R12" t="str">
            <v>Scott Naturals FMW Rfl Sm</v>
          </cell>
        </row>
        <row r="13">
          <cell r="A13" t="str">
            <v>11942</v>
          </cell>
          <cell r="B13" t="str">
            <v>1194201</v>
          </cell>
          <cell r="C13" t="str">
            <v>00000</v>
          </cell>
          <cell r="D13">
            <v>0.13600000000000001</v>
          </cell>
          <cell r="E13">
            <v>170</v>
          </cell>
          <cell r="F13">
            <v>8</v>
          </cell>
          <cell r="G13" t="str">
            <v xml:space="preserve">SCOTT NAT WIPE RFL170 </v>
          </cell>
          <cell r="H13">
            <v>1</v>
          </cell>
          <cell r="I13" t="str">
            <v>A</v>
          </cell>
          <cell r="J13" t="str">
            <v>CSE</v>
          </cell>
          <cell r="K13" t="str">
            <v>S</v>
          </cell>
          <cell r="L13" t="str">
            <v>102011001</v>
          </cell>
          <cell r="M13" t="str">
            <v>102</v>
          </cell>
          <cell r="N13" t="str">
            <v>011</v>
          </cell>
          <cell r="O13" t="str">
            <v>001</v>
          </cell>
          <cell r="P13" t="str">
            <v xml:space="preserve">NA </v>
          </cell>
          <cell r="Q13" t="str">
            <v xml:space="preserve">SCOTT NAT WIPES RFL170   </v>
          </cell>
          <cell r="R13" t="str">
            <v>Scott Naturals FMW Rf Lrg</v>
          </cell>
        </row>
        <row r="14">
          <cell r="A14" t="str">
            <v>11961</v>
          </cell>
          <cell r="B14" t="str">
            <v>1196103</v>
          </cell>
          <cell r="C14" t="str">
            <v>00000</v>
          </cell>
          <cell r="D14">
            <v>5.04E-2</v>
          </cell>
          <cell r="E14">
            <v>42</v>
          </cell>
          <cell r="F14">
            <v>12</v>
          </cell>
          <cell r="G14" t="str">
            <v xml:space="preserve">COTT FRSH FMW TUB 42  </v>
          </cell>
          <cell r="H14">
            <v>1</v>
          </cell>
          <cell r="I14" t="str">
            <v>A</v>
          </cell>
          <cell r="J14" t="str">
            <v>CSE</v>
          </cell>
          <cell r="K14" t="str">
            <v>S</v>
          </cell>
          <cell r="L14" t="str">
            <v>102001003</v>
          </cell>
          <cell r="M14" t="str">
            <v>102</v>
          </cell>
          <cell r="N14" t="str">
            <v>001</v>
          </cell>
          <cell r="O14" t="str">
            <v>003</v>
          </cell>
          <cell r="P14" t="str">
            <v xml:space="preserve">NA </v>
          </cell>
          <cell r="Q14" t="str">
            <v xml:space="preserve">COTT FMWPOPUPTUB 36-42   </v>
          </cell>
          <cell r="R14" t="str">
            <v>Cott FMW Tub</v>
          </cell>
        </row>
        <row r="15">
          <cell r="A15" t="str">
            <v>11962</v>
          </cell>
          <cell r="B15" t="str">
            <v>1196203</v>
          </cell>
          <cell r="C15" t="str">
            <v>00000</v>
          </cell>
          <cell r="D15">
            <v>5.04E-2</v>
          </cell>
          <cell r="E15">
            <v>42</v>
          </cell>
          <cell r="F15">
            <v>12</v>
          </cell>
          <cell r="G15" t="str">
            <v xml:space="preserve">COTT FRSH FMW TUB 42  </v>
          </cell>
          <cell r="H15">
            <v>1</v>
          </cell>
          <cell r="I15" t="str">
            <v>A</v>
          </cell>
          <cell r="J15" t="str">
            <v>CSE</v>
          </cell>
          <cell r="K15" t="str">
            <v>S</v>
          </cell>
          <cell r="L15" t="str">
            <v>102001003</v>
          </cell>
          <cell r="M15" t="str">
            <v>102</v>
          </cell>
          <cell r="N15" t="str">
            <v>001</v>
          </cell>
          <cell r="O15" t="str">
            <v>003</v>
          </cell>
          <cell r="P15" t="str">
            <v xml:space="preserve">NA </v>
          </cell>
          <cell r="Q15" t="str">
            <v xml:space="preserve">COTT FMWPOPUPTUB 36-42   </v>
          </cell>
          <cell r="R15" t="str">
            <v>Cott FMW Tub</v>
          </cell>
        </row>
        <row r="16">
          <cell r="A16" t="str">
            <v>11963</v>
          </cell>
          <cell r="B16" t="str">
            <v>1196301</v>
          </cell>
          <cell r="C16" t="str">
            <v>00000</v>
          </cell>
          <cell r="D16">
            <v>5.04E-2</v>
          </cell>
          <cell r="E16">
            <v>42</v>
          </cell>
          <cell r="F16">
            <v>12</v>
          </cell>
          <cell r="G16" t="str">
            <v xml:space="preserve">COTT FRSH FMW RFL 42  </v>
          </cell>
          <cell r="H16">
            <v>1</v>
          </cell>
          <cell r="I16" t="str">
            <v>A</v>
          </cell>
          <cell r="J16" t="str">
            <v>CSE</v>
          </cell>
          <cell r="K16" t="str">
            <v>S</v>
          </cell>
          <cell r="L16" t="str">
            <v>102002015</v>
          </cell>
          <cell r="M16" t="str">
            <v>102</v>
          </cell>
          <cell r="N16" t="str">
            <v>002</v>
          </cell>
          <cell r="O16" t="str">
            <v>015</v>
          </cell>
          <cell r="P16" t="str">
            <v xml:space="preserve">NA </v>
          </cell>
          <cell r="Q16" t="str">
            <v xml:space="preserve">COTT FMWPOP-UPRFL12/42   </v>
          </cell>
          <cell r="R16" t="str">
            <v>Cott FMW Rfl</v>
          </cell>
        </row>
        <row r="17">
          <cell r="A17" t="str">
            <v>11964</v>
          </cell>
          <cell r="B17" t="str">
            <v>1196404</v>
          </cell>
          <cell r="C17" t="str">
            <v>00000</v>
          </cell>
          <cell r="D17">
            <v>4.3200000000000002E-2</v>
          </cell>
          <cell r="E17">
            <v>36</v>
          </cell>
          <cell r="F17">
            <v>12</v>
          </cell>
          <cell r="G17" t="str">
            <v xml:space="preserve">COTT SC FMW TUB 36    </v>
          </cell>
          <cell r="H17">
            <v>1</v>
          </cell>
          <cell r="I17" t="str">
            <v>A</v>
          </cell>
          <cell r="J17" t="str">
            <v>CSE</v>
          </cell>
          <cell r="K17" t="str">
            <v>S</v>
          </cell>
          <cell r="L17" t="str">
            <v>102001003</v>
          </cell>
          <cell r="M17" t="str">
            <v>102</v>
          </cell>
          <cell r="N17" t="str">
            <v>001</v>
          </cell>
          <cell r="O17" t="str">
            <v>003</v>
          </cell>
          <cell r="P17" t="str">
            <v>USA</v>
          </cell>
          <cell r="Q17" t="str">
            <v xml:space="preserve">COTT FMWPOPUPTUB 36-42   </v>
          </cell>
          <cell r="R17" t="str">
            <v>Cott FMW Tub</v>
          </cell>
        </row>
        <row r="18">
          <cell r="A18" t="str">
            <v>11965</v>
          </cell>
          <cell r="B18" t="str">
            <v>1196501</v>
          </cell>
          <cell r="C18" t="str">
            <v>00000</v>
          </cell>
          <cell r="D18">
            <v>5.04E-2</v>
          </cell>
          <cell r="E18">
            <v>42</v>
          </cell>
          <cell r="F18">
            <v>12</v>
          </cell>
          <cell r="G18" t="str">
            <v xml:space="preserve">COTT FRSH FMW RFL 42  </v>
          </cell>
          <cell r="H18">
            <v>1</v>
          </cell>
          <cell r="I18" t="str">
            <v>A</v>
          </cell>
          <cell r="J18" t="str">
            <v>CSE</v>
          </cell>
          <cell r="K18" t="str">
            <v>S</v>
          </cell>
          <cell r="L18" t="str">
            <v>102002016</v>
          </cell>
          <cell r="M18" t="str">
            <v>102</v>
          </cell>
          <cell r="N18" t="str">
            <v>002</v>
          </cell>
          <cell r="O18" t="str">
            <v>016</v>
          </cell>
          <cell r="P18" t="str">
            <v>USA</v>
          </cell>
          <cell r="Q18" t="str">
            <v xml:space="preserve">COTT FMWPOP-UPRFL 42     </v>
          </cell>
          <cell r="R18" t="str">
            <v>Cott FMW Rfl</v>
          </cell>
        </row>
        <row r="19">
          <cell r="A19" t="str">
            <v>11966</v>
          </cell>
          <cell r="B19" t="str">
            <v>1196603</v>
          </cell>
          <cell r="C19" t="str">
            <v>00000</v>
          </cell>
          <cell r="D19">
            <v>4.3200000000000002E-2</v>
          </cell>
          <cell r="E19">
            <v>36</v>
          </cell>
          <cell r="F19">
            <v>12</v>
          </cell>
          <cell r="G19" t="str">
            <v xml:space="preserve">COTT SC FMW TUB 36    </v>
          </cell>
          <cell r="H19">
            <v>1</v>
          </cell>
          <cell r="I19" t="str">
            <v>A</v>
          </cell>
          <cell r="J19" t="str">
            <v>CSE</v>
          </cell>
          <cell r="K19" t="str">
            <v>S</v>
          </cell>
          <cell r="L19" t="str">
            <v>102001007</v>
          </cell>
          <cell r="M19" t="str">
            <v>102</v>
          </cell>
          <cell r="N19" t="str">
            <v>001</v>
          </cell>
          <cell r="O19" t="str">
            <v>007</v>
          </cell>
          <cell r="P19" t="str">
            <v>CAN</v>
          </cell>
          <cell r="Q19" t="str">
            <v xml:space="preserve">COTT FMWPOP-UPTUB12/36   </v>
          </cell>
          <cell r="R19" t="str">
            <v>Cott FMW Tub</v>
          </cell>
        </row>
        <row r="20">
          <cell r="A20" t="str">
            <v>12073</v>
          </cell>
          <cell r="B20" t="str">
            <v>1207303</v>
          </cell>
          <cell r="C20" t="str">
            <v>00000</v>
          </cell>
          <cell r="D20">
            <v>0.251</v>
          </cell>
          <cell r="E20">
            <v>0</v>
          </cell>
          <cell r="F20">
            <v>60</v>
          </cell>
          <cell r="G20" t="str">
            <v xml:space="preserve">COTT FRSH FMW 5CS DSP </v>
          </cell>
          <cell r="H20">
            <v>5</v>
          </cell>
          <cell r="I20" t="str">
            <v>A</v>
          </cell>
          <cell r="J20" t="str">
            <v>DIS</v>
          </cell>
          <cell r="K20" t="str">
            <v>M</v>
          </cell>
          <cell r="L20" t="str">
            <v>102002017</v>
          </cell>
          <cell r="M20" t="str">
            <v>102</v>
          </cell>
          <cell r="N20" t="str">
            <v>002</v>
          </cell>
          <cell r="O20" t="str">
            <v>017</v>
          </cell>
          <cell r="P20" t="str">
            <v xml:space="preserve">NA </v>
          </cell>
          <cell r="Q20" t="str">
            <v xml:space="preserve">12073-COTT FMW MIX DSP   </v>
          </cell>
          <cell r="R20" t="str">
            <v>Cott FMW Rfl</v>
          </cell>
        </row>
        <row r="21">
          <cell r="A21" t="str">
            <v>13286</v>
          </cell>
          <cell r="B21" t="str">
            <v>1328600</v>
          </cell>
          <cell r="C21" t="str">
            <v>00000</v>
          </cell>
          <cell r="D21">
            <v>0.126</v>
          </cell>
          <cell r="E21">
            <v>42</v>
          </cell>
          <cell r="F21">
            <v>30</v>
          </cell>
          <cell r="G21" t="str">
            <v>COTT FRSH FMW 2.5CSDSP</v>
          </cell>
          <cell r="H21">
            <v>2.5</v>
          </cell>
          <cell r="I21" t="str">
            <v>O</v>
          </cell>
          <cell r="J21" t="str">
            <v>DIS</v>
          </cell>
          <cell r="K21" t="str">
            <v>S</v>
          </cell>
          <cell r="L21" t="str">
            <v>102001008</v>
          </cell>
          <cell r="M21" t="str">
            <v>102</v>
          </cell>
          <cell r="N21" t="str">
            <v>001</v>
          </cell>
          <cell r="O21" t="str">
            <v>008</v>
          </cell>
          <cell r="P21" t="str">
            <v xml:space="preserve">NA </v>
          </cell>
          <cell r="Q21" t="str">
            <v xml:space="preserve">13286-COTT FMW 42 TUB    </v>
          </cell>
          <cell r="R21" t="str">
            <v>Cott FMW Tub</v>
          </cell>
        </row>
        <row r="22">
          <cell r="A22" t="str">
            <v>25815</v>
          </cell>
          <cell r="B22" t="str">
            <v>2581501</v>
          </cell>
          <cell r="C22" t="str">
            <v>00000</v>
          </cell>
          <cell r="D22">
            <v>9.6000000000000002E-2</v>
          </cell>
          <cell r="E22">
            <v>120</v>
          </cell>
          <cell r="F22">
            <v>8</v>
          </cell>
          <cell r="G22" t="str">
            <v xml:space="preserve">COTT SC FMW RFL 120   </v>
          </cell>
          <cell r="H22">
            <v>1</v>
          </cell>
          <cell r="I22" t="str">
            <v>A</v>
          </cell>
          <cell r="J22" t="str">
            <v>CSE</v>
          </cell>
          <cell r="K22" t="str">
            <v>S</v>
          </cell>
          <cell r="L22" t="str">
            <v>102002018</v>
          </cell>
          <cell r="M22" t="str">
            <v>102</v>
          </cell>
          <cell r="N22" t="str">
            <v>002</v>
          </cell>
          <cell r="O22" t="str">
            <v>018</v>
          </cell>
          <cell r="P22" t="str">
            <v xml:space="preserve">NA </v>
          </cell>
          <cell r="Q22" t="str">
            <v xml:space="preserve">COTT SC FMW RFL8/120     </v>
          </cell>
          <cell r="R22" t="str">
            <v>Cott FMW Rfl</v>
          </cell>
        </row>
        <row r="23">
          <cell r="A23" t="str">
            <v>30840</v>
          </cell>
          <cell r="B23" t="str">
            <v>3084000</v>
          </cell>
          <cell r="C23" t="str">
            <v>00000</v>
          </cell>
          <cell r="D23">
            <v>3.2256</v>
          </cell>
          <cell r="E23">
            <v>224</v>
          </cell>
          <cell r="F23">
            <v>144</v>
          </cell>
          <cell r="G23" t="str">
            <v xml:space="preserve">COTT FMW BDL 224 PLT  </v>
          </cell>
          <cell r="H23">
            <v>9</v>
          </cell>
          <cell r="I23" t="str">
            <v>O</v>
          </cell>
          <cell r="J23" t="str">
            <v>PLT</v>
          </cell>
          <cell r="K23" t="str">
            <v>S</v>
          </cell>
          <cell r="L23" t="str">
            <v>102002019</v>
          </cell>
          <cell r="M23" t="str">
            <v>102</v>
          </cell>
          <cell r="N23" t="str">
            <v>002</v>
          </cell>
          <cell r="O23" t="str">
            <v>019</v>
          </cell>
          <cell r="P23" t="str">
            <v>USA</v>
          </cell>
          <cell r="Q23" t="str">
            <v xml:space="preserve">30840-COTT FMW BDL 224   </v>
          </cell>
          <cell r="R23" t="str">
            <v>Cott FMW Rfl</v>
          </cell>
        </row>
        <row r="24">
          <cell r="A24" t="str">
            <v>32521</v>
          </cell>
          <cell r="B24" t="str">
            <v>3252100</v>
          </cell>
          <cell r="C24" t="str">
            <v>00000</v>
          </cell>
          <cell r="D24">
            <v>0.1008</v>
          </cell>
          <cell r="E24">
            <v>2</v>
          </cell>
          <cell r="F24">
            <v>8</v>
          </cell>
          <cell r="G24" t="str">
            <v>COTT FRSH FMW COMBO126</v>
          </cell>
          <cell r="H24">
            <v>1</v>
          </cell>
          <cell r="I24" t="str">
            <v>A</v>
          </cell>
          <cell r="J24" t="str">
            <v>CSE</v>
          </cell>
          <cell r="K24" t="str">
            <v>S</v>
          </cell>
          <cell r="L24" t="str">
            <v>102005010</v>
          </cell>
          <cell r="M24" t="str">
            <v>102</v>
          </cell>
          <cell r="N24" t="str">
            <v>005</v>
          </cell>
          <cell r="O24" t="str">
            <v>010</v>
          </cell>
          <cell r="P24" t="str">
            <v>USA</v>
          </cell>
          <cell r="Q24" t="str">
            <v xml:space="preserve">COTT FMWPOPUP COMBO126   </v>
          </cell>
          <cell r="R24" t="str">
            <v>Cott FMW Tub/Rfl Combo</v>
          </cell>
        </row>
        <row r="25">
          <cell r="A25" t="str">
            <v>33539</v>
          </cell>
          <cell r="B25" t="str">
            <v>3353900</v>
          </cell>
          <cell r="C25" t="str">
            <v>00000</v>
          </cell>
          <cell r="D25">
            <v>0.16320000000000001</v>
          </cell>
          <cell r="E25">
            <v>204</v>
          </cell>
          <cell r="F25">
            <v>8</v>
          </cell>
          <cell r="G25" t="str">
            <v>SCOTT NAT WIPE RFL 204</v>
          </cell>
          <cell r="H25">
            <v>1</v>
          </cell>
          <cell r="I25" t="str">
            <v>A</v>
          </cell>
          <cell r="J25" t="str">
            <v>CSE</v>
          </cell>
          <cell r="K25" t="str">
            <v>S</v>
          </cell>
          <cell r="L25" t="str">
            <v>102011002</v>
          </cell>
          <cell r="M25" t="str">
            <v>102</v>
          </cell>
          <cell r="N25" t="str">
            <v>011</v>
          </cell>
          <cell r="O25" t="str">
            <v>002</v>
          </cell>
          <cell r="P25" t="str">
            <v>USA</v>
          </cell>
          <cell r="Q25" t="str">
            <v xml:space="preserve">SCOTT NAT BONUS RFL204   </v>
          </cell>
          <cell r="R25" t="str">
            <v>Scott Naturals FMW Rf Lrg</v>
          </cell>
        </row>
        <row r="26">
          <cell r="A26" t="str">
            <v>34107</v>
          </cell>
          <cell r="B26" t="str">
            <v>3410700</v>
          </cell>
          <cell r="C26" t="str">
            <v>00000</v>
          </cell>
          <cell r="D26">
            <v>2.4E-2</v>
          </cell>
          <cell r="E26">
            <v>10</v>
          </cell>
          <cell r="F26">
            <v>24</v>
          </cell>
          <cell r="G26" t="str">
            <v xml:space="preserve">COTT FRSH FMW CLP 10  </v>
          </cell>
          <cell r="H26">
            <v>1</v>
          </cell>
          <cell r="I26" t="str">
            <v>A</v>
          </cell>
          <cell r="J26" t="str">
            <v>CSE</v>
          </cell>
          <cell r="K26" t="str">
            <v>S</v>
          </cell>
          <cell r="L26" t="str">
            <v>102004006</v>
          </cell>
          <cell r="M26" t="str">
            <v>102</v>
          </cell>
          <cell r="N26" t="str">
            <v>004</v>
          </cell>
          <cell r="O26" t="str">
            <v>006</v>
          </cell>
          <cell r="P26" t="str">
            <v>USA</v>
          </cell>
          <cell r="Q26" t="str">
            <v xml:space="preserve">COTT FRSH FMW CLP 10     </v>
          </cell>
          <cell r="R26" t="str">
            <v>Cott FMW Pouch/Clip</v>
          </cell>
        </row>
        <row r="27">
          <cell r="A27" t="str">
            <v>34108</v>
          </cell>
          <cell r="B27" t="str">
            <v>3410800</v>
          </cell>
          <cell r="C27" t="str">
            <v>00000</v>
          </cell>
          <cell r="D27">
            <v>5.7000000000000002E-2</v>
          </cell>
          <cell r="E27">
            <v>266</v>
          </cell>
          <cell r="F27">
            <v>4</v>
          </cell>
          <cell r="G27" t="str">
            <v>COTT FRSH RFL W/TUB266</v>
          </cell>
          <cell r="H27">
            <v>1</v>
          </cell>
          <cell r="I27" t="str">
            <v>A</v>
          </cell>
          <cell r="J27" t="str">
            <v>CSE</v>
          </cell>
          <cell r="K27" t="str">
            <v>S</v>
          </cell>
          <cell r="L27" t="str">
            <v>102002021</v>
          </cell>
          <cell r="M27" t="str">
            <v>102</v>
          </cell>
          <cell r="N27" t="str">
            <v>002</v>
          </cell>
          <cell r="O27" t="str">
            <v>021</v>
          </cell>
          <cell r="P27" t="str">
            <v>USA</v>
          </cell>
          <cell r="Q27" t="str">
            <v xml:space="preserve">COTT FMW RFLW/TUB4/266   </v>
          </cell>
          <cell r="R27" t="str">
            <v>Cott FMW Rfl</v>
          </cell>
        </row>
        <row r="28">
          <cell r="A28" t="str">
            <v>34260</v>
          </cell>
          <cell r="B28" t="str">
            <v>3426000</v>
          </cell>
          <cell r="C28" t="str">
            <v>00000</v>
          </cell>
          <cell r="D28">
            <v>2.4E-2</v>
          </cell>
          <cell r="E28">
            <v>10</v>
          </cell>
          <cell r="F28">
            <v>24</v>
          </cell>
          <cell r="G28" t="str">
            <v xml:space="preserve">COTT FRSH FMW CLP 10  </v>
          </cell>
          <cell r="H28">
            <v>1</v>
          </cell>
          <cell r="I28" t="str">
            <v>A</v>
          </cell>
          <cell r="J28" t="str">
            <v>CSE</v>
          </cell>
          <cell r="K28" t="str">
            <v>S</v>
          </cell>
          <cell r="L28" t="str">
            <v>102004006</v>
          </cell>
          <cell r="M28" t="str">
            <v>102</v>
          </cell>
          <cell r="N28" t="str">
            <v>004</v>
          </cell>
          <cell r="O28" t="str">
            <v>006</v>
          </cell>
          <cell r="P28" t="str">
            <v>USA</v>
          </cell>
          <cell r="Q28" t="str">
            <v xml:space="preserve">COTT FRSH FMW CLP 10     </v>
          </cell>
          <cell r="R28" t="str">
            <v>Cott FMW Pouch/Clip</v>
          </cell>
        </row>
        <row r="29">
          <cell r="A29" t="str">
            <v>34396</v>
          </cell>
          <cell r="B29" t="str">
            <v>3439600</v>
          </cell>
          <cell r="C29" t="str">
            <v>00000</v>
          </cell>
          <cell r="D29">
            <v>6.7199999999999996E-2</v>
          </cell>
          <cell r="E29">
            <v>84</v>
          </cell>
          <cell r="F29">
            <v>8</v>
          </cell>
          <cell r="G29" t="str">
            <v xml:space="preserve">COTT GNTL FMW RFL 84  </v>
          </cell>
          <cell r="H29">
            <v>1</v>
          </cell>
          <cell r="I29" t="str">
            <v>A</v>
          </cell>
          <cell r="J29" t="str">
            <v>CSE</v>
          </cell>
          <cell r="K29" t="str">
            <v>S</v>
          </cell>
          <cell r="L29" t="str">
            <v>102002020</v>
          </cell>
          <cell r="M29" t="str">
            <v>102</v>
          </cell>
          <cell r="N29" t="str">
            <v>002</v>
          </cell>
          <cell r="O29" t="str">
            <v>020</v>
          </cell>
          <cell r="P29" t="str">
            <v>USA</v>
          </cell>
          <cell r="Q29" t="str">
            <v xml:space="preserve">COTT FMW RFL 8/84-98     </v>
          </cell>
          <cell r="R29" t="str">
            <v>Cott FMW Rfl</v>
          </cell>
        </row>
        <row r="30">
          <cell r="A30" t="str">
            <v>34602</v>
          </cell>
          <cell r="B30" t="str">
            <v>3460200</v>
          </cell>
          <cell r="C30" t="str">
            <v>00000</v>
          </cell>
          <cell r="D30">
            <v>7.8399999999999997E-2</v>
          </cell>
          <cell r="E30">
            <v>98</v>
          </cell>
          <cell r="F30">
            <v>8</v>
          </cell>
          <cell r="G30" t="str">
            <v xml:space="preserve">COTTT FRSH FMW RFL 98 </v>
          </cell>
          <cell r="H30">
            <v>1</v>
          </cell>
          <cell r="I30" t="str">
            <v>A</v>
          </cell>
          <cell r="J30" t="str">
            <v>CSE</v>
          </cell>
          <cell r="K30" t="str">
            <v>S</v>
          </cell>
          <cell r="L30" t="str">
            <v>102002020</v>
          </cell>
          <cell r="M30" t="str">
            <v>102</v>
          </cell>
          <cell r="N30" t="str">
            <v>002</v>
          </cell>
          <cell r="O30" t="str">
            <v>020</v>
          </cell>
          <cell r="P30" t="str">
            <v>USA</v>
          </cell>
          <cell r="Q30" t="str">
            <v xml:space="preserve">COTT FMW RFL 8/84-98     </v>
          </cell>
          <cell r="R30" t="str">
            <v>Cott FMW Rfl</v>
          </cell>
        </row>
        <row r="31">
          <cell r="A31" t="str">
            <v>34603</v>
          </cell>
          <cell r="B31" t="str">
            <v>3460300</v>
          </cell>
          <cell r="C31" t="str">
            <v>00000</v>
          </cell>
          <cell r="D31">
            <v>4.3200000000000002E-2</v>
          </cell>
          <cell r="E31">
            <v>36</v>
          </cell>
          <cell r="F31">
            <v>12</v>
          </cell>
          <cell r="G31" t="str">
            <v>COTT FRSH FMW POUCH 36</v>
          </cell>
          <cell r="H31">
            <v>1</v>
          </cell>
          <cell r="I31" t="str">
            <v>A</v>
          </cell>
          <cell r="J31" t="str">
            <v>CSE</v>
          </cell>
          <cell r="K31" t="str">
            <v>S</v>
          </cell>
          <cell r="L31" t="str">
            <v>102004007</v>
          </cell>
          <cell r="M31" t="str">
            <v>102</v>
          </cell>
          <cell r="N31" t="str">
            <v>004</v>
          </cell>
          <cell r="O31" t="str">
            <v>007</v>
          </cell>
          <cell r="P31" t="str">
            <v>USA</v>
          </cell>
          <cell r="Q31" t="str">
            <v xml:space="preserve">COTT FRSH POUCH 12/36    </v>
          </cell>
          <cell r="R31" t="str">
            <v>Cott FMW Pouch/Clip</v>
          </cell>
        </row>
        <row r="32">
          <cell r="A32" t="str">
            <v>35321</v>
          </cell>
          <cell r="B32" t="str">
            <v>3532100</v>
          </cell>
          <cell r="C32" t="str">
            <v>00000</v>
          </cell>
          <cell r="D32">
            <v>8.9599999999999999E-2</v>
          </cell>
          <cell r="E32">
            <v>112</v>
          </cell>
          <cell r="F32">
            <v>8</v>
          </cell>
          <cell r="G32" t="str">
            <v xml:space="preserve">COTT FRSH FMW RFL 112 </v>
          </cell>
          <cell r="H32">
            <v>1</v>
          </cell>
          <cell r="I32" t="str">
            <v>A</v>
          </cell>
          <cell r="J32" t="str">
            <v>CSE</v>
          </cell>
          <cell r="K32" t="str">
            <v>S</v>
          </cell>
          <cell r="L32" t="str">
            <v>102002022</v>
          </cell>
          <cell r="M32" t="str">
            <v>102</v>
          </cell>
          <cell r="N32" t="str">
            <v>002</v>
          </cell>
          <cell r="O32" t="str">
            <v>022</v>
          </cell>
          <cell r="P32" t="str">
            <v>USA</v>
          </cell>
          <cell r="Q32" t="str">
            <v xml:space="preserve">COTT POP-UPRFL8/96-112   </v>
          </cell>
          <cell r="R32" t="str">
            <v>Cott FMW Rfl</v>
          </cell>
        </row>
        <row r="33">
          <cell r="A33" t="str">
            <v>35322</v>
          </cell>
          <cell r="B33" t="str">
            <v>3532200</v>
          </cell>
          <cell r="C33" t="str">
            <v>00000</v>
          </cell>
          <cell r="D33">
            <v>7.6799999999999993E-2</v>
          </cell>
          <cell r="E33">
            <v>96</v>
          </cell>
          <cell r="F33">
            <v>8</v>
          </cell>
          <cell r="G33" t="str">
            <v xml:space="preserve">COTT GNTL FMW RFL 96  </v>
          </cell>
          <cell r="H33">
            <v>1</v>
          </cell>
          <cell r="I33" t="str">
            <v>A</v>
          </cell>
          <cell r="J33" t="str">
            <v>CSE</v>
          </cell>
          <cell r="K33" t="str">
            <v>S</v>
          </cell>
          <cell r="L33" t="str">
            <v>102002022</v>
          </cell>
          <cell r="M33" t="str">
            <v>102</v>
          </cell>
          <cell r="N33" t="str">
            <v>002</v>
          </cell>
          <cell r="O33" t="str">
            <v>022</v>
          </cell>
          <cell r="P33" t="str">
            <v>USA</v>
          </cell>
          <cell r="Q33" t="str">
            <v xml:space="preserve">COTT POP-UPRFL8/96-112   </v>
          </cell>
          <cell r="R33" t="str">
            <v>Cott FMW Rfl</v>
          </cell>
        </row>
        <row r="34">
          <cell r="A34" t="str">
            <v>35767</v>
          </cell>
          <cell r="B34" t="str">
            <v>3576700</v>
          </cell>
          <cell r="C34" t="str">
            <v>00000</v>
          </cell>
          <cell r="D34">
            <v>7.2</v>
          </cell>
          <cell r="E34">
            <v>400</v>
          </cell>
          <cell r="F34">
            <v>180</v>
          </cell>
          <cell r="G34" t="str">
            <v xml:space="preserve">COTT FMW BDL 400 PLT  </v>
          </cell>
          <cell r="H34">
            <v>137.25</v>
          </cell>
          <cell r="I34" t="str">
            <v>A</v>
          </cell>
          <cell r="J34" t="str">
            <v>PLT</v>
          </cell>
          <cell r="K34" t="str">
            <v>S</v>
          </cell>
          <cell r="L34" t="str">
            <v>102005011</v>
          </cell>
          <cell r="M34" t="str">
            <v>102</v>
          </cell>
          <cell r="N34" t="str">
            <v>005</v>
          </cell>
          <cell r="O34" t="str">
            <v>011</v>
          </cell>
          <cell r="P34" t="str">
            <v>USA</v>
          </cell>
          <cell r="Q34" t="str">
            <v xml:space="preserve">35767-COTT FMW BDL 400   </v>
          </cell>
          <cell r="R34" t="str">
            <v>Cott FMW Tub/Rfl Combo</v>
          </cell>
        </row>
        <row r="35">
          <cell r="A35" t="str">
            <v>35917</v>
          </cell>
          <cell r="B35" t="str">
            <v>3591700</v>
          </cell>
          <cell r="C35" t="str">
            <v>00000</v>
          </cell>
          <cell r="D35">
            <v>4.234</v>
          </cell>
          <cell r="E35">
            <v>294</v>
          </cell>
          <cell r="F35">
            <v>144</v>
          </cell>
          <cell r="G35" t="str">
            <v xml:space="preserve">COTT FMW BDL 294 PLT  </v>
          </cell>
          <cell r="H35">
            <v>84</v>
          </cell>
          <cell r="I35" t="str">
            <v>A</v>
          </cell>
          <cell r="J35" t="str">
            <v>PLT</v>
          </cell>
          <cell r="K35" t="str">
            <v>S</v>
          </cell>
          <cell r="L35" t="str">
            <v>102005012</v>
          </cell>
          <cell r="M35" t="str">
            <v>102</v>
          </cell>
          <cell r="N35" t="str">
            <v>005</v>
          </cell>
          <cell r="O35" t="str">
            <v>012</v>
          </cell>
          <cell r="P35" t="str">
            <v>USA</v>
          </cell>
          <cell r="Q35" t="str">
            <v xml:space="preserve">35917-COTT FMW BDL 294   </v>
          </cell>
          <cell r="R35" t="str">
            <v>Cott FMW Tub/Rfl Combo</v>
          </cell>
        </row>
        <row r="36">
          <cell r="A36" t="str">
            <v>35918</v>
          </cell>
          <cell r="B36" t="str">
            <v>3591800</v>
          </cell>
          <cell r="C36" t="str">
            <v>00000</v>
          </cell>
          <cell r="D36">
            <v>3.1749999999999998</v>
          </cell>
          <cell r="E36">
            <v>294</v>
          </cell>
          <cell r="F36">
            <v>108</v>
          </cell>
          <cell r="G36" t="str">
            <v xml:space="preserve">COTT FMW BDL 294 PLT  </v>
          </cell>
          <cell r="H36">
            <v>63</v>
          </cell>
          <cell r="I36" t="str">
            <v>A</v>
          </cell>
          <cell r="J36" t="str">
            <v>PLT</v>
          </cell>
          <cell r="K36" t="str">
            <v>S</v>
          </cell>
          <cell r="L36" t="str">
            <v>102005013</v>
          </cell>
          <cell r="M36" t="str">
            <v>102</v>
          </cell>
          <cell r="N36" t="str">
            <v>005</v>
          </cell>
          <cell r="O36" t="str">
            <v>013</v>
          </cell>
          <cell r="P36" t="str">
            <v>USA</v>
          </cell>
          <cell r="Q36" t="str">
            <v xml:space="preserve">35918-COTT FMW BDL 294   </v>
          </cell>
          <cell r="R36" t="str">
            <v>Cott FMW Tub/Rfl Combo</v>
          </cell>
        </row>
        <row r="37">
          <cell r="A37" t="str">
            <v>35970</v>
          </cell>
          <cell r="B37" t="str">
            <v>3597000</v>
          </cell>
          <cell r="C37" t="str">
            <v>00000</v>
          </cell>
          <cell r="D37">
            <v>6.7199999999999996E-2</v>
          </cell>
          <cell r="E37">
            <v>84</v>
          </cell>
          <cell r="F37">
            <v>8</v>
          </cell>
          <cell r="G37" t="str">
            <v xml:space="preserve">COTT FRSH FMW RFL 84  </v>
          </cell>
          <cell r="H37">
            <v>1</v>
          </cell>
          <cell r="I37" t="str">
            <v>A</v>
          </cell>
          <cell r="J37" t="str">
            <v>CSE</v>
          </cell>
          <cell r="K37" t="str">
            <v>S</v>
          </cell>
          <cell r="L37" t="str">
            <v>102002028</v>
          </cell>
          <cell r="M37" t="str">
            <v>102</v>
          </cell>
          <cell r="N37" t="str">
            <v>002</v>
          </cell>
          <cell r="O37" t="str">
            <v>028</v>
          </cell>
          <cell r="P37" t="str">
            <v>USA</v>
          </cell>
          <cell r="Q37" t="str">
            <v xml:space="preserve">COTT FMW RFL 8/84        </v>
          </cell>
          <cell r="R37" t="str">
            <v>Cott FMW Rfl</v>
          </cell>
        </row>
        <row r="38">
          <cell r="A38" t="str">
            <v>35971</v>
          </cell>
          <cell r="B38" t="str">
            <v>3597100</v>
          </cell>
          <cell r="C38" t="str">
            <v>00000</v>
          </cell>
          <cell r="D38">
            <v>6.7199999999999996E-2</v>
          </cell>
          <cell r="E38">
            <v>84</v>
          </cell>
          <cell r="F38">
            <v>8</v>
          </cell>
          <cell r="G38" t="str">
            <v xml:space="preserve">COTT GNTL FMW RFL 84  </v>
          </cell>
          <cell r="H38">
            <v>1</v>
          </cell>
          <cell r="I38" t="str">
            <v>A</v>
          </cell>
          <cell r="J38" t="str">
            <v>CSE</v>
          </cell>
          <cell r="K38" t="str">
            <v>S</v>
          </cell>
          <cell r="L38" t="str">
            <v>102002028</v>
          </cell>
          <cell r="M38" t="str">
            <v>102</v>
          </cell>
          <cell r="N38" t="str">
            <v>002</v>
          </cell>
          <cell r="O38" t="str">
            <v>028</v>
          </cell>
          <cell r="P38" t="str">
            <v>USA</v>
          </cell>
          <cell r="Q38" t="str">
            <v xml:space="preserve">COTT FMW RFL 8/84        </v>
          </cell>
          <cell r="R38" t="str">
            <v>Cott FMW Rfl</v>
          </cell>
        </row>
        <row r="39">
          <cell r="A39" t="str">
            <v>35972</v>
          </cell>
          <cell r="B39" t="str">
            <v>3597200</v>
          </cell>
          <cell r="C39" t="str">
            <v>00000</v>
          </cell>
          <cell r="D39">
            <v>0.1008</v>
          </cell>
          <cell r="E39">
            <v>126</v>
          </cell>
          <cell r="F39">
            <v>8</v>
          </cell>
          <cell r="G39" t="str">
            <v xml:space="preserve">COTT GNTL FMW RFL 126 </v>
          </cell>
          <cell r="H39">
            <v>1</v>
          </cell>
          <cell r="I39" t="str">
            <v>A</v>
          </cell>
          <cell r="J39" t="str">
            <v>CSE</v>
          </cell>
          <cell r="K39" t="str">
            <v>S</v>
          </cell>
          <cell r="L39" t="str">
            <v>102002025</v>
          </cell>
          <cell r="M39" t="str">
            <v>102</v>
          </cell>
          <cell r="N39" t="str">
            <v>002</v>
          </cell>
          <cell r="O39" t="str">
            <v>025</v>
          </cell>
          <cell r="P39" t="str">
            <v>USA</v>
          </cell>
          <cell r="Q39" t="str">
            <v xml:space="preserve">COTT FMW RFL 8/126       </v>
          </cell>
          <cell r="R39" t="str">
            <v>Cott FMW Rfl</v>
          </cell>
        </row>
        <row r="40">
          <cell r="A40" t="str">
            <v>35973</v>
          </cell>
          <cell r="B40" t="str">
            <v>3597300</v>
          </cell>
          <cell r="C40" t="str">
            <v>00000</v>
          </cell>
          <cell r="D40">
            <v>0.1008</v>
          </cell>
          <cell r="E40">
            <v>126</v>
          </cell>
          <cell r="F40">
            <v>8</v>
          </cell>
          <cell r="G40" t="str">
            <v xml:space="preserve">COTT FRSH FMW RFL 126 </v>
          </cell>
          <cell r="H40">
            <v>1</v>
          </cell>
          <cell r="I40" t="str">
            <v>A</v>
          </cell>
          <cell r="J40" t="str">
            <v>CSE</v>
          </cell>
          <cell r="K40" t="str">
            <v>S</v>
          </cell>
          <cell r="L40" t="str">
            <v>102002025</v>
          </cell>
          <cell r="M40" t="str">
            <v>102</v>
          </cell>
          <cell r="N40" t="str">
            <v>002</v>
          </cell>
          <cell r="O40" t="str">
            <v>025</v>
          </cell>
          <cell r="P40" t="str">
            <v>USA</v>
          </cell>
          <cell r="Q40" t="str">
            <v xml:space="preserve">COTT FMW RFL 8/126       </v>
          </cell>
          <cell r="R40" t="str">
            <v>Cott FMW Rfl</v>
          </cell>
        </row>
        <row r="41">
          <cell r="A41" t="str">
            <v>35974</v>
          </cell>
          <cell r="B41" t="str">
            <v>3597400</v>
          </cell>
          <cell r="C41" t="str">
            <v>00000</v>
          </cell>
          <cell r="D41">
            <v>5.04E-2</v>
          </cell>
          <cell r="E41">
            <v>42</v>
          </cell>
          <cell r="F41">
            <v>12</v>
          </cell>
          <cell r="G41" t="str">
            <v xml:space="preserve">COTT FRSH FMW RFL 42  </v>
          </cell>
          <cell r="H41">
            <v>1</v>
          </cell>
          <cell r="I41" t="str">
            <v>A</v>
          </cell>
          <cell r="J41" t="str">
            <v>CSE</v>
          </cell>
          <cell r="K41" t="str">
            <v>S</v>
          </cell>
          <cell r="L41" t="str">
            <v>102002026</v>
          </cell>
          <cell r="M41" t="str">
            <v>102</v>
          </cell>
          <cell r="N41" t="str">
            <v>002</v>
          </cell>
          <cell r="O41" t="str">
            <v>026</v>
          </cell>
          <cell r="P41" t="str">
            <v>USA</v>
          </cell>
          <cell r="Q41" t="str">
            <v xml:space="preserve">COTT FRSH FMW RFL12/42   </v>
          </cell>
          <cell r="R41" t="str">
            <v>Cott FMW Rfl</v>
          </cell>
        </row>
        <row r="42">
          <cell r="A42" t="str">
            <v>35975</v>
          </cell>
          <cell r="B42" t="str">
            <v>3597500</v>
          </cell>
          <cell r="C42" t="str">
            <v>00000</v>
          </cell>
          <cell r="D42">
            <v>0.33600000000000002</v>
          </cell>
          <cell r="E42">
            <v>168</v>
          </cell>
          <cell r="F42">
            <v>20</v>
          </cell>
          <cell r="G42" t="str">
            <v>COTT FRSH FMW2.5CS DSP</v>
          </cell>
          <cell r="H42">
            <v>2.5</v>
          </cell>
          <cell r="I42" t="str">
            <v>A</v>
          </cell>
          <cell r="J42" t="str">
            <v>DIS</v>
          </cell>
          <cell r="K42" t="str">
            <v>S</v>
          </cell>
          <cell r="L42" t="str">
            <v>102002024</v>
          </cell>
          <cell r="M42" t="str">
            <v>102</v>
          </cell>
          <cell r="N42" t="str">
            <v>002</v>
          </cell>
          <cell r="O42" t="str">
            <v>024</v>
          </cell>
          <cell r="P42" t="str">
            <v>USA</v>
          </cell>
          <cell r="Q42" t="str">
            <v xml:space="preserve">35975-COTT FMW RFL DSP   </v>
          </cell>
          <cell r="R42" t="str">
            <v>Cott FMW Rfl</v>
          </cell>
        </row>
        <row r="43">
          <cell r="A43" t="str">
            <v>36003</v>
          </cell>
          <cell r="B43" t="str">
            <v>3600300</v>
          </cell>
          <cell r="C43" t="str">
            <v>00000</v>
          </cell>
          <cell r="D43">
            <v>2.4E-2</v>
          </cell>
          <cell r="E43">
            <v>10</v>
          </cell>
          <cell r="F43">
            <v>24</v>
          </cell>
          <cell r="G43" t="str">
            <v xml:space="preserve">COTT FRSH FMW OTG 10  </v>
          </cell>
          <cell r="H43">
            <v>1</v>
          </cell>
          <cell r="I43" t="str">
            <v>A</v>
          </cell>
          <cell r="J43" t="str">
            <v>CSE</v>
          </cell>
          <cell r="K43" t="str">
            <v>S</v>
          </cell>
          <cell r="L43" t="str">
            <v>102004008</v>
          </cell>
          <cell r="M43" t="str">
            <v>102</v>
          </cell>
          <cell r="N43" t="str">
            <v>004</v>
          </cell>
          <cell r="O43" t="str">
            <v>008</v>
          </cell>
          <cell r="P43" t="str">
            <v>USA</v>
          </cell>
          <cell r="Q43" t="str">
            <v xml:space="preserve">COTT FRSH FMW OTG24/10   </v>
          </cell>
          <cell r="R43" t="str">
            <v>Cott FMW Pouch/Clip</v>
          </cell>
        </row>
        <row r="44">
          <cell r="A44" t="str">
            <v>36004</v>
          </cell>
          <cell r="B44" t="str">
            <v>3600400</v>
          </cell>
          <cell r="C44" t="str">
            <v>00000</v>
          </cell>
          <cell r="D44">
            <v>0.02</v>
          </cell>
          <cell r="E44">
            <v>10</v>
          </cell>
          <cell r="F44">
            <v>20</v>
          </cell>
          <cell r="G44" t="str">
            <v>COTT FRSHFMW OTG RFL10</v>
          </cell>
          <cell r="H44">
            <v>1</v>
          </cell>
          <cell r="I44" t="str">
            <v>A</v>
          </cell>
          <cell r="J44" t="str">
            <v>CSE</v>
          </cell>
          <cell r="K44" t="str">
            <v>S</v>
          </cell>
          <cell r="L44" t="str">
            <v>102002027</v>
          </cell>
          <cell r="M44" t="str">
            <v>102</v>
          </cell>
          <cell r="N44" t="str">
            <v>002</v>
          </cell>
          <cell r="O44" t="str">
            <v>027</v>
          </cell>
          <cell r="P44" t="str">
            <v>USA</v>
          </cell>
          <cell r="Q44" t="str">
            <v xml:space="preserve">COTT FMW OTG RFL 20/10   </v>
          </cell>
          <cell r="R44" t="str">
            <v>Cott FMW Rfl</v>
          </cell>
        </row>
        <row r="45">
          <cell r="A45" t="str">
            <v>36734</v>
          </cell>
          <cell r="B45" t="str">
            <v>3673400</v>
          </cell>
          <cell r="C45" t="str">
            <v>00000</v>
          </cell>
          <cell r="D45">
            <v>3.3599999999999998E-2</v>
          </cell>
          <cell r="E45">
            <v>42</v>
          </cell>
          <cell r="F45">
            <v>8</v>
          </cell>
          <cell r="G45" t="str">
            <v xml:space="preserve">COTT FRSH FMW TUB 42  </v>
          </cell>
          <cell r="H45">
            <v>1</v>
          </cell>
          <cell r="I45" t="str">
            <v>A</v>
          </cell>
          <cell r="J45" t="str">
            <v>CSE</v>
          </cell>
          <cell r="K45" t="str">
            <v>S</v>
          </cell>
          <cell r="L45" t="str">
            <v>102001009</v>
          </cell>
          <cell r="M45" t="str">
            <v>102</v>
          </cell>
          <cell r="N45" t="str">
            <v>001</v>
          </cell>
          <cell r="O45" t="str">
            <v>009</v>
          </cell>
          <cell r="P45" t="str">
            <v xml:space="preserve">NA </v>
          </cell>
          <cell r="Q45" t="str">
            <v xml:space="preserve">COTT FMW TUB 8/42        </v>
          </cell>
          <cell r="R45" t="str">
            <v>Cott FMW Tub</v>
          </cell>
        </row>
        <row r="46">
          <cell r="A46" t="str">
            <v>36737</v>
          </cell>
          <cell r="B46" t="str">
            <v>3673700</v>
          </cell>
          <cell r="C46" t="str">
            <v>00000</v>
          </cell>
          <cell r="D46">
            <v>3.3599999999999998E-2</v>
          </cell>
          <cell r="E46">
            <v>42</v>
          </cell>
          <cell r="F46">
            <v>8</v>
          </cell>
          <cell r="G46" t="str">
            <v xml:space="preserve">COTT FRSH FMW TUB 42  </v>
          </cell>
          <cell r="H46">
            <v>1</v>
          </cell>
          <cell r="I46" t="str">
            <v>A</v>
          </cell>
          <cell r="J46" t="str">
            <v>CSE</v>
          </cell>
          <cell r="K46" t="str">
            <v>S</v>
          </cell>
          <cell r="L46" t="str">
            <v>102001009</v>
          </cell>
          <cell r="M46" t="str">
            <v>102</v>
          </cell>
          <cell r="N46" t="str">
            <v>001</v>
          </cell>
          <cell r="O46" t="str">
            <v>009</v>
          </cell>
          <cell r="P46" t="str">
            <v xml:space="preserve">NA </v>
          </cell>
          <cell r="Q46" t="str">
            <v xml:space="preserve">COTT FMW TUB 8/42        </v>
          </cell>
          <cell r="R46" t="str">
            <v>Cott FMW Tub</v>
          </cell>
        </row>
        <row r="47">
          <cell r="A47" t="str">
            <v>36738</v>
          </cell>
          <cell r="B47" t="str">
            <v>3673800</v>
          </cell>
          <cell r="C47" t="str">
            <v>00000</v>
          </cell>
          <cell r="D47">
            <v>3.3599999999999998E-2</v>
          </cell>
          <cell r="E47">
            <v>42</v>
          </cell>
          <cell r="F47">
            <v>8</v>
          </cell>
          <cell r="G47" t="str">
            <v xml:space="preserve">COTT GNTL FMW TUB 42  </v>
          </cell>
          <cell r="H47">
            <v>1</v>
          </cell>
          <cell r="I47" t="str">
            <v>A</v>
          </cell>
          <cell r="J47" t="str">
            <v>CSE</v>
          </cell>
          <cell r="K47" t="str">
            <v>S</v>
          </cell>
          <cell r="L47" t="str">
            <v>102001009</v>
          </cell>
          <cell r="M47" t="str">
            <v>102</v>
          </cell>
          <cell r="N47" t="str">
            <v>001</v>
          </cell>
          <cell r="O47" t="str">
            <v>009</v>
          </cell>
          <cell r="P47" t="str">
            <v xml:space="preserve">NA </v>
          </cell>
          <cell r="Q47" t="str">
            <v xml:space="preserve">COTT FMW TUB 8/42        </v>
          </cell>
          <cell r="R47" t="str">
            <v>Cott FMW Tub</v>
          </cell>
        </row>
        <row r="48">
          <cell r="A48" t="str">
            <v>36741</v>
          </cell>
          <cell r="B48" t="str">
            <v>3674100</v>
          </cell>
          <cell r="C48" t="str">
            <v>00000</v>
          </cell>
          <cell r="D48">
            <v>2.52E-2</v>
          </cell>
          <cell r="E48">
            <v>42</v>
          </cell>
          <cell r="F48">
            <v>6</v>
          </cell>
          <cell r="G48" t="str">
            <v>COTT FRSH UPRT DSPNR42</v>
          </cell>
          <cell r="H48">
            <v>1</v>
          </cell>
          <cell r="I48" t="str">
            <v>A</v>
          </cell>
          <cell r="J48" t="str">
            <v>CSE</v>
          </cell>
          <cell r="K48" t="str">
            <v>S</v>
          </cell>
          <cell r="L48" t="str">
            <v>102012001</v>
          </cell>
          <cell r="M48" t="str">
            <v>102</v>
          </cell>
          <cell r="N48" t="str">
            <v>012</v>
          </cell>
          <cell r="O48" t="str">
            <v>001</v>
          </cell>
          <cell r="P48" t="str">
            <v xml:space="preserve">NA </v>
          </cell>
          <cell r="Q48" t="str">
            <v xml:space="preserve">COTT FMW DSPNR 6/42      </v>
          </cell>
          <cell r="R48" t="str">
            <v xml:space="preserve">Cott FMW Dispenser       </v>
          </cell>
        </row>
        <row r="49">
          <cell r="A49" t="str">
            <v>36742</v>
          </cell>
          <cell r="B49" t="str">
            <v>3674200</v>
          </cell>
          <cell r="C49" t="str">
            <v>00000</v>
          </cell>
          <cell r="D49">
            <v>2.52E-2</v>
          </cell>
          <cell r="E49">
            <v>42</v>
          </cell>
          <cell r="F49">
            <v>6</v>
          </cell>
          <cell r="G49" t="str">
            <v>COTT FRSH UPRT DSPNR42</v>
          </cell>
          <cell r="H49">
            <v>1</v>
          </cell>
          <cell r="I49" t="str">
            <v>A</v>
          </cell>
          <cell r="J49" t="str">
            <v>CSE</v>
          </cell>
          <cell r="K49" t="str">
            <v>S</v>
          </cell>
          <cell r="L49" t="str">
            <v>102012001</v>
          </cell>
          <cell r="M49" t="str">
            <v>102</v>
          </cell>
          <cell r="N49" t="str">
            <v>012</v>
          </cell>
          <cell r="O49" t="str">
            <v>001</v>
          </cell>
          <cell r="P49" t="str">
            <v xml:space="preserve">NA </v>
          </cell>
          <cell r="Q49" t="str">
            <v xml:space="preserve">COTT FMW DSPNR 6/42      </v>
          </cell>
          <cell r="R49" t="str">
            <v xml:space="preserve">Cott FMW Dispenser       </v>
          </cell>
        </row>
        <row r="50">
          <cell r="A50" t="str">
            <v>36777</v>
          </cell>
          <cell r="B50" t="str">
            <v>3677700</v>
          </cell>
          <cell r="C50" t="str">
            <v>00000</v>
          </cell>
          <cell r="D50">
            <v>0.1008</v>
          </cell>
          <cell r="E50">
            <v>42</v>
          </cell>
          <cell r="F50">
            <v>24</v>
          </cell>
          <cell r="G50" t="str">
            <v>COTT FRSH DSPNR4CS DSP</v>
          </cell>
          <cell r="H50">
            <v>4</v>
          </cell>
          <cell r="I50" t="str">
            <v>A</v>
          </cell>
          <cell r="J50" t="str">
            <v>DIS</v>
          </cell>
          <cell r="K50" t="str">
            <v>S</v>
          </cell>
          <cell r="L50" t="str">
            <v>102012002</v>
          </cell>
          <cell r="M50" t="str">
            <v>102</v>
          </cell>
          <cell r="N50" t="str">
            <v>012</v>
          </cell>
          <cell r="O50" t="str">
            <v>002</v>
          </cell>
          <cell r="P50" t="str">
            <v xml:space="preserve">NA </v>
          </cell>
          <cell r="Q50" t="str">
            <v xml:space="preserve">36777-COTT FRSH DSPNR    </v>
          </cell>
          <cell r="R50" t="str">
            <v xml:space="preserve">Cott FMW Dispenser       </v>
          </cell>
        </row>
        <row r="51">
          <cell r="A51" t="str">
            <v>72010</v>
          </cell>
          <cell r="B51" t="str">
            <v>7201001</v>
          </cell>
          <cell r="C51" t="str">
            <v>00000</v>
          </cell>
          <cell r="D51">
            <v>4.8000000000000001E-2</v>
          </cell>
          <cell r="E51">
            <v>10</v>
          </cell>
          <cell r="F51">
            <v>48</v>
          </cell>
          <cell r="G51" t="str">
            <v xml:space="preserve">COTT FRSH FMW CLAM 10 </v>
          </cell>
          <cell r="H51">
            <v>1</v>
          </cell>
          <cell r="I51" t="str">
            <v>A</v>
          </cell>
          <cell r="J51" t="str">
            <v>CSE</v>
          </cell>
          <cell r="K51" t="str">
            <v>S</v>
          </cell>
          <cell r="L51" t="str">
            <v>102004003</v>
          </cell>
          <cell r="M51" t="str">
            <v>102</v>
          </cell>
          <cell r="N51" t="str">
            <v>004</v>
          </cell>
          <cell r="O51" t="str">
            <v>003</v>
          </cell>
          <cell r="P51" t="str">
            <v xml:space="preserve">NA </v>
          </cell>
          <cell r="Q51" t="str">
            <v>COTT FMW ZIP CS 48/10</v>
          </cell>
          <cell r="R51" t="str">
            <v>Cott FMW Pouch/Clip</v>
          </cell>
        </row>
        <row r="52">
          <cell r="A52" t="str">
            <v>72013</v>
          </cell>
          <cell r="B52" t="str">
            <v>7201310</v>
          </cell>
          <cell r="C52" t="str">
            <v>00000</v>
          </cell>
          <cell r="D52">
            <v>4.8000000000000001E-2</v>
          </cell>
          <cell r="E52">
            <v>10</v>
          </cell>
          <cell r="F52">
            <v>48</v>
          </cell>
          <cell r="G52" t="str">
            <v xml:space="preserve">COTT FRSH FMW CLIP 10 </v>
          </cell>
          <cell r="H52">
            <v>1</v>
          </cell>
          <cell r="I52" t="str">
            <v>O</v>
          </cell>
          <cell r="J52" t="str">
            <v>CSE</v>
          </cell>
          <cell r="K52" t="str">
            <v>S</v>
          </cell>
          <cell r="L52" t="str">
            <v>102004001</v>
          </cell>
          <cell r="M52" t="str">
            <v>102</v>
          </cell>
          <cell r="N52" t="str">
            <v>004</v>
          </cell>
          <cell r="O52" t="str">
            <v>001</v>
          </cell>
          <cell r="P52" t="str">
            <v xml:space="preserve">NA </v>
          </cell>
          <cell r="Q52" t="str">
            <v xml:space="preserve">COTT FRSH FMW CLIP 10    </v>
          </cell>
          <cell r="R52" t="str">
            <v>Cott FMW Pouch/Clip</v>
          </cell>
        </row>
        <row r="53">
          <cell r="A53" t="str">
            <v>72031</v>
          </cell>
          <cell r="B53" t="str">
            <v>7203100</v>
          </cell>
          <cell r="C53" t="str">
            <v>00000</v>
          </cell>
          <cell r="D53">
            <v>5.04E-2</v>
          </cell>
          <cell r="E53">
            <v>42</v>
          </cell>
          <cell r="F53">
            <v>12</v>
          </cell>
          <cell r="G53" t="str">
            <v xml:space="preserve">COTT FRSH FMW TUB 42  </v>
          </cell>
          <cell r="H53">
            <v>1</v>
          </cell>
          <cell r="I53" t="str">
            <v>O</v>
          </cell>
          <cell r="J53" t="str">
            <v>CSE</v>
          </cell>
          <cell r="K53" t="str">
            <v>S</v>
          </cell>
          <cell r="L53" t="str">
            <v>102001003</v>
          </cell>
          <cell r="M53" t="str">
            <v>102</v>
          </cell>
          <cell r="N53" t="str">
            <v>001</v>
          </cell>
          <cell r="O53" t="str">
            <v>003</v>
          </cell>
          <cell r="P53" t="str">
            <v>USA</v>
          </cell>
          <cell r="Q53" t="str">
            <v xml:space="preserve">COTT FMWPOPUPTUB 36-42   </v>
          </cell>
          <cell r="R53" t="str">
            <v>Cott FMW Tub</v>
          </cell>
        </row>
        <row r="54">
          <cell r="A54" t="str">
            <v>72032</v>
          </cell>
          <cell r="B54" t="str">
            <v>7203200</v>
          </cell>
          <cell r="C54" t="str">
            <v>00000</v>
          </cell>
          <cell r="D54">
            <v>0.112</v>
          </cell>
          <cell r="E54">
            <v>140</v>
          </cell>
          <cell r="F54">
            <v>8</v>
          </cell>
          <cell r="G54" t="str">
            <v xml:space="preserve">COTT FRSH FMW RFL 140 </v>
          </cell>
          <cell r="H54">
            <v>1</v>
          </cell>
          <cell r="I54" t="str">
            <v>O</v>
          </cell>
          <cell r="J54" t="str">
            <v>CSE</v>
          </cell>
          <cell r="K54" t="str">
            <v>S</v>
          </cell>
          <cell r="L54" t="str">
            <v>102002006</v>
          </cell>
          <cell r="M54" t="str">
            <v>102</v>
          </cell>
          <cell r="N54" t="str">
            <v>002</v>
          </cell>
          <cell r="O54" t="str">
            <v>006</v>
          </cell>
          <cell r="P54" t="str">
            <v>USA</v>
          </cell>
          <cell r="Q54" t="str">
            <v>COTT FMWPOP-UPRFL8/140</v>
          </cell>
          <cell r="R54" t="str">
            <v>Cott FMW Rfl</v>
          </cell>
        </row>
        <row r="55">
          <cell r="A55" t="str">
            <v>72068</v>
          </cell>
          <cell r="B55" t="str">
            <v>7206805</v>
          </cell>
          <cell r="C55" t="str">
            <v>00000</v>
          </cell>
          <cell r="D55">
            <v>1.6128</v>
          </cell>
          <cell r="E55">
            <v>224</v>
          </cell>
          <cell r="F55">
            <v>72</v>
          </cell>
          <cell r="G55" t="str">
            <v xml:space="preserve">COTT FMW BDL 224 PLT  </v>
          </cell>
          <cell r="H55">
            <v>18</v>
          </cell>
          <cell r="I55" t="str">
            <v>A</v>
          </cell>
          <cell r="J55" t="str">
            <v>PLT</v>
          </cell>
          <cell r="K55" t="str">
            <v>S</v>
          </cell>
          <cell r="L55" t="str">
            <v>102005007</v>
          </cell>
          <cell r="M55" t="str">
            <v>102</v>
          </cell>
          <cell r="N55" t="str">
            <v>005</v>
          </cell>
          <cell r="O55" t="str">
            <v>007</v>
          </cell>
          <cell r="P55" t="str">
            <v xml:space="preserve">NA </v>
          </cell>
          <cell r="Q55" t="str">
            <v>72068-COTT FMW BDL 224</v>
          </cell>
          <cell r="R55" t="str">
            <v>Cott FMW Tub/Rfl Combo</v>
          </cell>
        </row>
        <row r="56">
          <cell r="A56" t="str">
            <v>72069</v>
          </cell>
          <cell r="B56" t="str">
            <v>7206900</v>
          </cell>
          <cell r="C56" t="str">
            <v>00000</v>
          </cell>
          <cell r="D56">
            <v>3.0779999999999998</v>
          </cell>
          <cell r="E56">
            <v>342</v>
          </cell>
          <cell r="F56">
            <v>90</v>
          </cell>
          <cell r="G56" t="str">
            <v xml:space="preserve">COTT FMW BDL 342 PLT  </v>
          </cell>
          <cell r="H56">
            <v>37.130000000000003</v>
          </cell>
          <cell r="I56" t="str">
            <v>O</v>
          </cell>
          <cell r="J56" t="str">
            <v>PLT</v>
          </cell>
          <cell r="K56" t="str">
            <v>S</v>
          </cell>
          <cell r="L56" t="str">
            <v>102005005</v>
          </cell>
          <cell r="M56" t="str">
            <v>102</v>
          </cell>
          <cell r="N56" t="str">
            <v>005</v>
          </cell>
          <cell r="O56" t="str">
            <v>005</v>
          </cell>
          <cell r="P56" t="str">
            <v>USA</v>
          </cell>
          <cell r="Q56" t="str">
            <v xml:space="preserve">72069-COTT FMW BDL 342   </v>
          </cell>
          <cell r="R56" t="str">
            <v>Cott FMW Tub/Rfl Combo</v>
          </cell>
        </row>
        <row r="57">
          <cell r="A57" t="str">
            <v>72072</v>
          </cell>
          <cell r="B57" t="str">
            <v>7207201</v>
          </cell>
          <cell r="C57" t="str">
            <v>00000</v>
          </cell>
          <cell r="D57">
            <v>3.7368000000000001</v>
          </cell>
          <cell r="E57">
            <v>346</v>
          </cell>
          <cell r="F57">
            <v>108</v>
          </cell>
          <cell r="G57" t="str">
            <v xml:space="preserve">COTT FMW BDL 346 PLT  </v>
          </cell>
          <cell r="H57">
            <v>42.66</v>
          </cell>
          <cell r="I57" t="str">
            <v>O</v>
          </cell>
          <cell r="J57" t="str">
            <v>PLT</v>
          </cell>
          <cell r="K57" t="str">
            <v>S</v>
          </cell>
          <cell r="L57" t="str">
            <v>102005008</v>
          </cell>
          <cell r="M57" t="str">
            <v>102</v>
          </cell>
          <cell r="N57" t="str">
            <v>005</v>
          </cell>
          <cell r="O57" t="str">
            <v>008</v>
          </cell>
          <cell r="P57" t="str">
            <v xml:space="preserve">NA </v>
          </cell>
          <cell r="Q57" t="str">
            <v xml:space="preserve">72072-COTT FMW BDL 346   </v>
          </cell>
          <cell r="R57" t="str">
            <v>Cott FMW Tub/Rfl Combo</v>
          </cell>
        </row>
        <row r="58">
          <cell r="A58" t="str">
            <v>72073</v>
          </cell>
          <cell r="B58" t="str">
            <v>7207303</v>
          </cell>
          <cell r="C58" t="str">
            <v>00000</v>
          </cell>
          <cell r="D58">
            <v>6.2279999999999998</v>
          </cell>
          <cell r="E58">
            <v>346</v>
          </cell>
          <cell r="F58">
            <v>180</v>
          </cell>
          <cell r="G58" t="str">
            <v xml:space="preserve">COTT FMW BDL 346 PLT  </v>
          </cell>
          <cell r="H58">
            <v>71.099999999999994</v>
          </cell>
          <cell r="I58" t="str">
            <v>A</v>
          </cell>
          <cell r="J58" t="str">
            <v>PLT</v>
          </cell>
          <cell r="K58" t="str">
            <v>S</v>
          </cell>
          <cell r="L58" t="str">
            <v>102005009</v>
          </cell>
          <cell r="M58" t="str">
            <v>102</v>
          </cell>
          <cell r="N58" t="str">
            <v>005</v>
          </cell>
          <cell r="O58" t="str">
            <v>009</v>
          </cell>
          <cell r="P58" t="str">
            <v xml:space="preserve">NA </v>
          </cell>
          <cell r="Q58" t="str">
            <v>72073-COTT FMW BDL 346</v>
          </cell>
          <cell r="R58" t="str">
            <v>Cott FMW Tub/Rfl Combo</v>
          </cell>
        </row>
        <row r="59">
          <cell r="A59" t="str">
            <v>72126</v>
          </cell>
          <cell r="B59" t="str">
            <v>7212600</v>
          </cell>
          <cell r="C59" t="str">
            <v>00000</v>
          </cell>
          <cell r="D59">
            <v>0.1008</v>
          </cell>
          <cell r="E59">
            <v>126</v>
          </cell>
          <cell r="F59">
            <v>8</v>
          </cell>
          <cell r="G59" t="str">
            <v>COTT FRSH FMW COMBO126</v>
          </cell>
          <cell r="H59">
            <v>1</v>
          </cell>
          <cell r="I59" t="str">
            <v>O</v>
          </cell>
          <cell r="J59" t="str">
            <v>CSE</v>
          </cell>
          <cell r="K59" t="str">
            <v>S</v>
          </cell>
          <cell r="L59" t="str">
            <v>102005002</v>
          </cell>
          <cell r="M59" t="str">
            <v>102</v>
          </cell>
          <cell r="N59" t="str">
            <v>005</v>
          </cell>
          <cell r="O59" t="str">
            <v>002</v>
          </cell>
          <cell r="P59" t="str">
            <v>USA</v>
          </cell>
          <cell r="Q59" t="str">
            <v>COTT FMWPOP-UPCOMBO126</v>
          </cell>
          <cell r="R59" t="str">
            <v>Cott FMW Tub/Rfl Combo</v>
          </cell>
        </row>
        <row r="60">
          <cell r="A60" t="str">
            <v>72140</v>
          </cell>
          <cell r="B60" t="str">
            <v>7214002</v>
          </cell>
          <cell r="C60" t="str">
            <v>00000</v>
          </cell>
          <cell r="D60">
            <v>0.112</v>
          </cell>
          <cell r="E60">
            <v>140</v>
          </cell>
          <cell r="F60">
            <v>8</v>
          </cell>
          <cell r="G60" t="str">
            <v xml:space="preserve">COTT FRSH FMW RFL 140 </v>
          </cell>
          <cell r="H60">
            <v>1</v>
          </cell>
          <cell r="I60" t="str">
            <v>A</v>
          </cell>
          <cell r="J60" t="str">
            <v>CSE</v>
          </cell>
          <cell r="K60" t="str">
            <v>S</v>
          </cell>
          <cell r="L60" t="str">
            <v>102002006</v>
          </cell>
          <cell r="M60" t="str">
            <v>102</v>
          </cell>
          <cell r="N60" t="str">
            <v>002</v>
          </cell>
          <cell r="O60" t="str">
            <v>006</v>
          </cell>
          <cell r="P60" t="str">
            <v xml:space="preserve">NA </v>
          </cell>
          <cell r="Q60" t="str">
            <v>COTT FMWPOP-UPRFL8/140</v>
          </cell>
          <cell r="R60" t="str">
            <v>Cott FMW Rfl</v>
          </cell>
        </row>
        <row r="61">
          <cell r="A61" t="str">
            <v>72142</v>
          </cell>
          <cell r="B61" t="str">
            <v>7214201</v>
          </cell>
          <cell r="C61" t="str">
            <v>00000</v>
          </cell>
          <cell r="D61">
            <v>6.7199999999999996E-2</v>
          </cell>
          <cell r="E61">
            <v>84</v>
          </cell>
          <cell r="F61">
            <v>8</v>
          </cell>
          <cell r="G61" t="str">
            <v>COTT FRSH FMW COMBO 84</v>
          </cell>
          <cell r="H61">
            <v>1</v>
          </cell>
          <cell r="I61" t="str">
            <v>O</v>
          </cell>
          <cell r="J61" t="str">
            <v>CSE</v>
          </cell>
          <cell r="K61" t="str">
            <v>S</v>
          </cell>
          <cell r="L61" t="str">
            <v>102005001</v>
          </cell>
          <cell r="M61" t="str">
            <v>102</v>
          </cell>
          <cell r="N61" t="str">
            <v>005</v>
          </cell>
          <cell r="O61" t="str">
            <v>001</v>
          </cell>
          <cell r="P61" t="str">
            <v xml:space="preserve">NA </v>
          </cell>
          <cell r="Q61" t="str">
            <v xml:space="preserve">COTT FMW POP-UPCOMBO84   </v>
          </cell>
          <cell r="R61" t="str">
            <v>Cott FMW Tub/Rfl Combo</v>
          </cell>
        </row>
        <row r="62">
          <cell r="A62" t="str">
            <v>72143</v>
          </cell>
          <cell r="B62" t="str">
            <v>7214300</v>
          </cell>
          <cell r="C62" t="str">
            <v>00000</v>
          </cell>
          <cell r="D62">
            <v>6.7199999999999996E-2</v>
          </cell>
          <cell r="E62">
            <v>84</v>
          </cell>
          <cell r="F62">
            <v>8</v>
          </cell>
          <cell r="G62" t="str">
            <v>COTT FRSH FMW COMBO 84</v>
          </cell>
          <cell r="H62">
            <v>1</v>
          </cell>
          <cell r="I62" t="str">
            <v>O</v>
          </cell>
          <cell r="J62" t="str">
            <v>CSE</v>
          </cell>
          <cell r="K62" t="str">
            <v>S</v>
          </cell>
          <cell r="L62" t="str">
            <v>102005001</v>
          </cell>
          <cell r="M62" t="str">
            <v>102</v>
          </cell>
          <cell r="N62" t="str">
            <v>005</v>
          </cell>
          <cell r="O62" t="str">
            <v>001</v>
          </cell>
          <cell r="P62" t="str">
            <v>USA</v>
          </cell>
          <cell r="Q62" t="str">
            <v xml:space="preserve">COTT FMW POP-UPCOMBO84   </v>
          </cell>
          <cell r="R62" t="str">
            <v>Cott FMW Tub/Rfl Combo</v>
          </cell>
        </row>
        <row r="63">
          <cell r="A63" t="str">
            <v>72233</v>
          </cell>
          <cell r="B63" t="str">
            <v>7223301</v>
          </cell>
          <cell r="C63" t="str">
            <v>00000</v>
          </cell>
          <cell r="D63">
            <v>3.9600000000000003E-2</v>
          </cell>
          <cell r="E63">
            <v>33</v>
          </cell>
          <cell r="F63">
            <v>12</v>
          </cell>
          <cell r="G63" t="str">
            <v>COTT FRSH FMW ZIP CS33</v>
          </cell>
          <cell r="H63">
            <v>1</v>
          </cell>
          <cell r="I63" t="str">
            <v>A</v>
          </cell>
          <cell r="J63" t="str">
            <v>CSE</v>
          </cell>
          <cell r="K63" t="str">
            <v>S</v>
          </cell>
          <cell r="L63" t="str">
            <v>102004002</v>
          </cell>
          <cell r="M63" t="str">
            <v>102</v>
          </cell>
          <cell r="N63" t="str">
            <v>004</v>
          </cell>
          <cell r="O63" t="str">
            <v>002</v>
          </cell>
          <cell r="P63" t="str">
            <v>USA</v>
          </cell>
          <cell r="Q63" t="str">
            <v>COTT FMW ZIP CS 12/33</v>
          </cell>
          <cell r="R63" t="str">
            <v>Cott FMW Pouch/Clip</v>
          </cell>
        </row>
        <row r="64">
          <cell r="A64" t="str">
            <v>72234</v>
          </cell>
          <cell r="B64" t="str">
            <v>7223400</v>
          </cell>
          <cell r="C64" t="str">
            <v>00000</v>
          </cell>
          <cell r="D64">
            <v>3.9600000000000003E-2</v>
          </cell>
          <cell r="E64">
            <v>33</v>
          </cell>
          <cell r="F64">
            <v>12</v>
          </cell>
          <cell r="G64" t="str">
            <v xml:space="preserve">COTT SC FMW POUCH 33  </v>
          </cell>
          <cell r="H64">
            <v>1</v>
          </cell>
          <cell r="I64" t="str">
            <v>O</v>
          </cell>
          <cell r="J64" t="str">
            <v>CSE</v>
          </cell>
          <cell r="K64" t="str">
            <v>S</v>
          </cell>
          <cell r="L64" t="str">
            <v>102004005</v>
          </cell>
          <cell r="M64" t="str">
            <v>102</v>
          </cell>
          <cell r="N64" t="str">
            <v>004</v>
          </cell>
          <cell r="O64" t="str">
            <v>005</v>
          </cell>
          <cell r="P64" t="str">
            <v>USA</v>
          </cell>
          <cell r="Q64" t="str">
            <v xml:space="preserve">COTT FMW POUCH 12/33     </v>
          </cell>
          <cell r="R64" t="str">
            <v>Cott FMW Pouch/Clip</v>
          </cell>
        </row>
        <row r="65">
          <cell r="A65" t="str">
            <v>72360</v>
          </cell>
          <cell r="B65" t="str">
            <v>7236000</v>
          </cell>
          <cell r="C65" t="str">
            <v>00000</v>
          </cell>
          <cell r="D65">
            <v>5.7599999999999998E-2</v>
          </cell>
          <cell r="E65">
            <v>36</v>
          </cell>
          <cell r="F65">
            <v>16</v>
          </cell>
          <cell r="G65" t="str">
            <v xml:space="preserve">COTT SC FMW TUB 36    </v>
          </cell>
          <cell r="H65">
            <v>1</v>
          </cell>
          <cell r="I65" t="str">
            <v>O</v>
          </cell>
          <cell r="J65" t="str">
            <v>CSE</v>
          </cell>
          <cell r="K65" t="str">
            <v>S</v>
          </cell>
          <cell r="L65" t="str">
            <v>102001006</v>
          </cell>
          <cell r="M65" t="str">
            <v>102</v>
          </cell>
          <cell r="N65" t="str">
            <v>001</v>
          </cell>
          <cell r="O65" t="str">
            <v>006</v>
          </cell>
          <cell r="P65" t="str">
            <v>USA</v>
          </cell>
          <cell r="Q65" t="str">
            <v>COTT FMW TUB 16/36</v>
          </cell>
          <cell r="R65" t="str">
            <v>Cott FMW Tub</v>
          </cell>
        </row>
        <row r="66">
          <cell r="A66" t="str">
            <v>72400</v>
          </cell>
          <cell r="B66" t="str">
            <v>7240000</v>
          </cell>
          <cell r="C66" t="str">
            <v>00000</v>
          </cell>
          <cell r="D66">
            <v>6.7199999999999996E-2</v>
          </cell>
          <cell r="E66">
            <v>42</v>
          </cell>
          <cell r="F66">
            <v>16</v>
          </cell>
          <cell r="G66" t="str">
            <v xml:space="preserve">COTT FRSH FMW TUB 42  </v>
          </cell>
          <cell r="H66">
            <v>1</v>
          </cell>
          <cell r="I66" t="str">
            <v>O</v>
          </cell>
          <cell r="J66" t="str">
            <v>CSE</v>
          </cell>
          <cell r="K66" t="str">
            <v>S</v>
          </cell>
          <cell r="L66" t="str">
            <v>102001002</v>
          </cell>
          <cell r="M66" t="str">
            <v>102</v>
          </cell>
          <cell r="N66" t="str">
            <v>001</v>
          </cell>
          <cell r="O66" t="str">
            <v>002</v>
          </cell>
          <cell r="P66" t="str">
            <v>USA</v>
          </cell>
          <cell r="Q66" t="str">
            <v>COTT FMWPOP-UPTUB36-42</v>
          </cell>
          <cell r="R66" t="str">
            <v>Cott FMW Tub</v>
          </cell>
        </row>
        <row r="67">
          <cell r="A67" t="str">
            <v>72401</v>
          </cell>
          <cell r="B67" t="str">
            <v>7240101</v>
          </cell>
          <cell r="C67" t="str">
            <v>00000</v>
          </cell>
          <cell r="D67">
            <v>0.02</v>
          </cell>
          <cell r="E67">
            <v>20</v>
          </cell>
          <cell r="F67">
            <v>10</v>
          </cell>
          <cell r="G67" t="str">
            <v xml:space="preserve">COTT FMW POUCH 20PK 1 </v>
          </cell>
          <cell r="H67">
            <v>1</v>
          </cell>
          <cell r="I67" t="str">
            <v>A</v>
          </cell>
          <cell r="J67" t="str">
            <v>CSE</v>
          </cell>
          <cell r="K67" t="str">
            <v>S</v>
          </cell>
          <cell r="L67" t="str">
            <v>102003001</v>
          </cell>
          <cell r="M67" t="str">
            <v>102</v>
          </cell>
          <cell r="N67" t="str">
            <v>003</v>
          </cell>
          <cell r="O67" t="str">
            <v>001</v>
          </cell>
          <cell r="P67" t="str">
            <v>USA</v>
          </cell>
          <cell r="Q67" t="str">
            <v>COTT FMW POUCH 20PK 1</v>
          </cell>
          <cell r="R67" t="str">
            <v xml:space="preserve">Cott FMW Pouch P1        </v>
          </cell>
        </row>
        <row r="68">
          <cell r="A68" t="str">
            <v>72428</v>
          </cell>
          <cell r="B68" t="str">
            <v>7242803</v>
          </cell>
          <cell r="C68" t="str">
            <v>00000</v>
          </cell>
          <cell r="D68">
            <v>0.1176</v>
          </cell>
          <cell r="E68">
            <v>42</v>
          </cell>
          <cell r="F68">
            <v>28</v>
          </cell>
          <cell r="G68" t="str">
            <v>COTT FRSH FMW 42TUBDSP</v>
          </cell>
          <cell r="H68">
            <v>2.33</v>
          </cell>
          <cell r="I68" t="str">
            <v>A</v>
          </cell>
          <cell r="J68" t="str">
            <v>DIS</v>
          </cell>
          <cell r="K68" t="str">
            <v>S</v>
          </cell>
          <cell r="L68" t="str">
            <v>102001004</v>
          </cell>
          <cell r="M68" t="str">
            <v>102</v>
          </cell>
          <cell r="N68" t="str">
            <v>001</v>
          </cell>
          <cell r="O68" t="str">
            <v>004</v>
          </cell>
          <cell r="P68" t="str">
            <v xml:space="preserve">NA </v>
          </cell>
          <cell r="Q68" t="str">
            <v>72428-COTT FMW TUB 42</v>
          </cell>
          <cell r="R68" t="str">
            <v>Cott FMW Tub</v>
          </cell>
        </row>
        <row r="69">
          <cell r="A69" t="str">
            <v>72430</v>
          </cell>
          <cell r="B69" t="str">
            <v>7243003</v>
          </cell>
          <cell r="C69" t="str">
            <v>00000</v>
          </cell>
          <cell r="D69">
            <v>6.7199999999999996E-2</v>
          </cell>
          <cell r="E69">
            <v>42</v>
          </cell>
          <cell r="F69">
            <v>16</v>
          </cell>
          <cell r="G69" t="str">
            <v>COTT FRSH FMW TUB42DSP</v>
          </cell>
          <cell r="H69">
            <v>1.33</v>
          </cell>
          <cell r="I69" t="str">
            <v>A</v>
          </cell>
          <cell r="J69" t="str">
            <v>DIS</v>
          </cell>
          <cell r="K69" t="str">
            <v>S</v>
          </cell>
          <cell r="L69" t="str">
            <v>102001005</v>
          </cell>
          <cell r="M69" t="str">
            <v>102</v>
          </cell>
          <cell r="N69" t="str">
            <v>001</v>
          </cell>
          <cell r="O69" t="str">
            <v>005</v>
          </cell>
          <cell r="P69" t="str">
            <v xml:space="preserve">NA </v>
          </cell>
          <cell r="Q69" t="str">
            <v>72430-COTT FMW 42 TUB</v>
          </cell>
          <cell r="R69" t="str">
            <v>Cott FMW Tub</v>
          </cell>
        </row>
        <row r="70">
          <cell r="A70" t="str">
            <v>72442</v>
          </cell>
          <cell r="B70" t="str">
            <v>7244210</v>
          </cell>
          <cell r="C70" t="str">
            <v>00000</v>
          </cell>
          <cell r="D70">
            <v>6.7199999999999996E-2</v>
          </cell>
          <cell r="E70">
            <v>42</v>
          </cell>
          <cell r="F70">
            <v>16</v>
          </cell>
          <cell r="G70" t="str">
            <v xml:space="preserve">COTT FRSH FMW TUB 42  </v>
          </cell>
          <cell r="H70">
            <v>1</v>
          </cell>
          <cell r="I70" t="str">
            <v>O</v>
          </cell>
          <cell r="J70" t="str">
            <v>CSE</v>
          </cell>
          <cell r="K70" t="str">
            <v>S</v>
          </cell>
          <cell r="L70" t="str">
            <v>102001002</v>
          </cell>
          <cell r="M70" t="str">
            <v>102</v>
          </cell>
          <cell r="N70" t="str">
            <v>001</v>
          </cell>
          <cell r="O70" t="str">
            <v>002</v>
          </cell>
          <cell r="P70" t="str">
            <v xml:space="preserve">NA </v>
          </cell>
          <cell r="Q70" t="str">
            <v>COTT FMWPOP-UPTUB36-42</v>
          </cell>
          <cell r="R70" t="str">
            <v>Cott FMW Tub</v>
          </cell>
        </row>
        <row r="71">
          <cell r="A71" t="str">
            <v>72444</v>
          </cell>
          <cell r="B71" t="str">
            <v>7244410</v>
          </cell>
          <cell r="C71" t="str">
            <v>00000</v>
          </cell>
          <cell r="D71">
            <v>6.7199999999999996E-2</v>
          </cell>
          <cell r="E71">
            <v>42</v>
          </cell>
          <cell r="F71">
            <v>16</v>
          </cell>
          <cell r="G71" t="str">
            <v xml:space="preserve">COTT FRSH FMW RFL 42  </v>
          </cell>
          <cell r="H71">
            <v>1</v>
          </cell>
          <cell r="I71" t="str">
            <v>O</v>
          </cell>
          <cell r="J71" t="str">
            <v>CSE</v>
          </cell>
          <cell r="K71" t="str">
            <v>S</v>
          </cell>
          <cell r="L71" t="str">
            <v>102002003</v>
          </cell>
          <cell r="M71" t="str">
            <v>102</v>
          </cell>
          <cell r="N71" t="str">
            <v>002</v>
          </cell>
          <cell r="O71" t="str">
            <v>003</v>
          </cell>
          <cell r="P71" t="str">
            <v xml:space="preserve">NA </v>
          </cell>
          <cell r="Q71" t="str">
            <v>COTT FMW POP-UP RFL 42</v>
          </cell>
          <cell r="R71" t="str">
            <v>Cott FMW Rfl</v>
          </cell>
        </row>
        <row r="72">
          <cell r="A72" t="str">
            <v>72450</v>
          </cell>
          <cell r="B72" t="str">
            <v>7245001</v>
          </cell>
          <cell r="C72" t="str">
            <v>00000</v>
          </cell>
          <cell r="D72">
            <v>0.28000000000000003</v>
          </cell>
          <cell r="E72">
            <v>140</v>
          </cell>
          <cell r="F72">
            <v>20</v>
          </cell>
          <cell r="G72" t="str">
            <v xml:space="preserve">COTT FRSH RFL 140 DSP </v>
          </cell>
          <cell r="H72">
            <v>2.5</v>
          </cell>
          <cell r="I72" t="str">
            <v>A</v>
          </cell>
          <cell r="J72" t="str">
            <v>DIS</v>
          </cell>
          <cell r="K72" t="str">
            <v>S</v>
          </cell>
          <cell r="L72" t="str">
            <v>102002002</v>
          </cell>
          <cell r="M72" t="str">
            <v>102</v>
          </cell>
          <cell r="N72" t="str">
            <v>002</v>
          </cell>
          <cell r="O72" t="str">
            <v>002</v>
          </cell>
          <cell r="P72" t="str">
            <v xml:space="preserve">NA </v>
          </cell>
          <cell r="Q72" t="str">
            <v>72450-COTT FMW RFL 140</v>
          </cell>
          <cell r="R72" t="str">
            <v>Cott FMW Rfl</v>
          </cell>
        </row>
        <row r="73">
          <cell r="A73" t="str">
            <v>72472</v>
          </cell>
          <cell r="B73" t="str">
            <v>7247201</v>
          </cell>
          <cell r="C73" t="str">
            <v>00000</v>
          </cell>
          <cell r="D73">
            <v>5.7599999999999998E-2</v>
          </cell>
          <cell r="E73">
            <v>72</v>
          </cell>
          <cell r="F73">
            <v>8</v>
          </cell>
          <cell r="G73" t="str">
            <v xml:space="preserve">COTT FRSH FMW RFL 72  </v>
          </cell>
          <cell r="H73">
            <v>1</v>
          </cell>
          <cell r="I73" t="str">
            <v>A</v>
          </cell>
          <cell r="J73" t="str">
            <v>CSE</v>
          </cell>
          <cell r="K73" t="str">
            <v>S</v>
          </cell>
          <cell r="L73" t="str">
            <v>102002009</v>
          </cell>
          <cell r="M73" t="str">
            <v>102</v>
          </cell>
          <cell r="N73" t="str">
            <v>002</v>
          </cell>
          <cell r="O73" t="str">
            <v>009</v>
          </cell>
          <cell r="P73" t="str">
            <v xml:space="preserve">NA </v>
          </cell>
          <cell r="Q73" t="str">
            <v xml:space="preserve">COTT FMW RFL 8/72        </v>
          </cell>
          <cell r="R73" t="str">
            <v>Cott FMW Rfl</v>
          </cell>
        </row>
        <row r="74">
          <cell r="A74" t="str">
            <v>72484</v>
          </cell>
          <cell r="B74" t="str">
            <v>7248402</v>
          </cell>
          <cell r="C74" t="str">
            <v>00000</v>
          </cell>
          <cell r="D74">
            <v>6.7199999999999996E-2</v>
          </cell>
          <cell r="E74">
            <v>84</v>
          </cell>
          <cell r="F74">
            <v>8</v>
          </cell>
          <cell r="G74" t="str">
            <v xml:space="preserve">COTT FRSH FMW RFL 84  </v>
          </cell>
          <cell r="H74">
            <v>1</v>
          </cell>
          <cell r="I74" t="str">
            <v>A</v>
          </cell>
          <cell r="J74" t="str">
            <v>CSE</v>
          </cell>
          <cell r="K74" t="str">
            <v>S</v>
          </cell>
          <cell r="L74" t="str">
            <v>102002005</v>
          </cell>
          <cell r="M74" t="str">
            <v>102</v>
          </cell>
          <cell r="N74" t="str">
            <v>002</v>
          </cell>
          <cell r="O74" t="str">
            <v>005</v>
          </cell>
          <cell r="P74" t="str">
            <v xml:space="preserve">NA </v>
          </cell>
          <cell r="Q74" t="str">
            <v>COTT FMWPOP-UPRFL72-84</v>
          </cell>
          <cell r="R74" t="str">
            <v>Cott FMW Rfl</v>
          </cell>
        </row>
        <row r="75">
          <cell r="A75" t="str">
            <v>72944</v>
          </cell>
          <cell r="B75" t="str">
            <v>7294400</v>
          </cell>
          <cell r="C75" t="str">
            <v>00000</v>
          </cell>
          <cell r="D75">
            <v>6.7199999999999996E-2</v>
          </cell>
          <cell r="E75">
            <v>42</v>
          </cell>
          <cell r="F75">
            <v>16</v>
          </cell>
          <cell r="G75" t="str">
            <v xml:space="preserve">COTT FRSH FMW RFL 42  </v>
          </cell>
          <cell r="H75">
            <v>1</v>
          </cell>
          <cell r="I75" t="str">
            <v>O</v>
          </cell>
          <cell r="J75" t="str">
            <v>CSE</v>
          </cell>
          <cell r="K75" t="str">
            <v>S</v>
          </cell>
          <cell r="L75" t="str">
            <v>102002004</v>
          </cell>
          <cell r="M75" t="str">
            <v>102</v>
          </cell>
          <cell r="N75" t="str">
            <v>002</v>
          </cell>
          <cell r="O75" t="str">
            <v>004</v>
          </cell>
          <cell r="P75" t="str">
            <v>USA</v>
          </cell>
          <cell r="Q75" t="str">
            <v xml:space="preserve">COTT FMWPOP-UPRFL16/42   </v>
          </cell>
          <cell r="R75" t="str">
            <v>Cott FMW Rfl</v>
          </cell>
        </row>
        <row r="76">
          <cell r="A76" t="str">
            <v>74042</v>
          </cell>
          <cell r="B76" t="str">
            <v>7404200</v>
          </cell>
          <cell r="C76" t="str">
            <v>00000</v>
          </cell>
          <cell r="D76">
            <v>8.1600000000000006E-2</v>
          </cell>
          <cell r="E76">
            <v>51</v>
          </cell>
          <cell r="F76">
            <v>16</v>
          </cell>
          <cell r="G76" t="str">
            <v xml:space="preserve">SCOTT SCT WIPE TUB 51 </v>
          </cell>
          <cell r="H76">
            <v>1</v>
          </cell>
          <cell r="I76" t="str">
            <v>O</v>
          </cell>
          <cell r="J76" t="str">
            <v>CSE</v>
          </cell>
          <cell r="K76" t="str">
            <v>S</v>
          </cell>
          <cell r="L76" t="str">
            <v>102008001</v>
          </cell>
          <cell r="M76" t="str">
            <v>102</v>
          </cell>
          <cell r="N76" t="str">
            <v>008</v>
          </cell>
          <cell r="O76" t="str">
            <v>001</v>
          </cell>
          <cell r="P76" t="str">
            <v>USA</v>
          </cell>
          <cell r="Q76" t="str">
            <v xml:space="preserve">SCOTT NATWIPE TUB16/51   </v>
          </cell>
          <cell r="R76" t="str">
            <v xml:space="preserve">Scott Naturals FMW Tub   </v>
          </cell>
        </row>
        <row r="77">
          <cell r="A77" t="str">
            <v>74050</v>
          </cell>
          <cell r="B77" t="str">
            <v>7405000</v>
          </cell>
          <cell r="C77" t="str">
            <v>00000</v>
          </cell>
          <cell r="D77">
            <v>8.1600000000000006E-2</v>
          </cell>
          <cell r="E77">
            <v>51</v>
          </cell>
          <cell r="F77">
            <v>16</v>
          </cell>
          <cell r="G77" t="str">
            <v xml:space="preserve">SCOTT SCT WIPE RFL 51 </v>
          </cell>
          <cell r="H77">
            <v>1</v>
          </cell>
          <cell r="I77" t="str">
            <v>O</v>
          </cell>
          <cell r="J77" t="str">
            <v>CSE</v>
          </cell>
          <cell r="K77" t="str">
            <v>S</v>
          </cell>
          <cell r="L77" t="str">
            <v>102009001</v>
          </cell>
          <cell r="M77" t="str">
            <v>102</v>
          </cell>
          <cell r="N77" t="str">
            <v>009</v>
          </cell>
          <cell r="O77" t="str">
            <v>001</v>
          </cell>
          <cell r="P77" t="str">
            <v>USA</v>
          </cell>
          <cell r="Q77" t="str">
            <v xml:space="preserve">SCOTT NAT WIPE RFL 51    </v>
          </cell>
          <cell r="R77" t="str">
            <v>Scott Naturals FMW Rfl Sm</v>
          </cell>
        </row>
        <row r="78">
          <cell r="A78" t="str">
            <v>74055</v>
          </cell>
          <cell r="B78" t="str">
            <v>7405500</v>
          </cell>
          <cell r="C78" t="str">
            <v>00000</v>
          </cell>
          <cell r="D78">
            <v>5.7599999999999998E-2</v>
          </cell>
          <cell r="E78">
            <v>36</v>
          </cell>
          <cell r="F78">
            <v>16</v>
          </cell>
          <cell r="G78" t="str">
            <v xml:space="preserve">COTT SC FMW TUB 36    </v>
          </cell>
          <cell r="H78">
            <v>1</v>
          </cell>
          <cell r="I78" t="str">
            <v>O</v>
          </cell>
          <cell r="J78" t="str">
            <v>CSE</v>
          </cell>
          <cell r="K78" t="str">
            <v>S</v>
          </cell>
          <cell r="L78" t="str">
            <v>102001002</v>
          </cell>
          <cell r="M78" t="str">
            <v>102</v>
          </cell>
          <cell r="N78" t="str">
            <v>001</v>
          </cell>
          <cell r="O78" t="str">
            <v>002</v>
          </cell>
          <cell r="P78" t="str">
            <v>CAN</v>
          </cell>
          <cell r="Q78" t="str">
            <v>COTT FMWPOP-UPTUB36-42</v>
          </cell>
          <cell r="R78" t="str">
            <v>Cott FMW Tub</v>
          </cell>
        </row>
        <row r="79">
          <cell r="A79" t="str">
            <v>74056</v>
          </cell>
          <cell r="B79" t="str">
            <v>7405601</v>
          </cell>
          <cell r="C79" t="str">
            <v>00000</v>
          </cell>
          <cell r="D79">
            <v>5.7599999999999998E-2</v>
          </cell>
          <cell r="E79">
            <v>72</v>
          </cell>
          <cell r="F79">
            <v>8</v>
          </cell>
          <cell r="G79" t="str">
            <v xml:space="preserve">COTT FRSH FMW RFL 72  </v>
          </cell>
          <cell r="H79">
            <v>1</v>
          </cell>
          <cell r="I79" t="str">
            <v>A</v>
          </cell>
          <cell r="J79" t="str">
            <v>CSE</v>
          </cell>
          <cell r="K79" t="str">
            <v>S</v>
          </cell>
          <cell r="L79" t="str">
            <v>102002005</v>
          </cell>
          <cell r="M79" t="str">
            <v>102</v>
          </cell>
          <cell r="N79" t="str">
            <v>002</v>
          </cell>
          <cell r="O79" t="str">
            <v>005</v>
          </cell>
          <cell r="P79" t="str">
            <v>CAN</v>
          </cell>
          <cell r="Q79" t="str">
            <v>COTT FMWPOP-UPRFL72-84</v>
          </cell>
          <cell r="R79" t="str">
            <v>Cott FMW Rfl</v>
          </cell>
        </row>
        <row r="80">
          <cell r="A80" t="str">
            <v>74102</v>
          </cell>
          <cell r="B80" t="str">
            <v>7410200</v>
          </cell>
          <cell r="C80" t="str">
            <v>00000</v>
          </cell>
          <cell r="D80">
            <v>8.1600000000000006E-2</v>
          </cell>
          <cell r="E80">
            <v>102</v>
          </cell>
          <cell r="F80">
            <v>8</v>
          </cell>
          <cell r="G80" t="str">
            <v>SCOTT SCT WIPE RFL 102</v>
          </cell>
          <cell r="H80">
            <v>1</v>
          </cell>
          <cell r="I80" t="str">
            <v>O</v>
          </cell>
          <cell r="J80" t="str">
            <v>CSE</v>
          </cell>
          <cell r="K80" t="str">
            <v>S</v>
          </cell>
          <cell r="L80" t="str">
            <v>102010001</v>
          </cell>
          <cell r="M80" t="str">
            <v>102</v>
          </cell>
          <cell r="N80" t="str">
            <v>010</v>
          </cell>
          <cell r="O80" t="str">
            <v>001</v>
          </cell>
          <cell r="P80" t="str">
            <v>USA</v>
          </cell>
          <cell r="Q80" t="str">
            <v xml:space="preserve">SCOTT NAT WIPES RFL102   </v>
          </cell>
          <cell r="R80" t="str">
            <v>Scott Naturals FMW Rf Med</v>
          </cell>
        </row>
        <row r="81">
          <cell r="A81" t="str">
            <v>74143</v>
          </cell>
          <cell r="B81" t="str">
            <v>7414300</v>
          </cell>
          <cell r="C81" t="str">
            <v>00000</v>
          </cell>
          <cell r="D81">
            <v>4.0800000000000003E-2</v>
          </cell>
          <cell r="E81">
            <v>51</v>
          </cell>
          <cell r="F81">
            <v>8</v>
          </cell>
          <cell r="G81" t="str">
            <v xml:space="preserve">SCOTT SCT WIPE TUB 51 </v>
          </cell>
          <cell r="H81">
            <v>1</v>
          </cell>
          <cell r="I81" t="str">
            <v>O</v>
          </cell>
          <cell r="J81" t="str">
            <v>CSE</v>
          </cell>
          <cell r="K81" t="str">
            <v>S</v>
          </cell>
          <cell r="L81" t="str">
            <v>102008002</v>
          </cell>
          <cell r="M81" t="str">
            <v>102</v>
          </cell>
          <cell r="N81" t="str">
            <v>008</v>
          </cell>
          <cell r="O81" t="str">
            <v>002</v>
          </cell>
          <cell r="P81" t="str">
            <v>USA</v>
          </cell>
          <cell r="Q81" t="str">
            <v>SCOTT WIPE TUB 8/51</v>
          </cell>
          <cell r="R81" t="str">
            <v xml:space="preserve">Scott Naturals FMW Tub   </v>
          </cell>
        </row>
        <row r="82">
          <cell r="A82" t="str">
            <v>74153</v>
          </cell>
          <cell r="B82" t="str">
            <v>7415300</v>
          </cell>
          <cell r="C82" t="str">
            <v>00000</v>
          </cell>
          <cell r="D82">
            <v>4.0800000000000003E-2</v>
          </cell>
          <cell r="E82">
            <v>51</v>
          </cell>
          <cell r="F82">
            <v>8</v>
          </cell>
          <cell r="G82" t="str">
            <v xml:space="preserve">SCOTT SCT WIPE RFL 51 </v>
          </cell>
          <cell r="H82">
            <v>1</v>
          </cell>
          <cell r="I82" t="str">
            <v>O</v>
          </cell>
          <cell r="J82" t="str">
            <v>CSE</v>
          </cell>
          <cell r="K82" t="str">
            <v>S</v>
          </cell>
          <cell r="L82" t="str">
            <v>102009002</v>
          </cell>
          <cell r="M82" t="str">
            <v>102</v>
          </cell>
          <cell r="N82" t="str">
            <v>009</v>
          </cell>
          <cell r="O82" t="str">
            <v>002</v>
          </cell>
          <cell r="P82" t="str">
            <v>USA</v>
          </cell>
          <cell r="Q82" t="str">
            <v xml:space="preserve">SCOTT WIPE RFL 8/51      </v>
          </cell>
          <cell r="R82" t="str">
            <v>Scott Naturals FMW Rfl Sm</v>
          </cell>
        </row>
        <row r="83">
          <cell r="A83" t="str">
            <v>76442</v>
          </cell>
          <cell r="B83" t="str">
            <v>7644200</v>
          </cell>
          <cell r="C83" t="str">
            <v>00000</v>
          </cell>
          <cell r="D83">
            <v>6.7199999999999996E-2</v>
          </cell>
          <cell r="E83">
            <v>42</v>
          </cell>
          <cell r="F83">
            <v>16</v>
          </cell>
          <cell r="G83" t="str">
            <v>COTT F/KIDS FMW TUB 42</v>
          </cell>
          <cell r="H83">
            <v>1</v>
          </cell>
          <cell r="I83" t="str">
            <v>O</v>
          </cell>
          <cell r="J83" t="str">
            <v>CSE</v>
          </cell>
          <cell r="K83" t="str">
            <v>S</v>
          </cell>
          <cell r="L83" t="str">
            <v>102006001</v>
          </cell>
          <cell r="M83" t="str">
            <v>102</v>
          </cell>
          <cell r="N83" t="str">
            <v>006</v>
          </cell>
          <cell r="O83" t="str">
            <v>001</v>
          </cell>
          <cell r="P83" t="str">
            <v>USA</v>
          </cell>
          <cell r="Q83" t="str">
            <v>COTT F/KIDS FMW TUB 42</v>
          </cell>
          <cell r="R83" t="str">
            <v>Cott Kids FMW Tub</v>
          </cell>
        </row>
        <row r="84">
          <cell r="A84" t="str">
            <v>76484</v>
          </cell>
          <cell r="B84" t="str">
            <v>7648400</v>
          </cell>
          <cell r="C84" t="str">
            <v>00000</v>
          </cell>
          <cell r="D84">
            <v>6.7199999999999996E-2</v>
          </cell>
          <cell r="E84">
            <v>84</v>
          </cell>
          <cell r="F84">
            <v>8</v>
          </cell>
          <cell r="G84" t="str">
            <v>COTT F/KIDS FMW RFL 84</v>
          </cell>
          <cell r="H84">
            <v>1</v>
          </cell>
          <cell r="I84" t="str">
            <v>O</v>
          </cell>
          <cell r="J84" t="str">
            <v>CSE</v>
          </cell>
          <cell r="K84" t="str">
            <v>S</v>
          </cell>
          <cell r="L84" t="str">
            <v>102007001</v>
          </cell>
          <cell r="M84" t="str">
            <v>102</v>
          </cell>
          <cell r="N84" t="str">
            <v>007</v>
          </cell>
          <cell r="O84" t="str">
            <v>001</v>
          </cell>
          <cell r="P84" t="str">
            <v>USA</v>
          </cell>
          <cell r="Q84" t="str">
            <v>COTT F/KIDS FMW RFL 84</v>
          </cell>
          <cell r="R84" t="str">
            <v>Cott Kids FMW Rfl</v>
          </cell>
        </row>
        <row r="85">
          <cell r="A85" t="str">
            <v>38791</v>
          </cell>
          <cell r="B85">
            <v>3879100</v>
          </cell>
          <cell r="C85" t="str">
            <v>00000</v>
          </cell>
          <cell r="D85">
            <v>0.252</v>
          </cell>
          <cell r="E85">
            <v>60</v>
          </cell>
          <cell r="F85">
            <v>1</v>
          </cell>
          <cell r="G85" t="str">
            <v>COTT FRSH MIX 6CS DSP</v>
          </cell>
          <cell r="I85" t="str">
            <v>A</v>
          </cell>
          <cell r="J85" t="str">
            <v>DIS</v>
          </cell>
          <cell r="P85" t="str">
            <v>NA</v>
          </cell>
          <cell r="R85" t="str">
            <v>Cott FMW Tub</v>
          </cell>
        </row>
        <row r="86">
          <cell r="A86" t="str">
            <v>38924</v>
          </cell>
          <cell r="B86">
            <v>3892400</v>
          </cell>
          <cell r="C86" t="str">
            <v>00000</v>
          </cell>
          <cell r="D86">
            <v>0.1176</v>
          </cell>
          <cell r="E86">
            <v>42</v>
          </cell>
          <cell r="F86">
            <v>28</v>
          </cell>
          <cell r="G86" t="str">
            <v>COTT FRSH FMW TUB 3.5CS DSP</v>
          </cell>
          <cell r="I86" t="str">
            <v>A</v>
          </cell>
          <cell r="J86" t="str">
            <v>DIS</v>
          </cell>
          <cell r="P86" t="str">
            <v>NA</v>
          </cell>
          <cell r="R86" t="str">
            <v>Cott FMW Tub</v>
          </cell>
        </row>
        <row r="87">
          <cell r="A87" t="str">
            <v>39099</v>
          </cell>
          <cell r="B87">
            <v>3909900</v>
          </cell>
          <cell r="C87" t="str">
            <v>00000</v>
          </cell>
          <cell r="D87">
            <v>2.4E-2</v>
          </cell>
          <cell r="E87">
            <v>10</v>
          </cell>
          <cell r="F87">
            <v>24</v>
          </cell>
          <cell r="G87" t="str">
            <v>COTT FRSH FMW CLP 10</v>
          </cell>
          <cell r="I87" t="str">
            <v>A</v>
          </cell>
          <cell r="J87" t="str">
            <v>CSE</v>
          </cell>
          <cell r="P87" t="str">
            <v>NA</v>
          </cell>
          <cell r="R87" t="str">
            <v>Cott FMW Pouch/Clip</v>
          </cell>
        </row>
        <row r="88">
          <cell r="A88" t="str">
            <v>39544</v>
          </cell>
          <cell r="B88">
            <v>3954400</v>
          </cell>
          <cell r="C88" t="str">
            <v>00000</v>
          </cell>
          <cell r="D88">
            <v>2.7216</v>
          </cell>
          <cell r="E88">
            <v>252</v>
          </cell>
          <cell r="F88">
            <v>108</v>
          </cell>
          <cell r="G88" t="str">
            <v>COTT FRSH FCC W/POUCH 108CS DSP</v>
          </cell>
          <cell r="I88" t="str">
            <v>A</v>
          </cell>
          <cell r="J88" t="str">
            <v>DIS</v>
          </cell>
          <cell r="P88" t="str">
            <v>CAN</v>
          </cell>
          <cell r="R88" t="str">
            <v>Cott FMW Pouch/Clip</v>
          </cell>
        </row>
        <row r="89">
          <cell r="A89" t="str">
            <v>40129</v>
          </cell>
          <cell r="B89">
            <v>4012900</v>
          </cell>
          <cell r="C89" t="str">
            <v>00000</v>
          </cell>
          <cell r="D89">
            <v>3.9E-2</v>
          </cell>
          <cell r="E89">
            <v>391</v>
          </cell>
          <cell r="F89">
            <v>1</v>
          </cell>
          <cell r="G89" t="str">
            <v>SCOTT NAT FCC 391 W/TUB</v>
          </cell>
          <cell r="I89" t="str">
            <v>A</v>
          </cell>
          <cell r="J89" t="str">
            <v>CS</v>
          </cell>
          <cell r="P89" t="str">
            <v>USA</v>
          </cell>
          <cell r="R89" t="str">
            <v xml:space="preserve">Scott Naturals FMW Tub   </v>
          </cell>
        </row>
        <row r="90">
          <cell r="A90" t="str">
            <v>40195</v>
          </cell>
          <cell r="B90">
            <v>4019500</v>
          </cell>
          <cell r="C90" t="str">
            <v>00000</v>
          </cell>
          <cell r="D90">
            <v>3.3599999999999998E-2</v>
          </cell>
          <cell r="E90">
            <v>336</v>
          </cell>
          <cell r="F90">
            <v>1</v>
          </cell>
          <cell r="G90" t="str">
            <v>COTT FRSH FCC RFL 336</v>
          </cell>
          <cell r="I90" t="str">
            <v>A</v>
          </cell>
          <cell r="J90" t="str">
            <v>CS</v>
          </cell>
          <cell r="P90" t="str">
            <v>USA</v>
          </cell>
          <cell r="R90" t="str">
            <v>Cott FMW Rfl</v>
          </cell>
        </row>
        <row r="91">
          <cell r="A91" t="str">
            <v>39913</v>
          </cell>
          <cell r="B91">
            <v>3391300</v>
          </cell>
          <cell r="C91" t="str">
            <v>00000</v>
          </cell>
          <cell r="D91">
            <v>6.7199999999999996E-2</v>
          </cell>
          <cell r="E91">
            <v>84</v>
          </cell>
          <cell r="F91">
            <v>8</v>
          </cell>
          <cell r="G91" t="str">
            <v>COTT CMFT FCC RFL 84</v>
          </cell>
          <cell r="I91" t="str">
            <v>A</v>
          </cell>
          <cell r="J91" t="str">
            <v>CS</v>
          </cell>
          <cell r="P91" t="str">
            <v>NA</v>
          </cell>
          <cell r="R91" t="str">
            <v>Cott FMW Rfl</v>
          </cell>
        </row>
        <row r="92">
          <cell r="A92" t="str">
            <v>39915</v>
          </cell>
          <cell r="B92">
            <v>3391500</v>
          </cell>
          <cell r="C92" t="str">
            <v>00000</v>
          </cell>
          <cell r="D92">
            <v>1.7000000000000001E-2</v>
          </cell>
          <cell r="E92">
            <v>34</v>
          </cell>
          <cell r="F92">
            <v>5</v>
          </cell>
          <cell r="G92" t="str">
            <v>COTT CMFT FCC POUCH 34</v>
          </cell>
          <cell r="I92" t="str">
            <v>A</v>
          </cell>
          <cell r="J92" t="str">
            <v>CS</v>
          </cell>
          <cell r="P92" t="str">
            <v>NA</v>
          </cell>
          <cell r="R92" t="str">
            <v>Cott FMW Pouch/Clip</v>
          </cell>
        </row>
        <row r="93">
          <cell r="A93" t="str">
            <v>39916</v>
          </cell>
          <cell r="B93">
            <v>3391600</v>
          </cell>
          <cell r="C93" t="str">
            <v>00000</v>
          </cell>
          <cell r="D93">
            <v>0.1008</v>
          </cell>
          <cell r="E93">
            <v>126</v>
          </cell>
          <cell r="F93">
            <v>8</v>
          </cell>
          <cell r="G93" t="str">
            <v>COTT CMFT FCC RFL 126</v>
          </cell>
          <cell r="I93" t="str">
            <v>A</v>
          </cell>
          <cell r="J93" t="str">
            <v>CS</v>
          </cell>
          <cell r="P93" t="str">
            <v>NA</v>
          </cell>
          <cell r="R93" t="str">
            <v>Cott FMW Rfl</v>
          </cell>
        </row>
        <row r="94">
          <cell r="A94" t="str">
            <v>39917</v>
          </cell>
          <cell r="B94">
            <v>3391700</v>
          </cell>
          <cell r="C94" t="str">
            <v>00000</v>
          </cell>
          <cell r="D94">
            <v>0.13439999999999999</v>
          </cell>
          <cell r="E94">
            <v>168</v>
          </cell>
          <cell r="F94">
            <v>8</v>
          </cell>
          <cell r="G94" t="str">
            <v>COTT CMFT FCC RFL BAG 168</v>
          </cell>
          <cell r="I94" t="str">
            <v>A</v>
          </cell>
          <cell r="J94" t="str">
            <v>CS</v>
          </cell>
          <cell r="P94" t="str">
            <v>NA</v>
          </cell>
          <cell r="R94" t="str">
            <v>Cott FMW Rfl</v>
          </cell>
        </row>
        <row r="95">
          <cell r="A95" t="str">
            <v>39897</v>
          </cell>
          <cell r="B95">
            <v>3989700</v>
          </cell>
          <cell r="C95" t="str">
            <v>00000</v>
          </cell>
          <cell r="D95">
            <v>3.3599999999999998E-2</v>
          </cell>
          <cell r="E95">
            <v>42</v>
          </cell>
          <cell r="F95">
            <v>8</v>
          </cell>
          <cell r="G95" t="str">
            <v>COTT CMFT FCC TUB 42</v>
          </cell>
          <cell r="I95" t="str">
            <v>A</v>
          </cell>
          <cell r="J95" t="str">
            <v>CS</v>
          </cell>
          <cell r="P95" t="str">
            <v>NA</v>
          </cell>
          <cell r="R95" t="str">
            <v>Cott FMW Tub</v>
          </cell>
        </row>
        <row r="96">
          <cell r="A96" t="str">
            <v>39799</v>
          </cell>
          <cell r="B96">
            <v>3979900</v>
          </cell>
          <cell r="C96" t="str">
            <v>00000</v>
          </cell>
          <cell r="D96">
            <v>1.8144</v>
          </cell>
          <cell r="E96">
            <v>252</v>
          </cell>
          <cell r="F96">
            <v>72</v>
          </cell>
          <cell r="G96" t="str">
            <v>COTT FRSH DSPNR W/FCC 252 PLT</v>
          </cell>
          <cell r="I96" t="str">
            <v>A</v>
          </cell>
          <cell r="J96" t="str">
            <v>PAL</v>
          </cell>
          <cell r="P96" t="str">
            <v>USA</v>
          </cell>
          <cell r="R96" t="str">
            <v xml:space="preserve">Cott FMW Dispenser       </v>
          </cell>
        </row>
        <row r="97">
          <cell r="A97" t="str">
            <v>38788</v>
          </cell>
          <cell r="B97">
            <v>3878800</v>
          </cell>
          <cell r="C97" t="str">
            <v>00000</v>
          </cell>
          <cell r="D97">
            <v>4.2336</v>
          </cell>
          <cell r="E97">
            <v>294</v>
          </cell>
          <cell r="F97">
            <v>144</v>
          </cell>
          <cell r="G97" t="str">
            <v>COTT FRSH FCC BDL 294 PLT</v>
          </cell>
          <cell r="I97" t="str">
            <v>A</v>
          </cell>
          <cell r="J97" t="str">
            <v>PAL</v>
          </cell>
          <cell r="P97" t="str">
            <v>USA</v>
          </cell>
          <cell r="R97" t="str">
            <v>Cott FMW Tub/Rfl Combo</v>
          </cell>
        </row>
        <row r="98">
          <cell r="A98" t="str">
            <v>38795</v>
          </cell>
          <cell r="B98">
            <v>3879500</v>
          </cell>
          <cell r="C98" t="str">
            <v>00000</v>
          </cell>
          <cell r="D98">
            <v>7.2</v>
          </cell>
          <cell r="E98">
            <v>400</v>
          </cell>
          <cell r="F98">
            <v>180</v>
          </cell>
          <cell r="G98" t="str">
            <v>COTT FRSH FCC BDL 400 PLT</v>
          </cell>
          <cell r="I98" t="str">
            <v>A</v>
          </cell>
          <cell r="J98" t="str">
            <v>PAL</v>
          </cell>
          <cell r="P98" t="str">
            <v>USA</v>
          </cell>
          <cell r="R98" t="str">
            <v>Cott FMW Tub/Rfl Combo</v>
          </cell>
        </row>
        <row r="99">
          <cell r="A99" t="str">
            <v>38856</v>
          </cell>
          <cell r="B99">
            <v>3885600</v>
          </cell>
          <cell r="C99" t="str">
            <v>00000</v>
          </cell>
          <cell r="D99">
            <v>1.7999999999999999E-2</v>
          </cell>
          <cell r="E99">
            <v>36</v>
          </cell>
          <cell r="F99">
            <v>5</v>
          </cell>
          <cell r="G99" t="str">
            <v>COTT GNTL FMW RFL POUCH 36</v>
          </cell>
          <cell r="I99" t="str">
            <v>A</v>
          </cell>
          <cell r="J99" t="str">
            <v>CS</v>
          </cell>
          <cell r="P99" t="str">
            <v>USA</v>
          </cell>
          <cell r="R99" t="str">
            <v>Cott FMW Pouch/Clip</v>
          </cell>
        </row>
        <row r="100">
          <cell r="A100" t="str">
            <v>38900</v>
          </cell>
          <cell r="B100">
            <v>3890000</v>
          </cell>
          <cell r="C100" t="str">
            <v>00000</v>
          </cell>
          <cell r="D100">
            <v>0.03</v>
          </cell>
          <cell r="E100">
            <v>10</v>
          </cell>
          <cell r="F100">
            <v>30</v>
          </cell>
          <cell r="G100" t="str">
            <v>COTT FRSH OTG RFL 1.5CS DSP</v>
          </cell>
          <cell r="I100" t="str">
            <v>A</v>
          </cell>
          <cell r="J100" t="str">
            <v>DIS</v>
          </cell>
          <cell r="P100" t="str">
            <v>USA</v>
          </cell>
          <cell r="R100" t="str">
            <v>Cott FMW Pouch/Clip</v>
          </cell>
        </row>
        <row r="101">
          <cell r="A101" t="str">
            <v>39361</v>
          </cell>
          <cell r="B101">
            <v>3936100</v>
          </cell>
          <cell r="C101" t="str">
            <v>00000</v>
          </cell>
          <cell r="D101">
            <v>2.4E-2</v>
          </cell>
          <cell r="E101">
            <v>10</v>
          </cell>
          <cell r="F101">
            <v>24</v>
          </cell>
          <cell r="G101" t="str">
            <v>COTT FRSH FCC OTG 10</v>
          </cell>
          <cell r="I101" t="str">
            <v>A</v>
          </cell>
          <cell r="J101" t="str">
            <v>CS</v>
          </cell>
          <cell r="P101" t="str">
            <v>NA</v>
          </cell>
          <cell r="R101" t="str">
            <v>Cott FMW Pouch/Clip</v>
          </cell>
        </row>
        <row r="102">
          <cell r="A102" t="str">
            <v>39542</v>
          </cell>
          <cell r="B102">
            <v>3954200</v>
          </cell>
          <cell r="C102" t="str">
            <v>00000</v>
          </cell>
          <cell r="D102">
            <v>1.8140000000000001</v>
          </cell>
          <cell r="E102">
            <v>252</v>
          </cell>
          <cell r="F102">
            <v>72</v>
          </cell>
          <cell r="G102" t="str">
            <v>COTT FRSH FCC W/POUCH 252 PLT</v>
          </cell>
          <cell r="I102" t="str">
            <v>A</v>
          </cell>
          <cell r="J102" t="str">
            <v>PAL</v>
          </cell>
          <cell r="P102" t="str">
            <v>NA</v>
          </cell>
          <cell r="R102" t="str">
            <v>Cott FMW Tub/Rfl Combo</v>
          </cell>
        </row>
        <row r="103">
          <cell r="A103" t="str">
            <v>38787</v>
          </cell>
          <cell r="B103">
            <v>3878700</v>
          </cell>
          <cell r="C103" t="str">
            <v>00000</v>
          </cell>
          <cell r="D103">
            <v>3.1751999999999998</v>
          </cell>
          <cell r="E103">
            <v>294</v>
          </cell>
          <cell r="F103">
            <v>108</v>
          </cell>
          <cell r="G103" t="str">
            <v>COTT FRSH FCC BDL 294 PLT</v>
          </cell>
          <cell r="I103" t="str">
            <v>A</v>
          </cell>
          <cell r="J103" t="str">
            <v>PAL</v>
          </cell>
          <cell r="P103" t="str">
            <v>USA</v>
          </cell>
          <cell r="R103" t="str">
            <v>Cott FMW Tub/Rfl Combo</v>
          </cell>
        </row>
        <row r="104">
          <cell r="A104" t="str">
            <v>37369</v>
          </cell>
          <cell r="B104">
            <v>3736900</v>
          </cell>
          <cell r="C104" t="str">
            <v>00000</v>
          </cell>
          <cell r="D104">
            <v>4.0800000000000003E-2</v>
          </cell>
          <cell r="E104">
            <v>51</v>
          </cell>
          <cell r="F104">
            <v>8</v>
          </cell>
          <cell r="G104" t="str">
            <v>SCOTT NAT WIPE TUB 51</v>
          </cell>
          <cell r="I104" t="str">
            <v>A</v>
          </cell>
          <cell r="J104" t="str">
            <v>CS</v>
          </cell>
          <cell r="P104" t="str">
            <v>NA</v>
          </cell>
          <cell r="R104" t="str">
            <v xml:space="preserve">Scott Naturals FMW Tub   </v>
          </cell>
        </row>
        <row r="105">
          <cell r="A105" t="str">
            <v>37242</v>
          </cell>
          <cell r="B105">
            <v>3724200</v>
          </cell>
          <cell r="C105" t="str">
            <v>00000</v>
          </cell>
          <cell r="D105">
            <v>0.02</v>
          </cell>
          <cell r="E105">
            <v>10</v>
          </cell>
          <cell r="F105">
            <v>20</v>
          </cell>
          <cell r="G105" t="str">
            <v>COTT FRSH FCC OTG 10</v>
          </cell>
          <cell r="I105" t="str">
            <v>A</v>
          </cell>
          <cell r="J105" t="str">
            <v>CS</v>
          </cell>
          <cell r="P105" t="str">
            <v>NA</v>
          </cell>
          <cell r="R105" t="str">
            <v>Cott FMW Pouch/Clip</v>
          </cell>
        </row>
        <row r="106">
          <cell r="A106" t="str">
            <v>36992</v>
          </cell>
          <cell r="B106">
            <v>3699200</v>
          </cell>
          <cell r="C106" t="str">
            <v>00000</v>
          </cell>
          <cell r="D106">
            <v>0.13439999999999999</v>
          </cell>
          <cell r="E106">
            <v>168</v>
          </cell>
          <cell r="F106">
            <v>8</v>
          </cell>
          <cell r="G106" t="str">
            <v>COTT FRSH FMW RFL 168</v>
          </cell>
          <cell r="I106" t="str">
            <v>C</v>
          </cell>
          <cell r="J106" t="str">
            <v>CS</v>
          </cell>
          <cell r="P106" t="str">
            <v>NA</v>
          </cell>
          <cell r="R106" t="str">
            <v>Cott FMW Rfl</v>
          </cell>
        </row>
        <row r="107">
          <cell r="A107" t="str">
            <v>72143</v>
          </cell>
          <cell r="B107">
            <v>7214300</v>
          </cell>
          <cell r="C107" t="str">
            <v>00000</v>
          </cell>
          <cell r="D107">
            <v>6.7199999999999996E-2</v>
          </cell>
          <cell r="E107">
            <v>84</v>
          </cell>
          <cell r="F107">
            <v>8</v>
          </cell>
          <cell r="G107" t="str">
            <v>COTT FRSH FMW COMBO 84</v>
          </cell>
          <cell r="I107" t="str">
            <v xml:space="preserve">O </v>
          </cell>
          <cell r="J107" t="str">
            <v>CS</v>
          </cell>
          <cell r="P107" t="str">
            <v>USA</v>
          </cell>
          <cell r="R107" t="str">
            <v>Cott FMW Tub/Rfl Combo</v>
          </cell>
        </row>
        <row r="108">
          <cell r="A108" t="str">
            <v>36749</v>
          </cell>
          <cell r="B108">
            <v>3674900</v>
          </cell>
          <cell r="C108" t="str">
            <v>00000</v>
          </cell>
          <cell r="D108">
            <v>2.1960000000000002</v>
          </cell>
          <cell r="E108">
            <v>305</v>
          </cell>
          <cell r="F108">
            <v>72</v>
          </cell>
          <cell r="G108" t="str">
            <v>COTT FCC BDL 305 PLT</v>
          </cell>
          <cell r="I108" t="str">
            <v>A</v>
          </cell>
          <cell r="J108" t="str">
            <v>PAL</v>
          </cell>
          <cell r="P108" t="str">
            <v>NA</v>
          </cell>
          <cell r="R108" t="str">
            <v>Cott FMW Tub/Rfl Combo</v>
          </cell>
        </row>
        <row r="109">
          <cell r="A109" t="str">
            <v>40541</v>
          </cell>
          <cell r="B109">
            <v>4054100</v>
          </cell>
          <cell r="C109" t="str">
            <v>00000</v>
          </cell>
          <cell r="D109">
            <v>4.0800000000000003E-2</v>
          </cell>
          <cell r="E109">
            <v>34</v>
          </cell>
          <cell r="F109">
            <v>12</v>
          </cell>
          <cell r="G109" t="str">
            <v>COTT FRSH FCC 34</v>
          </cell>
          <cell r="I109" t="str">
            <v>A</v>
          </cell>
          <cell r="J109" t="str">
            <v>CS</v>
          </cell>
          <cell r="P109" t="str">
            <v>NA</v>
          </cell>
          <cell r="R109" t="str">
            <v>Cott FMW Tub</v>
          </cell>
        </row>
        <row r="110">
          <cell r="A110" t="str">
            <v>40646</v>
          </cell>
          <cell r="B110">
            <v>4064600</v>
          </cell>
          <cell r="C110" t="str">
            <v>00000</v>
          </cell>
          <cell r="D110">
            <v>6.7199999999999996E-2</v>
          </cell>
          <cell r="E110">
            <v>84</v>
          </cell>
          <cell r="F110">
            <v>8</v>
          </cell>
          <cell r="G110" t="str">
            <v>COTT FRSH FCC RFL 84</v>
          </cell>
          <cell r="I110" t="str">
            <v>A</v>
          </cell>
          <cell r="J110" t="str">
            <v>CS</v>
          </cell>
          <cell r="P110" t="str">
            <v>NA</v>
          </cell>
          <cell r="R110" t="str">
            <v>Cott FMW Rfl</v>
          </cell>
        </row>
        <row r="111">
          <cell r="A111" t="str">
            <v>39479</v>
          </cell>
          <cell r="B111">
            <v>3947900</v>
          </cell>
          <cell r="C111" t="str">
            <v>00000</v>
          </cell>
          <cell r="D111">
            <v>2.4E-2</v>
          </cell>
          <cell r="E111">
            <v>10</v>
          </cell>
          <cell r="F111">
            <v>24</v>
          </cell>
          <cell r="G111" t="str">
            <v>COTT FRSH FCC CLP 10</v>
          </cell>
          <cell r="I111" t="str">
            <v>A</v>
          </cell>
          <cell r="J111" t="str">
            <v>CS</v>
          </cell>
          <cell r="P111" t="str">
            <v>NA</v>
          </cell>
          <cell r="R111" t="str">
            <v>Cott FMW Pouch/Clip</v>
          </cell>
        </row>
        <row r="112">
          <cell r="A112" t="str">
            <v>40804</v>
          </cell>
          <cell r="B112">
            <v>4080400</v>
          </cell>
          <cell r="C112" t="str">
            <v>00000</v>
          </cell>
          <cell r="D112">
            <v>1.6799999999999999E-2</v>
          </cell>
          <cell r="E112">
            <v>42</v>
          </cell>
          <cell r="F112">
            <v>4</v>
          </cell>
          <cell r="G112" t="str">
            <v>COTT FRSH FCC TUB 42</v>
          </cell>
          <cell r="I112" t="str">
            <v>A</v>
          </cell>
          <cell r="J112" t="str">
            <v>CS</v>
          </cell>
          <cell r="P112" t="str">
            <v>NA</v>
          </cell>
          <cell r="R112" t="str">
            <v>Cott FMW Tub</v>
          </cell>
        </row>
        <row r="113">
          <cell r="A113" t="str">
            <v>40847</v>
          </cell>
          <cell r="B113">
            <v>4084700</v>
          </cell>
          <cell r="C113" t="str">
            <v>00000</v>
          </cell>
          <cell r="D113">
            <v>2.52E-2</v>
          </cell>
          <cell r="E113">
            <v>42</v>
          </cell>
          <cell r="F113">
            <v>6</v>
          </cell>
          <cell r="G113" t="str">
            <v>COTT FRSH FCC UPRT DSPNR 42</v>
          </cell>
          <cell r="I113" t="str">
            <v>A</v>
          </cell>
          <cell r="J113" t="str">
            <v>CS</v>
          </cell>
          <cell r="P113" t="str">
            <v>NA</v>
          </cell>
          <cell r="R113" t="str">
            <v xml:space="preserve">Cott FMW Dispenser       </v>
          </cell>
        </row>
        <row r="114">
          <cell r="A114" t="str">
            <v>40922</v>
          </cell>
          <cell r="B114">
            <v>4092200</v>
          </cell>
          <cell r="C114" t="str">
            <v>00000</v>
          </cell>
          <cell r="D114">
            <v>7.2576000000000001</v>
          </cell>
          <cell r="E114">
            <v>144</v>
          </cell>
          <cell r="F114">
            <v>1</v>
          </cell>
          <cell r="G114" t="str">
            <v>COTT FRSH FCC BLD 504 PLT</v>
          </cell>
          <cell r="I114" t="str">
            <v>A</v>
          </cell>
          <cell r="J114" t="str">
            <v>PAL</v>
          </cell>
          <cell r="P114" t="str">
            <v>NA</v>
          </cell>
          <cell r="R114" t="str">
            <v>Cott FMW Tub/Rfl Combo</v>
          </cell>
        </row>
        <row r="115">
          <cell r="A115" t="str">
            <v>40991</v>
          </cell>
          <cell r="B115">
            <v>4099100</v>
          </cell>
          <cell r="C115" t="str">
            <v>00000</v>
          </cell>
          <cell r="D115">
            <v>5.04E-2</v>
          </cell>
          <cell r="E115">
            <v>42</v>
          </cell>
          <cell r="F115">
            <v>1</v>
          </cell>
          <cell r="G115" t="str">
            <v>COTT FRSH FCC 2CS DSP</v>
          </cell>
          <cell r="I115" t="str">
            <v>A</v>
          </cell>
          <cell r="J115" t="str">
            <v>DIS</v>
          </cell>
          <cell r="P115" t="str">
            <v>USA</v>
          </cell>
          <cell r="R115" t="str">
            <v>Cott FMW Tub</v>
          </cell>
        </row>
        <row r="116">
          <cell r="O116">
            <v>0</v>
          </cell>
          <cell r="P116">
            <v>0</v>
          </cell>
          <cell r="Q116">
            <v>0</v>
          </cell>
        </row>
        <row r="117">
          <cell r="O117">
            <v>0</v>
          </cell>
          <cell r="P117">
            <v>0</v>
          </cell>
          <cell r="Q117">
            <v>0</v>
          </cell>
        </row>
        <row r="118">
          <cell r="O118">
            <v>0</v>
          </cell>
          <cell r="P118">
            <v>0</v>
          </cell>
          <cell r="Q118">
            <v>0</v>
          </cell>
        </row>
        <row r="119">
          <cell r="O119">
            <v>0</v>
          </cell>
          <cell r="P119">
            <v>0</v>
          </cell>
          <cell r="Q119">
            <v>0</v>
          </cell>
        </row>
        <row r="120">
          <cell r="O120">
            <v>0</v>
          </cell>
          <cell r="P120">
            <v>0</v>
          </cell>
          <cell r="Q120">
            <v>0</v>
          </cell>
        </row>
        <row r="121">
          <cell r="O121">
            <v>0</v>
          </cell>
          <cell r="P121">
            <v>0</v>
          </cell>
          <cell r="Q121">
            <v>0</v>
          </cell>
        </row>
        <row r="122">
          <cell r="O122">
            <v>0</v>
          </cell>
          <cell r="P122">
            <v>0</v>
          </cell>
          <cell r="Q122">
            <v>0</v>
          </cell>
        </row>
        <row r="123">
          <cell r="O123">
            <v>0</v>
          </cell>
          <cell r="P123">
            <v>0</v>
          </cell>
          <cell r="Q123">
            <v>0</v>
          </cell>
        </row>
        <row r="124">
          <cell r="O124">
            <v>0</v>
          </cell>
          <cell r="P124">
            <v>0</v>
          </cell>
          <cell r="Q124">
            <v>0</v>
          </cell>
        </row>
        <row r="125">
          <cell r="O125">
            <v>0</v>
          </cell>
          <cell r="P125">
            <v>0</v>
          </cell>
          <cell r="Q125">
            <v>0</v>
          </cell>
        </row>
        <row r="126">
          <cell r="O126">
            <v>0</v>
          </cell>
          <cell r="P126">
            <v>0</v>
          </cell>
          <cell r="Q126">
            <v>0</v>
          </cell>
        </row>
        <row r="127">
          <cell r="O127">
            <v>0</v>
          </cell>
          <cell r="P127">
            <v>0</v>
          </cell>
          <cell r="Q127">
            <v>0</v>
          </cell>
        </row>
        <row r="128">
          <cell r="O128">
            <v>0</v>
          </cell>
          <cell r="P128">
            <v>0</v>
          </cell>
          <cell r="Q128">
            <v>0</v>
          </cell>
        </row>
        <row r="129">
          <cell r="O129">
            <v>0</v>
          </cell>
          <cell r="P129">
            <v>0</v>
          </cell>
          <cell r="Q129">
            <v>0</v>
          </cell>
        </row>
        <row r="130">
          <cell r="O130">
            <v>0</v>
          </cell>
          <cell r="P130">
            <v>0</v>
          </cell>
          <cell r="Q130">
            <v>0</v>
          </cell>
        </row>
        <row r="131">
          <cell r="O131">
            <v>0</v>
          </cell>
          <cell r="P131">
            <v>0</v>
          </cell>
          <cell r="Q131">
            <v>0</v>
          </cell>
        </row>
        <row r="132">
          <cell r="O132">
            <v>0</v>
          </cell>
          <cell r="P132">
            <v>0</v>
          </cell>
          <cell r="Q132">
            <v>0</v>
          </cell>
        </row>
        <row r="133">
          <cell r="O133">
            <v>0</v>
          </cell>
          <cell r="P133">
            <v>0</v>
          </cell>
          <cell r="Q133">
            <v>0</v>
          </cell>
        </row>
        <row r="134">
          <cell r="O134">
            <v>0</v>
          </cell>
          <cell r="P134">
            <v>0</v>
          </cell>
          <cell r="Q134">
            <v>0</v>
          </cell>
        </row>
        <row r="135">
          <cell r="O135">
            <v>0</v>
          </cell>
          <cell r="P135">
            <v>0</v>
          </cell>
          <cell r="Q135">
            <v>0</v>
          </cell>
        </row>
        <row r="136">
          <cell r="O136">
            <v>0</v>
          </cell>
          <cell r="P136">
            <v>0</v>
          </cell>
          <cell r="Q136">
            <v>0</v>
          </cell>
        </row>
        <row r="137">
          <cell r="O137">
            <v>0</v>
          </cell>
          <cell r="P137">
            <v>0</v>
          </cell>
          <cell r="Q137">
            <v>0</v>
          </cell>
        </row>
        <row r="138">
          <cell r="O138">
            <v>0</v>
          </cell>
          <cell r="P138">
            <v>0</v>
          </cell>
          <cell r="Q138">
            <v>0</v>
          </cell>
        </row>
        <row r="139">
          <cell r="O139">
            <v>0</v>
          </cell>
          <cell r="P139">
            <v>0</v>
          </cell>
          <cell r="Q139">
            <v>0</v>
          </cell>
        </row>
        <row r="140">
          <cell r="O140">
            <v>0</v>
          </cell>
          <cell r="P140">
            <v>0</v>
          </cell>
          <cell r="Q140">
            <v>0</v>
          </cell>
        </row>
        <row r="141">
          <cell r="O141">
            <v>0</v>
          </cell>
          <cell r="P141">
            <v>0</v>
          </cell>
          <cell r="Q141">
            <v>0</v>
          </cell>
        </row>
        <row r="142">
          <cell r="O142">
            <v>0</v>
          </cell>
          <cell r="P142">
            <v>0</v>
          </cell>
          <cell r="Q142">
            <v>0</v>
          </cell>
        </row>
        <row r="143">
          <cell r="O143">
            <v>0</v>
          </cell>
          <cell r="P143">
            <v>0</v>
          </cell>
          <cell r="Q143">
            <v>0</v>
          </cell>
        </row>
        <row r="144">
          <cell r="O144">
            <v>0</v>
          </cell>
          <cell r="P144">
            <v>0</v>
          </cell>
          <cell r="Q144">
            <v>0</v>
          </cell>
        </row>
        <row r="145">
          <cell r="O145">
            <v>0</v>
          </cell>
          <cell r="P145">
            <v>0</v>
          </cell>
          <cell r="Q145">
            <v>0</v>
          </cell>
        </row>
        <row r="146">
          <cell r="O146">
            <v>0</v>
          </cell>
          <cell r="P146">
            <v>0</v>
          </cell>
          <cell r="Q146">
            <v>0</v>
          </cell>
        </row>
        <row r="147">
          <cell r="O147">
            <v>0</v>
          </cell>
          <cell r="P147">
            <v>0</v>
          </cell>
          <cell r="Q147">
            <v>0</v>
          </cell>
        </row>
        <row r="148">
          <cell r="O148">
            <v>0</v>
          </cell>
          <cell r="P148">
            <v>0</v>
          </cell>
          <cell r="Q148">
            <v>0</v>
          </cell>
        </row>
        <row r="149">
          <cell r="O149">
            <v>0</v>
          </cell>
          <cell r="P149">
            <v>0</v>
          </cell>
          <cell r="Q149">
            <v>0</v>
          </cell>
        </row>
        <row r="150">
          <cell r="O150">
            <v>0</v>
          </cell>
          <cell r="P150">
            <v>0</v>
          </cell>
          <cell r="Q150">
            <v>0</v>
          </cell>
        </row>
        <row r="151">
          <cell r="O151">
            <v>0</v>
          </cell>
          <cell r="P151">
            <v>0</v>
          </cell>
          <cell r="Q151">
            <v>0</v>
          </cell>
        </row>
        <row r="152">
          <cell r="O152">
            <v>0</v>
          </cell>
          <cell r="P152">
            <v>0</v>
          </cell>
          <cell r="Q152">
            <v>0</v>
          </cell>
        </row>
        <row r="153">
          <cell r="O153">
            <v>0</v>
          </cell>
          <cell r="P153">
            <v>0</v>
          </cell>
          <cell r="Q153">
            <v>0</v>
          </cell>
        </row>
        <row r="154">
          <cell r="O154">
            <v>0</v>
          </cell>
          <cell r="P154">
            <v>0</v>
          </cell>
          <cell r="Q154">
            <v>0</v>
          </cell>
        </row>
        <row r="155">
          <cell r="O155">
            <v>0</v>
          </cell>
          <cell r="P155">
            <v>0</v>
          </cell>
          <cell r="Q155">
            <v>0</v>
          </cell>
        </row>
        <row r="156">
          <cell r="O156">
            <v>0</v>
          </cell>
          <cell r="P156">
            <v>0</v>
          </cell>
          <cell r="Q156">
            <v>0</v>
          </cell>
        </row>
        <row r="157">
          <cell r="O157">
            <v>0</v>
          </cell>
          <cell r="P157">
            <v>0</v>
          </cell>
          <cell r="Q157">
            <v>0</v>
          </cell>
        </row>
        <row r="158">
          <cell r="O158">
            <v>0</v>
          </cell>
          <cell r="P158">
            <v>0</v>
          </cell>
          <cell r="Q158">
            <v>0</v>
          </cell>
        </row>
        <row r="159">
          <cell r="O159">
            <v>0</v>
          </cell>
          <cell r="P159">
            <v>0</v>
          </cell>
          <cell r="Q159">
            <v>0</v>
          </cell>
        </row>
        <row r="160">
          <cell r="O160">
            <v>0</v>
          </cell>
          <cell r="P160">
            <v>0</v>
          </cell>
          <cell r="Q160">
            <v>0</v>
          </cell>
        </row>
        <row r="161">
          <cell r="O161">
            <v>0</v>
          </cell>
          <cell r="P161">
            <v>0</v>
          </cell>
          <cell r="Q161">
            <v>0</v>
          </cell>
        </row>
        <row r="162">
          <cell r="O162">
            <v>0</v>
          </cell>
          <cell r="P162">
            <v>0</v>
          </cell>
          <cell r="Q162">
            <v>0</v>
          </cell>
        </row>
        <row r="163">
          <cell r="O163">
            <v>0</v>
          </cell>
          <cell r="P163">
            <v>0</v>
          </cell>
          <cell r="Q163">
            <v>0</v>
          </cell>
        </row>
        <row r="164">
          <cell r="O164">
            <v>0</v>
          </cell>
          <cell r="P164">
            <v>0</v>
          </cell>
          <cell r="Q164">
            <v>0</v>
          </cell>
        </row>
        <row r="165">
          <cell r="O165">
            <v>0</v>
          </cell>
          <cell r="P165">
            <v>0</v>
          </cell>
          <cell r="Q165">
            <v>0</v>
          </cell>
        </row>
        <row r="166">
          <cell r="O166">
            <v>0</v>
          </cell>
          <cell r="P166">
            <v>0</v>
          </cell>
          <cell r="Q166">
            <v>0</v>
          </cell>
        </row>
        <row r="167">
          <cell r="O167">
            <v>0</v>
          </cell>
          <cell r="P167">
            <v>0</v>
          </cell>
          <cell r="Q167">
            <v>0</v>
          </cell>
        </row>
        <row r="168">
          <cell r="O168">
            <v>0</v>
          </cell>
          <cell r="P168">
            <v>0</v>
          </cell>
          <cell r="Q168">
            <v>0</v>
          </cell>
        </row>
        <row r="169">
          <cell r="O169">
            <v>0</v>
          </cell>
          <cell r="P169">
            <v>0</v>
          </cell>
          <cell r="Q169">
            <v>0</v>
          </cell>
        </row>
        <row r="170">
          <cell r="O170">
            <v>0</v>
          </cell>
          <cell r="P170">
            <v>0</v>
          </cell>
          <cell r="Q170">
            <v>0</v>
          </cell>
        </row>
        <row r="171">
          <cell r="O171">
            <v>0</v>
          </cell>
          <cell r="P171">
            <v>0</v>
          </cell>
          <cell r="Q171">
            <v>0</v>
          </cell>
        </row>
        <row r="172">
          <cell r="O172">
            <v>0</v>
          </cell>
          <cell r="P172">
            <v>0</v>
          </cell>
          <cell r="Q172">
            <v>0</v>
          </cell>
        </row>
        <row r="173">
          <cell r="O173">
            <v>0</v>
          </cell>
          <cell r="P173">
            <v>0</v>
          </cell>
          <cell r="Q173">
            <v>0</v>
          </cell>
        </row>
        <row r="174">
          <cell r="O174">
            <v>0</v>
          </cell>
          <cell r="P174">
            <v>0</v>
          </cell>
          <cell r="Q174">
            <v>0</v>
          </cell>
        </row>
        <row r="175">
          <cell r="O175">
            <v>0</v>
          </cell>
          <cell r="P175">
            <v>0</v>
          </cell>
          <cell r="Q175">
            <v>0</v>
          </cell>
        </row>
        <row r="176">
          <cell r="O176">
            <v>0</v>
          </cell>
          <cell r="P176">
            <v>0</v>
          </cell>
          <cell r="Q176">
            <v>0</v>
          </cell>
        </row>
        <row r="177">
          <cell r="O177">
            <v>0</v>
          </cell>
          <cell r="P177">
            <v>0</v>
          </cell>
          <cell r="Q177">
            <v>0</v>
          </cell>
        </row>
        <row r="178">
          <cell r="O178">
            <v>0</v>
          </cell>
          <cell r="P178">
            <v>0</v>
          </cell>
          <cell r="Q178">
            <v>0</v>
          </cell>
        </row>
        <row r="179">
          <cell r="O179">
            <v>0</v>
          </cell>
          <cell r="P179">
            <v>0</v>
          </cell>
          <cell r="Q179">
            <v>0</v>
          </cell>
        </row>
        <row r="180">
          <cell r="O180">
            <v>0</v>
          </cell>
          <cell r="P180">
            <v>0</v>
          </cell>
          <cell r="Q180">
            <v>0</v>
          </cell>
        </row>
        <row r="181">
          <cell r="O181">
            <v>0</v>
          </cell>
          <cell r="P181">
            <v>0</v>
          </cell>
          <cell r="Q181">
            <v>0</v>
          </cell>
        </row>
        <row r="182">
          <cell r="O182">
            <v>0</v>
          </cell>
          <cell r="P182">
            <v>0</v>
          </cell>
          <cell r="Q182">
            <v>0</v>
          </cell>
        </row>
        <row r="183">
          <cell r="O183">
            <v>0</v>
          </cell>
          <cell r="P183">
            <v>0</v>
          </cell>
          <cell r="Q183">
            <v>0</v>
          </cell>
        </row>
        <row r="184">
          <cell r="O184">
            <v>0</v>
          </cell>
          <cell r="P184">
            <v>0</v>
          </cell>
          <cell r="Q184">
            <v>0</v>
          </cell>
        </row>
        <row r="185">
          <cell r="O185">
            <v>0</v>
          </cell>
          <cell r="P185">
            <v>0</v>
          </cell>
          <cell r="Q185">
            <v>0</v>
          </cell>
        </row>
        <row r="186">
          <cell r="O186">
            <v>0</v>
          </cell>
          <cell r="P186">
            <v>0</v>
          </cell>
          <cell r="Q186">
            <v>0</v>
          </cell>
        </row>
        <row r="187">
          <cell r="O187">
            <v>0</v>
          </cell>
          <cell r="P187">
            <v>0</v>
          </cell>
          <cell r="Q187">
            <v>0</v>
          </cell>
        </row>
        <row r="188">
          <cell r="O188">
            <v>0</v>
          </cell>
          <cell r="P188">
            <v>0</v>
          </cell>
          <cell r="Q188">
            <v>0</v>
          </cell>
        </row>
        <row r="189">
          <cell r="O189">
            <v>0</v>
          </cell>
          <cell r="P189">
            <v>0</v>
          </cell>
          <cell r="Q189">
            <v>0</v>
          </cell>
        </row>
        <row r="190">
          <cell r="O190">
            <v>0</v>
          </cell>
          <cell r="P190">
            <v>0</v>
          </cell>
          <cell r="Q190">
            <v>0</v>
          </cell>
        </row>
        <row r="191">
          <cell r="O191">
            <v>0</v>
          </cell>
          <cell r="P191">
            <v>0</v>
          </cell>
          <cell r="Q191">
            <v>0</v>
          </cell>
        </row>
        <row r="192">
          <cell r="O192">
            <v>0</v>
          </cell>
          <cell r="P192">
            <v>0</v>
          </cell>
          <cell r="Q192">
            <v>0</v>
          </cell>
        </row>
        <row r="193">
          <cell r="O193">
            <v>0</v>
          </cell>
          <cell r="P193">
            <v>0</v>
          </cell>
          <cell r="Q193">
            <v>0</v>
          </cell>
        </row>
        <row r="194">
          <cell r="O194">
            <v>0</v>
          </cell>
          <cell r="P194">
            <v>0</v>
          </cell>
          <cell r="Q194">
            <v>0</v>
          </cell>
        </row>
        <row r="195">
          <cell r="O195">
            <v>0</v>
          </cell>
          <cell r="P195">
            <v>0</v>
          </cell>
          <cell r="Q195">
            <v>0</v>
          </cell>
        </row>
        <row r="196">
          <cell r="O196">
            <v>0</v>
          </cell>
          <cell r="P196">
            <v>0</v>
          </cell>
          <cell r="Q196">
            <v>0</v>
          </cell>
        </row>
        <row r="197">
          <cell r="O197">
            <v>0</v>
          </cell>
          <cell r="P197">
            <v>0</v>
          </cell>
          <cell r="Q197">
            <v>0</v>
          </cell>
        </row>
        <row r="198">
          <cell r="O198">
            <v>0</v>
          </cell>
          <cell r="P198">
            <v>0</v>
          </cell>
          <cell r="Q198">
            <v>0</v>
          </cell>
        </row>
        <row r="199">
          <cell r="O199">
            <v>0</v>
          </cell>
          <cell r="P199">
            <v>0</v>
          </cell>
          <cell r="Q199">
            <v>0</v>
          </cell>
        </row>
        <row r="200">
          <cell r="O200">
            <v>0</v>
          </cell>
          <cell r="P200">
            <v>0</v>
          </cell>
          <cell r="Q200">
            <v>0</v>
          </cell>
        </row>
        <row r="201">
          <cell r="O201">
            <v>0</v>
          </cell>
          <cell r="P201">
            <v>0</v>
          </cell>
          <cell r="Q201">
            <v>0</v>
          </cell>
        </row>
        <row r="202">
          <cell r="O202">
            <v>0</v>
          </cell>
          <cell r="P202">
            <v>0</v>
          </cell>
          <cell r="Q202">
            <v>0</v>
          </cell>
        </row>
        <row r="203">
          <cell r="O203">
            <v>0</v>
          </cell>
          <cell r="P203">
            <v>0</v>
          </cell>
          <cell r="Q203">
            <v>0</v>
          </cell>
        </row>
        <row r="204">
          <cell r="O204">
            <v>0</v>
          </cell>
          <cell r="P204">
            <v>0</v>
          </cell>
          <cell r="Q204">
            <v>0</v>
          </cell>
        </row>
        <row r="205">
          <cell r="O205">
            <v>0</v>
          </cell>
          <cell r="P205">
            <v>0</v>
          </cell>
          <cell r="Q205">
            <v>0</v>
          </cell>
        </row>
        <row r="206">
          <cell r="O206">
            <v>0</v>
          </cell>
          <cell r="P206">
            <v>0</v>
          </cell>
          <cell r="Q206">
            <v>0</v>
          </cell>
        </row>
        <row r="207">
          <cell r="O207">
            <v>0</v>
          </cell>
          <cell r="P207">
            <v>0</v>
          </cell>
          <cell r="Q207">
            <v>0</v>
          </cell>
        </row>
        <row r="208">
          <cell r="O208">
            <v>0</v>
          </cell>
          <cell r="P208">
            <v>0</v>
          </cell>
          <cell r="Q208">
            <v>0</v>
          </cell>
        </row>
        <row r="209">
          <cell r="O209">
            <v>0</v>
          </cell>
          <cell r="P209">
            <v>0</v>
          </cell>
          <cell r="Q209">
            <v>0</v>
          </cell>
        </row>
        <row r="210">
          <cell r="O210">
            <v>0</v>
          </cell>
          <cell r="P210">
            <v>0</v>
          </cell>
          <cell r="Q210">
            <v>0</v>
          </cell>
        </row>
        <row r="211">
          <cell r="O211">
            <v>0</v>
          </cell>
          <cell r="P211">
            <v>0</v>
          </cell>
          <cell r="Q211">
            <v>0</v>
          </cell>
        </row>
        <row r="212">
          <cell r="O212">
            <v>0</v>
          </cell>
          <cell r="P212">
            <v>0</v>
          </cell>
          <cell r="Q212">
            <v>0</v>
          </cell>
        </row>
        <row r="213">
          <cell r="O213">
            <v>0</v>
          </cell>
          <cell r="P213">
            <v>0</v>
          </cell>
          <cell r="Q213">
            <v>0</v>
          </cell>
        </row>
        <row r="214">
          <cell r="O214">
            <v>0</v>
          </cell>
          <cell r="P214">
            <v>0</v>
          </cell>
          <cell r="Q214">
            <v>0</v>
          </cell>
        </row>
        <row r="215">
          <cell r="O215">
            <v>0</v>
          </cell>
          <cell r="P215">
            <v>0</v>
          </cell>
          <cell r="Q215">
            <v>0</v>
          </cell>
        </row>
        <row r="216">
          <cell r="O216">
            <v>0</v>
          </cell>
          <cell r="P216">
            <v>0</v>
          </cell>
          <cell r="Q216">
            <v>0</v>
          </cell>
        </row>
        <row r="217">
          <cell r="O217">
            <v>0</v>
          </cell>
          <cell r="P217">
            <v>0</v>
          </cell>
          <cell r="Q217">
            <v>0</v>
          </cell>
        </row>
        <row r="218">
          <cell r="O218">
            <v>0</v>
          </cell>
          <cell r="P218">
            <v>0</v>
          </cell>
          <cell r="Q218">
            <v>0</v>
          </cell>
        </row>
        <row r="219">
          <cell r="O219">
            <v>0</v>
          </cell>
          <cell r="P219">
            <v>0</v>
          </cell>
          <cell r="Q219">
            <v>0</v>
          </cell>
        </row>
        <row r="220">
          <cell r="O220">
            <v>0</v>
          </cell>
          <cell r="P220">
            <v>0</v>
          </cell>
          <cell r="Q220">
            <v>0</v>
          </cell>
        </row>
        <row r="221">
          <cell r="O221">
            <v>0</v>
          </cell>
          <cell r="P221">
            <v>0</v>
          </cell>
          <cell r="Q221">
            <v>0</v>
          </cell>
        </row>
        <row r="222">
          <cell r="O222">
            <v>0</v>
          </cell>
          <cell r="P222">
            <v>0</v>
          </cell>
          <cell r="Q222">
            <v>0</v>
          </cell>
        </row>
        <row r="223">
          <cell r="O223">
            <v>0</v>
          </cell>
          <cell r="P223">
            <v>0</v>
          </cell>
          <cell r="Q223">
            <v>0</v>
          </cell>
        </row>
        <row r="224">
          <cell r="O224">
            <v>0</v>
          </cell>
          <cell r="P224">
            <v>0</v>
          </cell>
          <cell r="Q224">
            <v>0</v>
          </cell>
        </row>
      </sheetData>
      <sheetData sheetId="8">
        <row r="4">
          <cell r="A4" t="str">
            <v>Manually calc'ed column DO NOT DELETE</v>
          </cell>
          <cell r="B4" t="str">
            <v>PRD_ID_PREFIX</v>
          </cell>
          <cell r="C4" t="str">
            <v>PRD_ID</v>
          </cell>
          <cell r="D4" t="str">
            <v>GEOG_ID</v>
          </cell>
          <cell r="E4" t="str">
            <v>PRCSYMCDE</v>
          </cell>
          <cell r="F4" t="str">
            <v>CURR_PRC</v>
          </cell>
          <cell r="G4" t="str">
            <v>CURR_PRC_EFF_DTE</v>
          </cell>
          <cell r="H4" t="str">
            <v>1ST_FUT_PRC</v>
          </cell>
          <cell r="I4" t="str">
            <v>1ST_FUT_PRC_EFF_DTE</v>
          </cell>
          <cell r="J4" t="str">
            <v>2ND_FUT_PRC</v>
          </cell>
          <cell r="K4" t="str">
            <v>2ND_FUT_PRC_EFF_DTE</v>
          </cell>
          <cell r="L4" t="str">
            <v>3RD_FUT_PRC</v>
          </cell>
          <cell r="M4" t="str">
            <v>3RD_FUT_PRC_EFF_DTE</v>
          </cell>
        </row>
        <row r="5">
          <cell r="A5" t="str">
            <v>10319$CONTUSA</v>
          </cell>
          <cell r="B5" t="str">
            <v>10319</v>
          </cell>
          <cell r="C5" t="str">
            <v>1031900</v>
          </cell>
          <cell r="D5" t="str">
            <v>$CONTUSA</v>
          </cell>
          <cell r="E5" t="str">
            <v>LEV1</v>
          </cell>
          <cell r="F5" t="str">
            <v>42.88000</v>
          </cell>
          <cell r="G5">
            <v>40601</v>
          </cell>
          <cell r="H5" t="str">
            <v/>
          </cell>
          <cell r="I5">
            <v>1</v>
          </cell>
          <cell r="J5" t="str">
            <v/>
          </cell>
          <cell r="K5">
            <v>1</v>
          </cell>
          <cell r="L5" t="str">
            <v/>
          </cell>
          <cell r="M5">
            <v>1</v>
          </cell>
        </row>
        <row r="6">
          <cell r="A6" t="str">
            <v>10321$CONTUSA</v>
          </cell>
          <cell r="B6" t="str">
            <v>10321</v>
          </cell>
          <cell r="C6" t="str">
            <v>1032100</v>
          </cell>
          <cell r="D6" t="str">
            <v>$CONTUSA</v>
          </cell>
          <cell r="E6" t="str">
            <v>LEV1</v>
          </cell>
          <cell r="F6" t="str">
            <v>107.20000</v>
          </cell>
          <cell r="G6">
            <v>40601</v>
          </cell>
          <cell r="H6" t="str">
            <v/>
          </cell>
          <cell r="I6">
            <v>1</v>
          </cell>
          <cell r="J6" t="str">
            <v/>
          </cell>
          <cell r="K6">
            <v>1</v>
          </cell>
          <cell r="L6" t="str">
            <v/>
          </cell>
          <cell r="M6">
            <v>1</v>
          </cell>
        </row>
        <row r="7">
          <cell r="A7" t="str">
            <v>10334$CANADA$</v>
          </cell>
          <cell r="B7" t="str">
            <v>10334</v>
          </cell>
          <cell r="C7" t="str">
            <v>1033400</v>
          </cell>
          <cell r="D7" t="str">
            <v>$CANADA$</v>
          </cell>
          <cell r="E7" t="str">
            <v>LEV1</v>
          </cell>
          <cell r="F7" t="str">
            <v>2637.36000</v>
          </cell>
          <cell r="G7">
            <v>40027</v>
          </cell>
          <cell r="H7" t="str">
            <v/>
          </cell>
          <cell r="I7">
            <v>1</v>
          </cell>
          <cell r="J7" t="str">
            <v/>
          </cell>
          <cell r="K7">
            <v>1</v>
          </cell>
          <cell r="L7" t="str">
            <v/>
          </cell>
          <cell r="M7">
            <v>1</v>
          </cell>
        </row>
        <row r="8">
          <cell r="A8" t="str">
            <v>10358$CONTUSA</v>
          </cell>
          <cell r="B8" t="str">
            <v>10358</v>
          </cell>
          <cell r="C8" t="str">
            <v>1035802</v>
          </cell>
          <cell r="D8" t="str">
            <v>$CONTUSA</v>
          </cell>
          <cell r="E8" t="str">
            <v>LEV1</v>
          </cell>
          <cell r="F8" t="str">
            <v>48.00000</v>
          </cell>
          <cell r="G8">
            <v>40601</v>
          </cell>
          <cell r="H8" t="str">
            <v/>
          </cell>
          <cell r="I8">
            <v>1</v>
          </cell>
          <cell r="J8" t="str">
            <v/>
          </cell>
          <cell r="K8">
            <v>1</v>
          </cell>
          <cell r="L8" t="str">
            <v/>
          </cell>
          <cell r="M8">
            <v>1</v>
          </cell>
        </row>
        <row r="9">
          <cell r="A9" t="str">
            <v>10529$CANADA$</v>
          </cell>
          <cell r="B9" t="str">
            <v>10529</v>
          </cell>
          <cell r="C9" t="str">
            <v>1052903</v>
          </cell>
          <cell r="D9" t="str">
            <v>$CANADA$</v>
          </cell>
          <cell r="E9" t="str">
            <v>LEV1</v>
          </cell>
          <cell r="F9" t="str">
            <v>879.12000</v>
          </cell>
          <cell r="G9">
            <v>40601</v>
          </cell>
          <cell r="H9" t="str">
            <v/>
          </cell>
          <cell r="I9">
            <v>1</v>
          </cell>
          <cell r="J9" t="str">
            <v/>
          </cell>
          <cell r="K9">
            <v>1</v>
          </cell>
          <cell r="L9" t="str">
            <v/>
          </cell>
          <cell r="M9">
            <v>1</v>
          </cell>
        </row>
        <row r="10">
          <cell r="A10" t="str">
            <v>11726$CONTUSA</v>
          </cell>
          <cell r="B10" t="str">
            <v>11726</v>
          </cell>
          <cell r="C10" t="str">
            <v>1172601</v>
          </cell>
          <cell r="D10" t="str">
            <v>$CONTUSA</v>
          </cell>
          <cell r="E10" t="str">
            <v>LEV1</v>
          </cell>
          <cell r="F10" t="str">
            <v>17.64000</v>
          </cell>
          <cell r="G10">
            <v>40601</v>
          </cell>
          <cell r="H10" t="str">
            <v/>
          </cell>
          <cell r="I10">
            <v>1</v>
          </cell>
          <cell r="J10" t="str">
            <v/>
          </cell>
          <cell r="K10">
            <v>1</v>
          </cell>
          <cell r="L10" t="str">
            <v/>
          </cell>
          <cell r="M10">
            <v>1</v>
          </cell>
        </row>
        <row r="11">
          <cell r="A11" t="str">
            <v>11727$CONTUSA</v>
          </cell>
          <cell r="B11" t="str">
            <v>11727</v>
          </cell>
          <cell r="C11" t="str">
            <v>1172701</v>
          </cell>
          <cell r="D11" t="str">
            <v>$CONTUSA</v>
          </cell>
          <cell r="E11" t="str">
            <v>LEV1</v>
          </cell>
          <cell r="F11" t="str">
            <v>21.36000</v>
          </cell>
          <cell r="G11">
            <v>40601</v>
          </cell>
          <cell r="H11" t="str">
            <v/>
          </cell>
          <cell r="I11">
            <v>1</v>
          </cell>
          <cell r="J11" t="str">
            <v/>
          </cell>
          <cell r="K11">
            <v>1</v>
          </cell>
          <cell r="L11" t="str">
            <v/>
          </cell>
          <cell r="M11">
            <v>1</v>
          </cell>
        </row>
        <row r="12">
          <cell r="A12" t="str">
            <v>11728$CONTUSA</v>
          </cell>
          <cell r="B12" t="str">
            <v>11728</v>
          </cell>
          <cell r="C12" t="str">
            <v>1172801</v>
          </cell>
          <cell r="D12" t="str">
            <v>$CONTUSA</v>
          </cell>
          <cell r="E12" t="str">
            <v>LEV1</v>
          </cell>
          <cell r="F12" t="str">
            <v>16.56000</v>
          </cell>
          <cell r="G12">
            <v>40601</v>
          </cell>
          <cell r="H12" t="str">
            <v/>
          </cell>
          <cell r="I12">
            <v>1</v>
          </cell>
          <cell r="J12" t="str">
            <v/>
          </cell>
          <cell r="K12">
            <v>1</v>
          </cell>
          <cell r="L12" t="str">
            <v/>
          </cell>
          <cell r="M12">
            <v>1</v>
          </cell>
        </row>
        <row r="13">
          <cell r="A13" t="str">
            <v>11942$CONTUSA</v>
          </cell>
          <cell r="B13" t="str">
            <v>11942</v>
          </cell>
          <cell r="C13" t="str">
            <v>1194201</v>
          </cell>
          <cell r="D13" t="str">
            <v>$CONTUSA</v>
          </cell>
          <cell r="E13" t="str">
            <v>LEV1</v>
          </cell>
          <cell r="F13" t="str">
            <v>34.72000</v>
          </cell>
          <cell r="G13">
            <v>40601</v>
          </cell>
          <cell r="H13" t="str">
            <v/>
          </cell>
          <cell r="I13">
            <v>1</v>
          </cell>
          <cell r="J13" t="str">
            <v/>
          </cell>
          <cell r="K13">
            <v>1</v>
          </cell>
          <cell r="L13" t="str">
            <v/>
          </cell>
          <cell r="M13">
            <v>1</v>
          </cell>
        </row>
        <row r="14">
          <cell r="A14" t="str">
            <v>11961$CANADA$</v>
          </cell>
          <cell r="B14" t="str">
            <v>11961</v>
          </cell>
          <cell r="C14" t="str">
            <v>1196103</v>
          </cell>
          <cell r="D14" t="str">
            <v>$CANADA$</v>
          </cell>
          <cell r="E14" t="str">
            <v>LEV1</v>
          </cell>
          <cell r="F14" t="str">
            <v>32.64000</v>
          </cell>
          <cell r="G14">
            <v>40601</v>
          </cell>
          <cell r="H14" t="str">
            <v/>
          </cell>
          <cell r="I14">
            <v>1</v>
          </cell>
          <cell r="J14" t="str">
            <v/>
          </cell>
          <cell r="K14">
            <v>1</v>
          </cell>
          <cell r="L14" t="str">
            <v/>
          </cell>
          <cell r="M14">
            <v>1</v>
          </cell>
        </row>
        <row r="15">
          <cell r="A15" t="str">
            <v>11961$CONTUSA</v>
          </cell>
          <cell r="B15" t="str">
            <v>11961</v>
          </cell>
          <cell r="C15" t="str">
            <v>1196103</v>
          </cell>
          <cell r="D15" t="str">
            <v>$CONTUSA</v>
          </cell>
          <cell r="E15" t="str">
            <v>LEV1</v>
          </cell>
          <cell r="F15" t="str">
            <v>24.48000</v>
          </cell>
          <cell r="G15">
            <v>40601</v>
          </cell>
          <cell r="H15" t="str">
            <v/>
          </cell>
          <cell r="I15">
            <v>1</v>
          </cell>
          <cell r="J15" t="str">
            <v/>
          </cell>
          <cell r="K15">
            <v>1</v>
          </cell>
          <cell r="L15" t="str">
            <v/>
          </cell>
          <cell r="M15">
            <v>1</v>
          </cell>
        </row>
        <row r="16">
          <cell r="A16" t="str">
            <v>11962$CONTUSA</v>
          </cell>
          <cell r="B16" t="str">
            <v>11962</v>
          </cell>
          <cell r="C16" t="str">
            <v>1196203</v>
          </cell>
          <cell r="D16" t="str">
            <v>$CONTUSA</v>
          </cell>
          <cell r="E16" t="str">
            <v>LEV1</v>
          </cell>
          <cell r="F16" t="str">
            <v>24.48000</v>
          </cell>
          <cell r="G16">
            <v>40601</v>
          </cell>
          <cell r="H16" t="str">
            <v/>
          </cell>
          <cell r="I16">
            <v>1</v>
          </cell>
          <cell r="J16" t="str">
            <v/>
          </cell>
          <cell r="K16">
            <v>1</v>
          </cell>
          <cell r="L16" t="str">
            <v/>
          </cell>
          <cell r="M16">
            <v>1</v>
          </cell>
        </row>
        <row r="17">
          <cell r="A17" t="str">
            <v>11963$CANADA$</v>
          </cell>
          <cell r="B17" t="str">
            <v>11963</v>
          </cell>
          <cell r="C17" t="str">
            <v>1196301</v>
          </cell>
          <cell r="D17" t="str">
            <v>$CANADA$</v>
          </cell>
          <cell r="E17" t="str">
            <v>LEV1</v>
          </cell>
          <cell r="F17" t="str">
            <v>27.72000</v>
          </cell>
          <cell r="G17">
            <v>40601</v>
          </cell>
          <cell r="H17" t="str">
            <v/>
          </cell>
          <cell r="I17">
            <v>1</v>
          </cell>
          <cell r="J17" t="str">
            <v/>
          </cell>
          <cell r="K17">
            <v>1</v>
          </cell>
          <cell r="L17" t="str">
            <v/>
          </cell>
          <cell r="M17">
            <v>1</v>
          </cell>
        </row>
        <row r="18">
          <cell r="A18" t="str">
            <v>11963$CONTUSA</v>
          </cell>
          <cell r="B18" t="str">
            <v>11963</v>
          </cell>
          <cell r="C18" t="str">
            <v>1196301</v>
          </cell>
          <cell r="D18" t="str">
            <v>$CONTUSA</v>
          </cell>
          <cell r="E18" t="str">
            <v>LEV1</v>
          </cell>
          <cell r="F18" t="str">
            <v>19.92000</v>
          </cell>
          <cell r="G18">
            <v>40601</v>
          </cell>
          <cell r="H18" t="str">
            <v/>
          </cell>
          <cell r="I18">
            <v>1</v>
          </cell>
          <cell r="J18" t="str">
            <v/>
          </cell>
          <cell r="K18">
            <v>1</v>
          </cell>
          <cell r="L18" t="str">
            <v/>
          </cell>
          <cell r="M18">
            <v>1</v>
          </cell>
        </row>
        <row r="19">
          <cell r="A19" t="str">
            <v>11964$CONTUSA</v>
          </cell>
          <cell r="B19" t="str">
            <v>11964</v>
          </cell>
          <cell r="C19" t="str">
            <v>1196403</v>
          </cell>
          <cell r="D19" t="str">
            <v>$CONTUSA</v>
          </cell>
          <cell r="E19" t="str">
            <v>LEV1</v>
          </cell>
          <cell r="F19" t="str">
            <v>24.48000</v>
          </cell>
          <cell r="G19">
            <v>40601</v>
          </cell>
          <cell r="H19" t="str">
            <v/>
          </cell>
          <cell r="I19">
            <v>1</v>
          </cell>
          <cell r="J19" t="str">
            <v/>
          </cell>
          <cell r="K19">
            <v>1</v>
          </cell>
          <cell r="L19" t="str">
            <v/>
          </cell>
          <cell r="M19">
            <v>1</v>
          </cell>
        </row>
        <row r="20">
          <cell r="A20" t="str">
            <v>11965$CONTUSA</v>
          </cell>
          <cell r="B20" t="str">
            <v>11965</v>
          </cell>
          <cell r="C20" t="str">
            <v>1196501</v>
          </cell>
          <cell r="D20" t="str">
            <v>$CONTUSA</v>
          </cell>
          <cell r="E20" t="str">
            <v>LEV1</v>
          </cell>
          <cell r="F20" t="str">
            <v>20.28000</v>
          </cell>
          <cell r="G20">
            <v>40601</v>
          </cell>
          <cell r="H20" t="str">
            <v/>
          </cell>
          <cell r="I20">
            <v>1</v>
          </cell>
          <cell r="J20" t="str">
            <v/>
          </cell>
          <cell r="K20">
            <v>1</v>
          </cell>
          <cell r="L20" t="str">
            <v/>
          </cell>
          <cell r="M20">
            <v>1</v>
          </cell>
        </row>
        <row r="21">
          <cell r="A21" t="str">
            <v>11966$CANADA$</v>
          </cell>
          <cell r="B21" t="str">
            <v>11966</v>
          </cell>
          <cell r="C21" t="str">
            <v>1196603</v>
          </cell>
          <cell r="D21" t="str">
            <v>$CANADA$</v>
          </cell>
          <cell r="E21" t="str">
            <v>LEV1</v>
          </cell>
          <cell r="F21" t="str">
            <v>32.64000</v>
          </cell>
          <cell r="G21">
            <v>40601</v>
          </cell>
          <cell r="H21" t="str">
            <v/>
          </cell>
          <cell r="I21">
            <v>1</v>
          </cell>
          <cell r="J21" t="str">
            <v/>
          </cell>
          <cell r="K21">
            <v>1</v>
          </cell>
          <cell r="L21" t="str">
            <v/>
          </cell>
          <cell r="M21">
            <v>1</v>
          </cell>
        </row>
        <row r="22">
          <cell r="A22" t="str">
            <v>12073$CANADA$</v>
          </cell>
          <cell r="B22" t="str">
            <v>12073</v>
          </cell>
          <cell r="C22" t="str">
            <v>1207303</v>
          </cell>
          <cell r="D22" t="str">
            <v>$CANADA$</v>
          </cell>
          <cell r="E22" t="str">
            <v>LEV1</v>
          </cell>
          <cell r="F22" t="str">
            <v>148.44000</v>
          </cell>
          <cell r="G22">
            <v>40601</v>
          </cell>
          <cell r="H22" t="str">
            <v/>
          </cell>
          <cell r="I22">
            <v>1</v>
          </cell>
          <cell r="J22" t="str">
            <v/>
          </cell>
          <cell r="K22">
            <v>1</v>
          </cell>
          <cell r="L22" t="str">
            <v/>
          </cell>
          <cell r="M22">
            <v>1</v>
          </cell>
        </row>
        <row r="23">
          <cell r="A23" t="str">
            <v>12073$CONTUSA</v>
          </cell>
          <cell r="B23" t="str">
            <v>12073</v>
          </cell>
          <cell r="C23" t="str">
            <v>1207303</v>
          </cell>
          <cell r="D23" t="str">
            <v>$CONTUSA</v>
          </cell>
          <cell r="E23" t="str">
            <v>LEV1</v>
          </cell>
          <cell r="F23" t="str">
            <v>108.72000</v>
          </cell>
          <cell r="G23">
            <v>40601</v>
          </cell>
          <cell r="H23" t="str">
            <v/>
          </cell>
          <cell r="I23">
            <v>1</v>
          </cell>
          <cell r="J23" t="str">
            <v/>
          </cell>
          <cell r="K23">
            <v>1</v>
          </cell>
          <cell r="L23" t="str">
            <v/>
          </cell>
          <cell r="M23">
            <v>1</v>
          </cell>
        </row>
        <row r="24">
          <cell r="A24" t="str">
            <v>13286$CANADA$</v>
          </cell>
          <cell r="B24" t="str">
            <v>13286</v>
          </cell>
          <cell r="C24" t="str">
            <v>1328600</v>
          </cell>
          <cell r="D24" t="str">
            <v>$CANADA$</v>
          </cell>
          <cell r="E24" t="str">
            <v>LEV1</v>
          </cell>
          <cell r="F24" t="str">
            <v>81.60000</v>
          </cell>
          <cell r="G24">
            <v>40601</v>
          </cell>
          <cell r="H24" t="str">
            <v/>
          </cell>
          <cell r="I24">
            <v>1</v>
          </cell>
          <cell r="J24" t="str">
            <v/>
          </cell>
          <cell r="K24">
            <v>1</v>
          </cell>
          <cell r="L24" t="str">
            <v/>
          </cell>
          <cell r="M24">
            <v>1</v>
          </cell>
        </row>
        <row r="25">
          <cell r="A25" t="str">
            <v>13286$CONTUSA</v>
          </cell>
          <cell r="B25" t="str">
            <v>13286</v>
          </cell>
          <cell r="C25" t="str">
            <v>1328600</v>
          </cell>
          <cell r="D25" t="str">
            <v>$CONTUSA</v>
          </cell>
          <cell r="E25" t="str">
            <v>LEV1</v>
          </cell>
          <cell r="F25" t="str">
            <v>61.20000</v>
          </cell>
          <cell r="G25">
            <v>40601</v>
          </cell>
          <cell r="H25" t="str">
            <v/>
          </cell>
          <cell r="I25">
            <v>1</v>
          </cell>
          <cell r="J25" t="str">
            <v/>
          </cell>
          <cell r="K25">
            <v>1</v>
          </cell>
          <cell r="L25" t="str">
            <v/>
          </cell>
          <cell r="M25">
            <v>1</v>
          </cell>
        </row>
        <row r="26">
          <cell r="A26" t="str">
            <v>25815$CANADA$</v>
          </cell>
          <cell r="B26" t="str">
            <v>25815</v>
          </cell>
          <cell r="C26" t="str">
            <v>2581501</v>
          </cell>
          <cell r="D26" t="str">
            <v>$CANADA$</v>
          </cell>
          <cell r="E26" t="str">
            <v>LEV1</v>
          </cell>
          <cell r="F26" t="str">
            <v>58.48000</v>
          </cell>
          <cell r="G26">
            <v>40601</v>
          </cell>
          <cell r="H26" t="str">
            <v/>
          </cell>
          <cell r="I26">
            <v>1</v>
          </cell>
          <cell r="J26" t="str">
            <v/>
          </cell>
          <cell r="K26">
            <v>1</v>
          </cell>
          <cell r="L26" t="str">
            <v/>
          </cell>
          <cell r="M26">
            <v>1</v>
          </cell>
        </row>
        <row r="27">
          <cell r="A27" t="str">
            <v>25815$CONTUSA</v>
          </cell>
          <cell r="B27" t="str">
            <v>25815</v>
          </cell>
          <cell r="C27" t="str">
            <v>2581501</v>
          </cell>
          <cell r="D27" t="str">
            <v>$CONTUSA</v>
          </cell>
          <cell r="E27" t="str">
            <v>LEV1</v>
          </cell>
          <cell r="F27" t="str">
            <v>42.08000</v>
          </cell>
          <cell r="G27">
            <v>40601</v>
          </cell>
          <cell r="H27" t="str">
            <v/>
          </cell>
          <cell r="I27">
            <v>1</v>
          </cell>
          <cell r="J27" t="str">
            <v/>
          </cell>
          <cell r="K27">
            <v>1</v>
          </cell>
          <cell r="L27" t="str">
            <v/>
          </cell>
          <cell r="M27">
            <v>1</v>
          </cell>
        </row>
        <row r="28">
          <cell r="A28" t="str">
            <v>30840$CONTUSA</v>
          </cell>
          <cell r="B28" t="str">
            <v>30840</v>
          </cell>
          <cell r="C28" t="str">
            <v>3084000</v>
          </cell>
          <cell r="D28" t="str">
            <v>$CONTUSA</v>
          </cell>
          <cell r="E28" t="str">
            <v>LEV1</v>
          </cell>
          <cell r="F28" t="str">
            <v>1332.00000</v>
          </cell>
          <cell r="G28">
            <v>40601</v>
          </cell>
          <cell r="H28" t="str">
            <v/>
          </cell>
          <cell r="I28">
            <v>1</v>
          </cell>
          <cell r="J28" t="str">
            <v/>
          </cell>
          <cell r="K28">
            <v>1</v>
          </cell>
          <cell r="L28" t="str">
            <v/>
          </cell>
          <cell r="M28">
            <v>1</v>
          </cell>
        </row>
        <row r="29">
          <cell r="A29" t="str">
            <v>32521$CONTUSA</v>
          </cell>
          <cell r="B29" t="str">
            <v>32521</v>
          </cell>
          <cell r="C29" t="str">
            <v>3252100</v>
          </cell>
          <cell r="D29" t="str">
            <v>$CONTUSA</v>
          </cell>
          <cell r="E29" t="str">
            <v>LEV1</v>
          </cell>
          <cell r="F29" t="str">
            <v>42.16000</v>
          </cell>
          <cell r="G29">
            <v>40790</v>
          </cell>
          <cell r="H29" t="str">
            <v/>
          </cell>
          <cell r="I29">
            <v>1</v>
          </cell>
          <cell r="J29" t="str">
            <v/>
          </cell>
          <cell r="K29">
            <v>1</v>
          </cell>
          <cell r="L29" t="str">
            <v/>
          </cell>
          <cell r="M29">
            <v>1</v>
          </cell>
        </row>
        <row r="30">
          <cell r="A30" t="str">
            <v>33539$CONTUSA</v>
          </cell>
          <cell r="B30" t="str">
            <v>33539</v>
          </cell>
          <cell r="C30" t="str">
            <v>3353900</v>
          </cell>
          <cell r="D30" t="str">
            <v>$CONTUSA</v>
          </cell>
          <cell r="E30" t="str">
            <v>LEV1</v>
          </cell>
          <cell r="F30" t="str">
            <v>34.72000</v>
          </cell>
          <cell r="G30">
            <v>41000</v>
          </cell>
          <cell r="H30" t="str">
            <v/>
          </cell>
          <cell r="I30">
            <v>1</v>
          </cell>
          <cell r="J30" t="str">
            <v/>
          </cell>
          <cell r="K30">
            <v>1</v>
          </cell>
          <cell r="L30" t="str">
            <v/>
          </cell>
          <cell r="M30">
            <v>1</v>
          </cell>
        </row>
        <row r="31">
          <cell r="A31" t="str">
            <v>34108$CONTUSA</v>
          </cell>
          <cell r="B31" t="str">
            <v>34108</v>
          </cell>
          <cell r="C31" t="str">
            <v>3410800</v>
          </cell>
          <cell r="D31" t="str">
            <v>$CONTUSA</v>
          </cell>
          <cell r="E31" t="str">
            <v>LEV1</v>
          </cell>
          <cell r="F31" t="str">
            <v>39.48000</v>
          </cell>
          <cell r="G31">
            <v>40860</v>
          </cell>
          <cell r="H31" t="str">
            <v/>
          </cell>
          <cell r="I31">
            <v>1</v>
          </cell>
          <cell r="J31" t="str">
            <v/>
          </cell>
          <cell r="K31">
            <v>1</v>
          </cell>
          <cell r="L31" t="str">
            <v/>
          </cell>
          <cell r="M31">
            <v>1</v>
          </cell>
        </row>
        <row r="32">
          <cell r="A32" t="str">
            <v>34260$CONTUSA</v>
          </cell>
          <cell r="B32" t="str">
            <v>34260</v>
          </cell>
          <cell r="C32" t="str">
            <v>3426000</v>
          </cell>
          <cell r="D32" t="str">
            <v>$CONTUSA</v>
          </cell>
          <cell r="E32" t="str">
            <v>LEV1</v>
          </cell>
          <cell r="F32" t="str">
            <v>14.88000</v>
          </cell>
          <cell r="G32">
            <v>40839</v>
          </cell>
          <cell r="H32" t="str">
            <v/>
          </cell>
          <cell r="I32">
            <v>1</v>
          </cell>
          <cell r="J32" t="str">
            <v/>
          </cell>
          <cell r="K32">
            <v>1</v>
          </cell>
          <cell r="L32" t="str">
            <v/>
          </cell>
          <cell r="M32">
            <v>1</v>
          </cell>
        </row>
        <row r="33">
          <cell r="A33" t="str">
            <v>34396$CONTUSA</v>
          </cell>
          <cell r="B33" t="str">
            <v>34396</v>
          </cell>
          <cell r="C33" t="str">
            <v>3439600</v>
          </cell>
          <cell r="D33" t="str">
            <v>$CONTUSA</v>
          </cell>
          <cell r="E33" t="str">
            <v>LEV1</v>
          </cell>
          <cell r="F33" t="str">
            <v>29.84000</v>
          </cell>
          <cell r="G33">
            <v>40867</v>
          </cell>
          <cell r="H33" t="str">
            <v/>
          </cell>
          <cell r="I33">
            <v>1</v>
          </cell>
          <cell r="J33" t="str">
            <v/>
          </cell>
          <cell r="K33">
            <v>1</v>
          </cell>
          <cell r="L33" t="str">
            <v/>
          </cell>
          <cell r="M33">
            <v>1</v>
          </cell>
        </row>
        <row r="34">
          <cell r="A34" t="str">
            <v>34602$CONTUSA</v>
          </cell>
          <cell r="B34" t="str">
            <v>34602</v>
          </cell>
          <cell r="C34" t="str">
            <v>3460200</v>
          </cell>
          <cell r="D34" t="str">
            <v>$CONTUSA</v>
          </cell>
          <cell r="E34" t="str">
            <v>LEV1</v>
          </cell>
          <cell r="F34" t="str">
            <v>29.84000</v>
          </cell>
          <cell r="G34">
            <v>40867</v>
          </cell>
          <cell r="H34" t="str">
            <v/>
          </cell>
          <cell r="I34">
            <v>1</v>
          </cell>
          <cell r="J34" t="str">
            <v/>
          </cell>
          <cell r="K34">
            <v>1</v>
          </cell>
          <cell r="L34" t="str">
            <v/>
          </cell>
          <cell r="M34">
            <v>1</v>
          </cell>
        </row>
        <row r="35">
          <cell r="A35" t="str">
            <v>34603$CONTUSA</v>
          </cell>
          <cell r="B35" t="str">
            <v>34603</v>
          </cell>
          <cell r="C35" t="str">
            <v>3460300</v>
          </cell>
          <cell r="D35" t="str">
            <v>$CONTUSA</v>
          </cell>
          <cell r="E35" t="str">
            <v>LEV1</v>
          </cell>
          <cell r="F35" t="str">
            <v>20.64000</v>
          </cell>
          <cell r="G35">
            <v>40867</v>
          </cell>
          <cell r="H35" t="str">
            <v/>
          </cell>
          <cell r="I35">
            <v>1</v>
          </cell>
          <cell r="J35" t="str">
            <v/>
          </cell>
          <cell r="K35">
            <v>1</v>
          </cell>
          <cell r="L35" t="str">
            <v/>
          </cell>
          <cell r="M35">
            <v>1</v>
          </cell>
        </row>
        <row r="36">
          <cell r="A36" t="str">
            <v>35321$CONTUSA</v>
          </cell>
          <cell r="B36" t="str">
            <v>35321</v>
          </cell>
          <cell r="C36" t="str">
            <v>3532100</v>
          </cell>
          <cell r="D36" t="str">
            <v>$CONTUSA</v>
          </cell>
          <cell r="E36" t="str">
            <v>LEV1</v>
          </cell>
          <cell r="F36" t="str">
            <v>33.68000</v>
          </cell>
          <cell r="G36">
            <v>40937</v>
          </cell>
          <cell r="H36" t="str">
            <v/>
          </cell>
          <cell r="I36">
            <v>1</v>
          </cell>
          <cell r="J36" t="str">
            <v/>
          </cell>
          <cell r="K36">
            <v>1</v>
          </cell>
          <cell r="L36" t="str">
            <v/>
          </cell>
          <cell r="M36">
            <v>1</v>
          </cell>
        </row>
        <row r="37">
          <cell r="A37" t="str">
            <v>35322$CONTUSA</v>
          </cell>
          <cell r="B37" t="str">
            <v>35322</v>
          </cell>
          <cell r="C37" t="str">
            <v>3532200</v>
          </cell>
          <cell r="D37" t="str">
            <v>$CONTUSA</v>
          </cell>
          <cell r="E37" t="str">
            <v>LEV1</v>
          </cell>
          <cell r="F37" t="str">
            <v>33.68000</v>
          </cell>
          <cell r="G37">
            <v>40937</v>
          </cell>
          <cell r="H37" t="str">
            <v/>
          </cell>
          <cell r="I37">
            <v>1</v>
          </cell>
          <cell r="J37" t="str">
            <v/>
          </cell>
          <cell r="K37">
            <v>1</v>
          </cell>
          <cell r="L37" t="str">
            <v/>
          </cell>
          <cell r="M37">
            <v>1</v>
          </cell>
        </row>
        <row r="38">
          <cell r="A38" t="str">
            <v>35767$CONTUSA</v>
          </cell>
          <cell r="B38" t="str">
            <v>35767</v>
          </cell>
          <cell r="C38" t="str">
            <v>3576700</v>
          </cell>
          <cell r="D38" t="str">
            <v>$CONTUSA</v>
          </cell>
          <cell r="E38" t="str">
            <v>LEV1</v>
          </cell>
          <cell r="F38" t="str">
            <v>2496.60000</v>
          </cell>
          <cell r="G38">
            <v>41028</v>
          </cell>
          <cell r="H38" t="str">
            <v/>
          </cell>
          <cell r="I38">
            <v>1</v>
          </cell>
          <cell r="J38" t="str">
            <v/>
          </cell>
          <cell r="K38">
            <v>1</v>
          </cell>
          <cell r="L38" t="str">
            <v/>
          </cell>
          <cell r="M38">
            <v>1</v>
          </cell>
        </row>
        <row r="39">
          <cell r="A39" t="str">
            <v>35917$CONTUSA</v>
          </cell>
          <cell r="B39" t="str">
            <v>35917</v>
          </cell>
          <cell r="C39" t="str">
            <v>3591700</v>
          </cell>
          <cell r="D39" t="str">
            <v>$CONTUSA</v>
          </cell>
          <cell r="E39" t="str">
            <v>LEV1</v>
          </cell>
          <cell r="F39" t="str">
            <v>1540.80000</v>
          </cell>
          <cell r="G39">
            <v>41000</v>
          </cell>
          <cell r="H39" t="str">
            <v/>
          </cell>
          <cell r="I39">
            <v>1</v>
          </cell>
          <cell r="J39">
            <v>0</v>
          </cell>
          <cell r="K39">
            <v>1</v>
          </cell>
          <cell r="L39" t="str">
            <v/>
          </cell>
          <cell r="M39">
            <v>1</v>
          </cell>
        </row>
        <row r="40">
          <cell r="A40" t="str">
            <v>35918$CONTUSA</v>
          </cell>
          <cell r="B40" t="str">
            <v>35918</v>
          </cell>
          <cell r="C40" t="str">
            <v>3591800</v>
          </cell>
          <cell r="D40" t="str">
            <v>$CONTUSA</v>
          </cell>
          <cell r="E40" t="str">
            <v>LEV1</v>
          </cell>
          <cell r="F40" t="str">
            <v>1155.60000</v>
          </cell>
          <cell r="G40">
            <v>41000</v>
          </cell>
          <cell r="H40" t="str">
            <v/>
          </cell>
          <cell r="I40">
            <v>1</v>
          </cell>
          <cell r="J40" t="str">
            <v/>
          </cell>
          <cell r="K40">
            <v>1</v>
          </cell>
          <cell r="L40" t="str">
            <v/>
          </cell>
          <cell r="M40">
            <v>1</v>
          </cell>
        </row>
        <row r="41">
          <cell r="A41" t="str">
            <v>35970$CANADA$</v>
          </cell>
          <cell r="B41" t="str">
            <v>35970</v>
          </cell>
          <cell r="C41" t="str">
            <v>3597000</v>
          </cell>
          <cell r="D41" t="str">
            <v>$CANADA$</v>
          </cell>
          <cell r="E41" t="str">
            <v>LEV1</v>
          </cell>
          <cell r="F41" t="str">
            <v/>
          </cell>
          <cell r="G41">
            <v>1</v>
          </cell>
          <cell r="H41" t="str">
            <v>35.52000</v>
          </cell>
          <cell r="I41">
            <v>41238</v>
          </cell>
          <cell r="J41" t="str">
            <v/>
          </cell>
          <cell r="K41">
            <v>1</v>
          </cell>
          <cell r="L41" t="str">
            <v/>
          </cell>
          <cell r="M41">
            <v>1</v>
          </cell>
        </row>
        <row r="42">
          <cell r="A42" t="str">
            <v>35970$CONTUSA</v>
          </cell>
          <cell r="B42" t="str">
            <v>35970</v>
          </cell>
          <cell r="C42" t="str">
            <v>3597000</v>
          </cell>
          <cell r="D42" t="str">
            <v>$CONTUSA</v>
          </cell>
          <cell r="E42" t="str">
            <v>LEV1</v>
          </cell>
          <cell r="F42" t="str">
            <v/>
          </cell>
          <cell r="G42">
            <v>1</v>
          </cell>
          <cell r="H42" t="str">
            <v>24.32000</v>
          </cell>
          <cell r="I42">
            <v>41238</v>
          </cell>
          <cell r="J42" t="str">
            <v/>
          </cell>
          <cell r="K42">
            <v>1</v>
          </cell>
          <cell r="L42" t="str">
            <v/>
          </cell>
          <cell r="M42">
            <v>1</v>
          </cell>
        </row>
        <row r="43">
          <cell r="A43" t="str">
            <v>35971$CANADA$</v>
          </cell>
          <cell r="B43" t="str">
            <v>35971</v>
          </cell>
          <cell r="C43" t="str">
            <v>3597100</v>
          </cell>
          <cell r="D43" t="str">
            <v>$CANADA$</v>
          </cell>
          <cell r="E43" t="str">
            <v>LEV1</v>
          </cell>
          <cell r="F43" t="str">
            <v/>
          </cell>
          <cell r="G43">
            <v>1</v>
          </cell>
          <cell r="H43" t="str">
            <v>35.52000</v>
          </cell>
          <cell r="I43">
            <v>41238</v>
          </cell>
          <cell r="J43" t="str">
            <v/>
          </cell>
          <cell r="K43">
            <v>1</v>
          </cell>
          <cell r="L43" t="str">
            <v/>
          </cell>
          <cell r="M43">
            <v>1</v>
          </cell>
        </row>
        <row r="44">
          <cell r="A44" t="str">
            <v>35971$CONTUSA</v>
          </cell>
          <cell r="B44" t="str">
            <v>35971</v>
          </cell>
          <cell r="C44" t="str">
            <v>3597100</v>
          </cell>
          <cell r="D44" t="str">
            <v>$CONTUSA</v>
          </cell>
          <cell r="E44" t="str">
            <v>LEV1</v>
          </cell>
          <cell r="F44" t="str">
            <v/>
          </cell>
          <cell r="G44">
            <v>1</v>
          </cell>
          <cell r="H44" t="str">
            <v>24.32000</v>
          </cell>
          <cell r="I44">
            <v>41238</v>
          </cell>
          <cell r="J44" t="str">
            <v/>
          </cell>
          <cell r="K44">
            <v>1</v>
          </cell>
          <cell r="L44" t="str">
            <v/>
          </cell>
          <cell r="M44">
            <v>1</v>
          </cell>
        </row>
        <row r="45">
          <cell r="A45" t="str">
            <v>35972$CANADA$</v>
          </cell>
          <cell r="B45" t="str">
            <v>35972</v>
          </cell>
          <cell r="C45" t="str">
            <v>3597200</v>
          </cell>
          <cell r="D45" t="str">
            <v>$CANADA$</v>
          </cell>
          <cell r="E45" t="str">
            <v>LEV1</v>
          </cell>
          <cell r="F45" t="str">
            <v/>
          </cell>
          <cell r="G45">
            <v>1</v>
          </cell>
          <cell r="H45" t="str">
            <v>51.92000</v>
          </cell>
          <cell r="I45">
            <v>41238</v>
          </cell>
          <cell r="J45" t="str">
            <v/>
          </cell>
          <cell r="K45">
            <v>1</v>
          </cell>
          <cell r="L45" t="str">
            <v/>
          </cell>
          <cell r="M45">
            <v>1</v>
          </cell>
        </row>
        <row r="46">
          <cell r="A46" t="str">
            <v>35972$CONTUSA</v>
          </cell>
          <cell r="B46" t="str">
            <v>35972</v>
          </cell>
          <cell r="C46" t="str">
            <v>3597200</v>
          </cell>
          <cell r="D46" t="str">
            <v>$CONTUSA</v>
          </cell>
          <cell r="E46" t="str">
            <v>LEV1</v>
          </cell>
          <cell r="F46" t="str">
            <v/>
          </cell>
          <cell r="G46">
            <v>1</v>
          </cell>
          <cell r="H46" t="str">
            <v>37.44000</v>
          </cell>
          <cell r="I46">
            <v>41238</v>
          </cell>
          <cell r="J46" t="str">
            <v/>
          </cell>
          <cell r="K46">
            <v>1</v>
          </cell>
          <cell r="L46" t="str">
            <v/>
          </cell>
          <cell r="M46">
            <v>1</v>
          </cell>
        </row>
        <row r="47">
          <cell r="A47" t="str">
            <v>35973$CANADA$</v>
          </cell>
          <cell r="B47" t="str">
            <v>35973</v>
          </cell>
          <cell r="C47" t="str">
            <v>3597300</v>
          </cell>
          <cell r="D47" t="str">
            <v>$CANADA$</v>
          </cell>
          <cell r="E47" t="str">
            <v>LEV1</v>
          </cell>
          <cell r="F47" t="str">
            <v/>
          </cell>
          <cell r="G47">
            <v>1</v>
          </cell>
          <cell r="H47" t="str">
            <v>51.92000</v>
          </cell>
          <cell r="I47">
            <v>41238</v>
          </cell>
          <cell r="J47" t="str">
            <v/>
          </cell>
          <cell r="K47">
            <v>1</v>
          </cell>
          <cell r="L47" t="str">
            <v/>
          </cell>
          <cell r="M47">
            <v>1</v>
          </cell>
        </row>
        <row r="48">
          <cell r="A48" t="str">
            <v>35973$CONTUSA</v>
          </cell>
          <cell r="B48" t="str">
            <v>35973</v>
          </cell>
          <cell r="C48" t="str">
            <v>3597300</v>
          </cell>
          <cell r="D48" t="str">
            <v>$CONTUSA</v>
          </cell>
          <cell r="E48" t="str">
            <v>LEV1</v>
          </cell>
          <cell r="F48" t="str">
            <v/>
          </cell>
          <cell r="G48">
            <v>1</v>
          </cell>
          <cell r="H48" t="str">
            <v>37.44000</v>
          </cell>
          <cell r="I48">
            <v>41238</v>
          </cell>
          <cell r="J48" t="str">
            <v/>
          </cell>
          <cell r="K48">
            <v>1</v>
          </cell>
          <cell r="L48" t="str">
            <v/>
          </cell>
          <cell r="M48">
            <v>1</v>
          </cell>
        </row>
        <row r="49">
          <cell r="A49" t="str">
            <v>35974$CANADA$</v>
          </cell>
          <cell r="B49" t="str">
            <v>35974</v>
          </cell>
          <cell r="C49" t="str">
            <v>3597400</v>
          </cell>
          <cell r="D49" t="str">
            <v>$CANADA$</v>
          </cell>
          <cell r="E49" t="str">
            <v>LEV1</v>
          </cell>
          <cell r="F49" t="str">
            <v/>
          </cell>
          <cell r="G49">
            <v>1</v>
          </cell>
          <cell r="H49" t="str">
            <v>27.72000</v>
          </cell>
          <cell r="I49">
            <v>41238</v>
          </cell>
          <cell r="J49" t="str">
            <v/>
          </cell>
          <cell r="K49">
            <v>1</v>
          </cell>
          <cell r="L49" t="str">
            <v/>
          </cell>
          <cell r="M49">
            <v>1</v>
          </cell>
        </row>
        <row r="50">
          <cell r="A50" t="str">
            <v>35974$CONTUSA</v>
          </cell>
          <cell r="B50" t="str">
            <v>35974</v>
          </cell>
          <cell r="C50" t="str">
            <v>3597400</v>
          </cell>
          <cell r="D50" t="str">
            <v>$CONTUSA</v>
          </cell>
          <cell r="E50" t="str">
            <v>LEV1</v>
          </cell>
          <cell r="F50" t="str">
            <v/>
          </cell>
          <cell r="G50">
            <v>1</v>
          </cell>
          <cell r="H50" t="str">
            <v>19.92000</v>
          </cell>
          <cell r="I50">
            <v>41238</v>
          </cell>
          <cell r="J50" t="str">
            <v/>
          </cell>
          <cell r="K50">
            <v>1</v>
          </cell>
          <cell r="L50" t="str">
            <v/>
          </cell>
          <cell r="M50">
            <v>1</v>
          </cell>
        </row>
        <row r="51">
          <cell r="A51" t="str">
            <v>35975$CONTUSA</v>
          </cell>
          <cell r="B51" t="str">
            <v>35975</v>
          </cell>
          <cell r="C51" t="str">
            <v>3597500</v>
          </cell>
          <cell r="D51" t="str">
            <v>$CONTUSA</v>
          </cell>
          <cell r="E51" t="str">
            <v>LEV1</v>
          </cell>
          <cell r="F51" t="str">
            <v>120.00000</v>
          </cell>
          <cell r="G51">
            <v>41028</v>
          </cell>
          <cell r="H51" t="str">
            <v/>
          </cell>
          <cell r="I51">
            <v>1</v>
          </cell>
          <cell r="J51" t="str">
            <v/>
          </cell>
          <cell r="K51">
            <v>1</v>
          </cell>
          <cell r="L51" t="str">
            <v/>
          </cell>
          <cell r="M51">
            <v>1</v>
          </cell>
        </row>
        <row r="52">
          <cell r="A52" t="str">
            <v>36003$CANADA$</v>
          </cell>
          <cell r="B52" t="str">
            <v>36003</v>
          </cell>
          <cell r="C52" t="str">
            <v>3600300</v>
          </cell>
          <cell r="D52" t="str">
            <v>$CANADA$</v>
          </cell>
          <cell r="E52" t="str">
            <v>LEV1</v>
          </cell>
          <cell r="F52" t="str">
            <v/>
          </cell>
          <cell r="G52">
            <v>1</v>
          </cell>
          <cell r="H52" t="str">
            <v>20.40000</v>
          </cell>
          <cell r="I52">
            <v>41238</v>
          </cell>
          <cell r="J52" t="str">
            <v/>
          </cell>
          <cell r="K52">
            <v>1</v>
          </cell>
          <cell r="L52" t="str">
            <v/>
          </cell>
          <cell r="M52">
            <v>1</v>
          </cell>
        </row>
        <row r="53">
          <cell r="A53" t="str">
            <v>36003$CONTUSA</v>
          </cell>
          <cell r="B53" t="str">
            <v>36003</v>
          </cell>
          <cell r="C53" t="str">
            <v>3600300</v>
          </cell>
          <cell r="D53" t="str">
            <v>$CONTUSA</v>
          </cell>
          <cell r="E53" t="str">
            <v>LEV1</v>
          </cell>
          <cell r="F53" t="str">
            <v/>
          </cell>
          <cell r="G53">
            <v>1</v>
          </cell>
          <cell r="H53" t="str">
            <v>14.88000</v>
          </cell>
          <cell r="I53">
            <v>41238</v>
          </cell>
          <cell r="J53" t="str">
            <v/>
          </cell>
          <cell r="K53">
            <v>1</v>
          </cell>
          <cell r="L53" t="str">
            <v/>
          </cell>
          <cell r="M53">
            <v>1</v>
          </cell>
        </row>
        <row r="54">
          <cell r="A54" t="str">
            <v>36004$CANADA$</v>
          </cell>
          <cell r="B54" t="str">
            <v>36004</v>
          </cell>
          <cell r="C54" t="str">
            <v>3600400</v>
          </cell>
          <cell r="D54" t="str">
            <v>$CANADA$</v>
          </cell>
          <cell r="E54" t="str">
            <v>LEV1</v>
          </cell>
          <cell r="F54" t="str">
            <v/>
          </cell>
          <cell r="G54">
            <v>1</v>
          </cell>
          <cell r="H54" t="str">
            <v>42.20000</v>
          </cell>
          <cell r="I54">
            <v>41238</v>
          </cell>
          <cell r="J54" t="str">
            <v/>
          </cell>
          <cell r="K54">
            <v>1</v>
          </cell>
          <cell r="L54" t="str">
            <v/>
          </cell>
          <cell r="M54">
            <v>1</v>
          </cell>
        </row>
        <row r="55">
          <cell r="A55" t="str">
            <v>36004$CONTUSA</v>
          </cell>
          <cell r="B55" t="str">
            <v>36004</v>
          </cell>
          <cell r="C55" t="str">
            <v>3600400</v>
          </cell>
          <cell r="D55" t="str">
            <v>$CONTUSA</v>
          </cell>
          <cell r="E55" t="str">
            <v>LEV1</v>
          </cell>
          <cell r="F55" t="str">
            <v/>
          </cell>
          <cell r="G55">
            <v>1</v>
          </cell>
          <cell r="H55" t="str">
            <v>30.80000</v>
          </cell>
          <cell r="I55">
            <v>41238</v>
          </cell>
          <cell r="J55" t="str">
            <v/>
          </cell>
          <cell r="K55">
            <v>1</v>
          </cell>
          <cell r="L55" t="str">
            <v/>
          </cell>
          <cell r="M55">
            <v>1</v>
          </cell>
        </row>
        <row r="56">
          <cell r="A56" t="str">
            <v>36734$CANADA$</v>
          </cell>
          <cell r="B56" t="str">
            <v>36734</v>
          </cell>
          <cell r="C56" t="str">
            <v>3673400</v>
          </cell>
          <cell r="D56" t="str">
            <v>$CANADA$</v>
          </cell>
          <cell r="E56" t="str">
            <v>LEV1</v>
          </cell>
          <cell r="F56" t="str">
            <v/>
          </cell>
          <cell r="G56">
            <v>1</v>
          </cell>
          <cell r="H56" t="str">
            <v>21.76000</v>
          </cell>
          <cell r="I56">
            <v>41238</v>
          </cell>
          <cell r="J56" t="str">
            <v/>
          </cell>
          <cell r="K56">
            <v>1</v>
          </cell>
          <cell r="L56" t="str">
            <v/>
          </cell>
          <cell r="M56">
            <v>1</v>
          </cell>
        </row>
        <row r="57">
          <cell r="A57" t="str">
            <v>36734$CONTUSA</v>
          </cell>
          <cell r="B57" t="str">
            <v>36734</v>
          </cell>
          <cell r="C57" t="str">
            <v>3673400</v>
          </cell>
          <cell r="D57" t="str">
            <v>$CONTUSA</v>
          </cell>
          <cell r="E57" t="str">
            <v>LEV1</v>
          </cell>
          <cell r="F57" t="str">
            <v/>
          </cell>
          <cell r="G57">
            <v>1</v>
          </cell>
          <cell r="H57" t="str">
            <v>16.32000</v>
          </cell>
          <cell r="I57">
            <v>41238</v>
          </cell>
          <cell r="J57" t="str">
            <v/>
          </cell>
          <cell r="K57">
            <v>1</v>
          </cell>
          <cell r="L57" t="str">
            <v/>
          </cell>
          <cell r="M57">
            <v>1</v>
          </cell>
        </row>
        <row r="58">
          <cell r="A58" t="str">
            <v>36737$CANADA$</v>
          </cell>
          <cell r="B58" t="str">
            <v>36737</v>
          </cell>
          <cell r="C58" t="str">
            <v>3673700</v>
          </cell>
          <cell r="D58" t="str">
            <v>$CANADA$</v>
          </cell>
          <cell r="E58" t="str">
            <v>LEV1</v>
          </cell>
          <cell r="F58" t="str">
            <v/>
          </cell>
          <cell r="G58">
            <v>1</v>
          </cell>
          <cell r="H58" t="str">
            <v>21.76000</v>
          </cell>
          <cell r="I58">
            <v>41238</v>
          </cell>
          <cell r="J58" t="str">
            <v/>
          </cell>
          <cell r="K58">
            <v>1</v>
          </cell>
          <cell r="L58" t="str">
            <v/>
          </cell>
          <cell r="M58">
            <v>1</v>
          </cell>
        </row>
        <row r="59">
          <cell r="A59" t="str">
            <v>36737$CONTUSA</v>
          </cell>
          <cell r="B59" t="str">
            <v>36737</v>
          </cell>
          <cell r="C59" t="str">
            <v>3673700</v>
          </cell>
          <cell r="D59" t="str">
            <v>$CONTUSA</v>
          </cell>
          <cell r="E59" t="str">
            <v>LEV1</v>
          </cell>
          <cell r="F59" t="str">
            <v/>
          </cell>
          <cell r="G59">
            <v>1</v>
          </cell>
          <cell r="H59" t="str">
            <v>16.32000</v>
          </cell>
          <cell r="I59">
            <v>41238</v>
          </cell>
          <cell r="J59" t="str">
            <v/>
          </cell>
          <cell r="K59">
            <v>1</v>
          </cell>
          <cell r="L59" t="str">
            <v/>
          </cell>
          <cell r="M59">
            <v>1</v>
          </cell>
        </row>
        <row r="60">
          <cell r="A60" t="str">
            <v>36738$CANADA$</v>
          </cell>
          <cell r="B60" t="str">
            <v>36738</v>
          </cell>
          <cell r="C60">
            <v>3673800</v>
          </cell>
          <cell r="D60" t="str">
            <v>$CANADA$</v>
          </cell>
          <cell r="E60" t="str">
            <v>LEV1</v>
          </cell>
          <cell r="F60">
            <v>21.76</v>
          </cell>
          <cell r="G60" t="str">
            <v>11/25/2012</v>
          </cell>
          <cell r="I60">
            <v>1</v>
          </cell>
          <cell r="K60">
            <v>1</v>
          </cell>
          <cell r="M60">
            <v>1</v>
          </cell>
        </row>
        <row r="61">
          <cell r="A61" t="str">
            <v>36738$CONTUSA</v>
          </cell>
          <cell r="B61" t="str">
            <v>36738</v>
          </cell>
          <cell r="C61">
            <v>3673800</v>
          </cell>
          <cell r="D61" t="str">
            <v>$CONTUSA</v>
          </cell>
          <cell r="E61" t="str">
            <v>LEV1</v>
          </cell>
          <cell r="F61">
            <v>16.32</v>
          </cell>
          <cell r="G61" t="str">
            <v>11/25/2012</v>
          </cell>
          <cell r="I61">
            <v>1</v>
          </cell>
          <cell r="K61">
            <v>1</v>
          </cell>
          <cell r="M61">
            <v>1</v>
          </cell>
        </row>
        <row r="62">
          <cell r="A62" t="str">
            <v>36741$CANADA$</v>
          </cell>
          <cell r="B62" t="str">
            <v>36741</v>
          </cell>
          <cell r="C62" t="str">
            <v>3674100</v>
          </cell>
          <cell r="D62" t="str">
            <v>$CANADA$</v>
          </cell>
          <cell r="E62" t="str">
            <v>LEV1</v>
          </cell>
          <cell r="F62" t="str">
            <v/>
          </cell>
          <cell r="G62">
            <v>1</v>
          </cell>
          <cell r="H62" t="str">
            <v>31.50000</v>
          </cell>
          <cell r="I62">
            <v>41238</v>
          </cell>
          <cell r="J62" t="str">
            <v/>
          </cell>
          <cell r="K62">
            <v>1</v>
          </cell>
          <cell r="L62" t="str">
            <v/>
          </cell>
          <cell r="M62">
            <v>1</v>
          </cell>
        </row>
        <row r="63">
          <cell r="A63" t="str">
            <v>36741$CONTUSA</v>
          </cell>
          <cell r="B63" t="str">
            <v>36741</v>
          </cell>
          <cell r="C63" t="str">
            <v>3674100</v>
          </cell>
          <cell r="D63" t="str">
            <v>$CONTUSA</v>
          </cell>
          <cell r="E63" t="str">
            <v>LEV1</v>
          </cell>
          <cell r="F63" t="str">
            <v/>
          </cell>
          <cell r="G63">
            <v>1</v>
          </cell>
          <cell r="H63" t="str">
            <v>23.16000</v>
          </cell>
          <cell r="I63">
            <v>41238</v>
          </cell>
          <cell r="J63" t="str">
            <v/>
          </cell>
          <cell r="K63">
            <v>1</v>
          </cell>
          <cell r="L63" t="str">
            <v/>
          </cell>
          <cell r="M63">
            <v>1</v>
          </cell>
        </row>
        <row r="64">
          <cell r="A64" t="str">
            <v>36742$CANADA$</v>
          </cell>
          <cell r="B64" t="str">
            <v>36742</v>
          </cell>
          <cell r="C64" t="str">
            <v>3674200</v>
          </cell>
          <cell r="D64" t="str">
            <v>$CANADA$</v>
          </cell>
          <cell r="E64" t="str">
            <v>LEV1</v>
          </cell>
          <cell r="F64" t="str">
            <v/>
          </cell>
          <cell r="G64">
            <v>1</v>
          </cell>
          <cell r="H64" t="str">
            <v>31.50000</v>
          </cell>
          <cell r="I64">
            <v>41238</v>
          </cell>
          <cell r="J64" t="str">
            <v/>
          </cell>
          <cell r="K64">
            <v>1</v>
          </cell>
          <cell r="L64" t="str">
            <v/>
          </cell>
          <cell r="M64">
            <v>1</v>
          </cell>
        </row>
        <row r="65">
          <cell r="A65" t="str">
            <v>36742$CONTUSA</v>
          </cell>
          <cell r="B65" t="str">
            <v>36742</v>
          </cell>
          <cell r="C65" t="str">
            <v>3674200</v>
          </cell>
          <cell r="D65" t="str">
            <v>$CONTUSA</v>
          </cell>
          <cell r="E65" t="str">
            <v>LEV1</v>
          </cell>
          <cell r="F65" t="str">
            <v/>
          </cell>
          <cell r="G65">
            <v>1</v>
          </cell>
          <cell r="H65" t="str">
            <v>23.16000</v>
          </cell>
          <cell r="I65">
            <v>41238</v>
          </cell>
          <cell r="J65" t="str">
            <v/>
          </cell>
          <cell r="K65">
            <v>1</v>
          </cell>
          <cell r="L65" t="str">
            <v/>
          </cell>
          <cell r="M65">
            <v>1</v>
          </cell>
        </row>
        <row r="66">
          <cell r="A66" t="str">
            <v>36777$CANADA$</v>
          </cell>
          <cell r="B66" t="str">
            <v>36777</v>
          </cell>
          <cell r="C66" t="str">
            <v>3677700</v>
          </cell>
          <cell r="D66" t="str">
            <v>$CANADA$</v>
          </cell>
          <cell r="E66" t="str">
            <v>LEV1</v>
          </cell>
          <cell r="F66" t="str">
            <v/>
          </cell>
          <cell r="G66">
            <v>1</v>
          </cell>
          <cell r="H66" t="str">
            <v>126.00000</v>
          </cell>
          <cell r="I66">
            <v>41238</v>
          </cell>
          <cell r="J66" t="str">
            <v/>
          </cell>
          <cell r="K66">
            <v>1</v>
          </cell>
          <cell r="L66" t="str">
            <v/>
          </cell>
          <cell r="M66">
            <v>1</v>
          </cell>
        </row>
        <row r="67">
          <cell r="A67" t="str">
            <v>36777$CONTUSA</v>
          </cell>
          <cell r="B67" t="str">
            <v>36777</v>
          </cell>
          <cell r="C67" t="str">
            <v>3677700</v>
          </cell>
          <cell r="D67" t="str">
            <v>$CONTUSA</v>
          </cell>
          <cell r="E67" t="str">
            <v>LEV1</v>
          </cell>
          <cell r="F67" t="str">
            <v/>
          </cell>
          <cell r="G67">
            <v>1</v>
          </cell>
          <cell r="H67" t="str">
            <v>92.64000</v>
          </cell>
          <cell r="I67">
            <v>41238</v>
          </cell>
          <cell r="J67" t="str">
            <v/>
          </cell>
          <cell r="K67">
            <v>1</v>
          </cell>
          <cell r="L67" t="str">
            <v/>
          </cell>
          <cell r="M67">
            <v>1</v>
          </cell>
        </row>
        <row r="68">
          <cell r="A68" t="str">
            <v>72010$CANADA$</v>
          </cell>
          <cell r="B68" t="str">
            <v>72010</v>
          </cell>
          <cell r="C68" t="str">
            <v>7201001</v>
          </cell>
          <cell r="D68" t="str">
            <v>$CANADA$</v>
          </cell>
          <cell r="E68" t="str">
            <v>LEV1</v>
          </cell>
          <cell r="F68" t="str">
            <v>40.80000</v>
          </cell>
          <cell r="G68">
            <v>40601</v>
          </cell>
          <cell r="H68" t="str">
            <v/>
          </cell>
          <cell r="I68">
            <v>1</v>
          </cell>
          <cell r="J68" t="str">
            <v/>
          </cell>
          <cell r="K68">
            <v>1</v>
          </cell>
          <cell r="L68" t="str">
            <v/>
          </cell>
          <cell r="M68">
            <v>1</v>
          </cell>
        </row>
        <row r="69">
          <cell r="A69" t="str">
            <v>72010$CONTUSA</v>
          </cell>
          <cell r="B69" t="str">
            <v>72010</v>
          </cell>
          <cell r="C69" t="str">
            <v>7201001</v>
          </cell>
          <cell r="D69" t="str">
            <v>$CONTUSA</v>
          </cell>
          <cell r="E69" t="str">
            <v>LEV1</v>
          </cell>
          <cell r="F69" t="str">
            <v>29.76000</v>
          </cell>
          <cell r="G69">
            <v>40601</v>
          </cell>
          <cell r="H69" t="str">
            <v/>
          </cell>
          <cell r="I69">
            <v>1</v>
          </cell>
          <cell r="J69" t="str">
            <v/>
          </cell>
          <cell r="K69">
            <v>1</v>
          </cell>
          <cell r="L69" t="str">
            <v/>
          </cell>
          <cell r="M69">
            <v>1</v>
          </cell>
        </row>
        <row r="70">
          <cell r="A70" t="str">
            <v>72013$CANADA$</v>
          </cell>
          <cell r="B70" t="str">
            <v>72013</v>
          </cell>
          <cell r="C70" t="str">
            <v>7201310</v>
          </cell>
          <cell r="D70" t="str">
            <v>$CANADA$</v>
          </cell>
          <cell r="E70" t="str">
            <v>LEV1</v>
          </cell>
          <cell r="F70" t="str">
            <v>40.80000</v>
          </cell>
          <cell r="G70">
            <v>40027</v>
          </cell>
          <cell r="H70" t="str">
            <v/>
          </cell>
          <cell r="I70">
            <v>1</v>
          </cell>
          <cell r="J70" t="str">
            <v/>
          </cell>
          <cell r="K70">
            <v>1</v>
          </cell>
          <cell r="L70" t="str">
            <v/>
          </cell>
          <cell r="M70">
            <v>1</v>
          </cell>
        </row>
        <row r="71">
          <cell r="A71" t="str">
            <v>72013$CONTUSA</v>
          </cell>
          <cell r="B71" t="str">
            <v>72013</v>
          </cell>
          <cell r="C71" t="str">
            <v>7201310</v>
          </cell>
          <cell r="D71" t="str">
            <v>$CONTUSA</v>
          </cell>
          <cell r="E71" t="str">
            <v>LEV1</v>
          </cell>
          <cell r="F71" t="str">
            <v>29.76000</v>
          </cell>
          <cell r="G71">
            <v>40027</v>
          </cell>
          <cell r="H71" t="str">
            <v/>
          </cell>
          <cell r="I71">
            <v>1</v>
          </cell>
          <cell r="J71" t="str">
            <v/>
          </cell>
          <cell r="K71">
            <v>1</v>
          </cell>
          <cell r="L71" t="str">
            <v/>
          </cell>
          <cell r="M71">
            <v>1</v>
          </cell>
        </row>
        <row r="72">
          <cell r="A72" t="str">
            <v>72031$CONTUSA</v>
          </cell>
          <cell r="B72" t="str">
            <v>72031</v>
          </cell>
          <cell r="C72" t="str">
            <v>7203100</v>
          </cell>
          <cell r="D72" t="str">
            <v>$CONTUSA</v>
          </cell>
          <cell r="E72" t="str">
            <v>LEV1</v>
          </cell>
          <cell r="F72" t="str">
            <v>24.48000</v>
          </cell>
          <cell r="G72">
            <v>40601</v>
          </cell>
          <cell r="H72" t="str">
            <v/>
          </cell>
          <cell r="I72">
            <v>1</v>
          </cell>
          <cell r="J72" t="str">
            <v/>
          </cell>
          <cell r="K72">
            <v>1</v>
          </cell>
          <cell r="L72" t="str">
            <v/>
          </cell>
          <cell r="M72">
            <v>1</v>
          </cell>
        </row>
        <row r="73">
          <cell r="A73" t="str">
            <v>72032$CONTUSA</v>
          </cell>
          <cell r="B73" t="str">
            <v>72032</v>
          </cell>
          <cell r="C73" t="str">
            <v>7203200</v>
          </cell>
          <cell r="D73" t="str">
            <v>$CONTUSA</v>
          </cell>
          <cell r="E73" t="str">
            <v>LEV1</v>
          </cell>
          <cell r="F73" t="str">
            <v>42.08000</v>
          </cell>
          <cell r="G73">
            <v>40601</v>
          </cell>
          <cell r="H73" t="str">
            <v/>
          </cell>
          <cell r="I73">
            <v>1</v>
          </cell>
          <cell r="J73" t="str">
            <v/>
          </cell>
          <cell r="K73">
            <v>1</v>
          </cell>
          <cell r="L73" t="str">
            <v/>
          </cell>
          <cell r="M73">
            <v>1</v>
          </cell>
        </row>
        <row r="74">
          <cell r="A74" t="str">
            <v>72068$CANADA$</v>
          </cell>
          <cell r="B74" t="str">
            <v>72068</v>
          </cell>
          <cell r="C74" t="str">
            <v>7206805</v>
          </cell>
          <cell r="D74" t="str">
            <v>$CANADA$</v>
          </cell>
          <cell r="E74" t="str">
            <v>LEV1</v>
          </cell>
          <cell r="F74" t="str">
            <v>879.12000</v>
          </cell>
          <cell r="G74">
            <v>40601</v>
          </cell>
          <cell r="H74" t="str">
            <v/>
          </cell>
          <cell r="I74">
            <v>1</v>
          </cell>
          <cell r="J74" t="str">
            <v/>
          </cell>
          <cell r="K74">
            <v>1</v>
          </cell>
          <cell r="L74" t="str">
            <v/>
          </cell>
          <cell r="M74">
            <v>1</v>
          </cell>
        </row>
        <row r="75">
          <cell r="A75" t="str">
            <v>72068$CONTUSA</v>
          </cell>
          <cell r="B75" t="str">
            <v>72068</v>
          </cell>
          <cell r="C75" t="str">
            <v>7206805</v>
          </cell>
          <cell r="D75" t="str">
            <v>$CONTUSA</v>
          </cell>
          <cell r="E75" t="str">
            <v>LEV1</v>
          </cell>
          <cell r="F75" t="str">
            <v>666.00000</v>
          </cell>
          <cell r="G75">
            <v>40601</v>
          </cell>
          <cell r="H75" t="str">
            <v/>
          </cell>
          <cell r="I75">
            <v>1</v>
          </cell>
          <cell r="J75" t="str">
            <v/>
          </cell>
          <cell r="K75">
            <v>1</v>
          </cell>
          <cell r="L75" t="str">
            <v/>
          </cell>
          <cell r="M75">
            <v>1</v>
          </cell>
        </row>
        <row r="76">
          <cell r="A76" t="str">
            <v>72069$CONTUSA</v>
          </cell>
          <cell r="B76" t="str">
            <v>72069</v>
          </cell>
          <cell r="C76" t="str">
            <v>7206900</v>
          </cell>
          <cell r="D76" t="str">
            <v>$CONTUSA</v>
          </cell>
          <cell r="E76" t="str">
            <v>LEV1</v>
          </cell>
          <cell r="F76" t="str">
            <v>1248.30000</v>
          </cell>
          <cell r="G76">
            <v>40027</v>
          </cell>
          <cell r="H76" t="str">
            <v/>
          </cell>
          <cell r="I76">
            <v>1</v>
          </cell>
          <cell r="J76" t="str">
            <v/>
          </cell>
          <cell r="K76">
            <v>1</v>
          </cell>
          <cell r="L76" t="str">
            <v/>
          </cell>
          <cell r="M76">
            <v>1</v>
          </cell>
        </row>
        <row r="77">
          <cell r="A77" t="str">
            <v>72072$CONTUSA</v>
          </cell>
          <cell r="B77" t="str">
            <v>72072</v>
          </cell>
          <cell r="C77" t="str">
            <v>7207200</v>
          </cell>
          <cell r="D77" t="str">
            <v>$CONTUSA</v>
          </cell>
          <cell r="E77" t="str">
            <v>LEV1</v>
          </cell>
          <cell r="F77" t="str">
            <v>1497.96000</v>
          </cell>
          <cell r="G77">
            <v>40601</v>
          </cell>
          <cell r="H77" t="str">
            <v/>
          </cell>
          <cell r="I77">
            <v>1</v>
          </cell>
          <cell r="J77" t="str">
            <v/>
          </cell>
          <cell r="K77">
            <v>1</v>
          </cell>
          <cell r="L77" t="str">
            <v/>
          </cell>
          <cell r="M77">
            <v>1</v>
          </cell>
        </row>
        <row r="78">
          <cell r="A78" t="str">
            <v>72073$CONTUSA</v>
          </cell>
          <cell r="B78" t="str">
            <v>72073</v>
          </cell>
          <cell r="C78" t="str">
            <v>7207303</v>
          </cell>
          <cell r="D78" t="str">
            <v>$CONTUSA</v>
          </cell>
          <cell r="E78" t="str">
            <v>LEV1</v>
          </cell>
          <cell r="F78" t="str">
            <v>2496.60000</v>
          </cell>
          <cell r="G78">
            <v>40601</v>
          </cell>
          <cell r="H78" t="str">
            <v/>
          </cell>
          <cell r="I78">
            <v>1</v>
          </cell>
          <cell r="J78" t="str">
            <v/>
          </cell>
          <cell r="K78">
            <v>1</v>
          </cell>
          <cell r="L78" t="str">
            <v/>
          </cell>
          <cell r="M78">
            <v>1</v>
          </cell>
        </row>
        <row r="79">
          <cell r="A79" t="str">
            <v>72126$CONTUSA</v>
          </cell>
          <cell r="B79" t="str">
            <v>72126</v>
          </cell>
          <cell r="C79" t="str">
            <v>7212600</v>
          </cell>
          <cell r="D79" t="str">
            <v>$CONTUSA</v>
          </cell>
          <cell r="E79" t="str">
            <v>LEV1</v>
          </cell>
          <cell r="F79" t="str">
            <v>42.88000</v>
          </cell>
          <cell r="G79">
            <v>40601</v>
          </cell>
          <cell r="H79" t="str">
            <v/>
          </cell>
          <cell r="I79">
            <v>1</v>
          </cell>
          <cell r="J79" t="str">
            <v/>
          </cell>
          <cell r="K79">
            <v>1</v>
          </cell>
          <cell r="L79" t="str">
            <v/>
          </cell>
          <cell r="M79">
            <v>1</v>
          </cell>
        </row>
        <row r="80">
          <cell r="A80" t="str">
            <v>72140$CANADA$</v>
          </cell>
          <cell r="B80" t="str">
            <v>72140</v>
          </cell>
          <cell r="C80" t="str">
            <v>7214002</v>
          </cell>
          <cell r="D80" t="str">
            <v>$CANADA$</v>
          </cell>
          <cell r="E80" t="str">
            <v>LEV1</v>
          </cell>
          <cell r="F80" t="str">
            <v>58.48000</v>
          </cell>
          <cell r="G80">
            <v>40601</v>
          </cell>
          <cell r="H80" t="str">
            <v/>
          </cell>
          <cell r="I80">
            <v>1</v>
          </cell>
          <cell r="J80" t="str">
            <v/>
          </cell>
          <cell r="K80">
            <v>1</v>
          </cell>
          <cell r="L80" t="str">
            <v/>
          </cell>
          <cell r="M80">
            <v>1</v>
          </cell>
        </row>
        <row r="81">
          <cell r="A81" t="str">
            <v>72140$CONTUSA</v>
          </cell>
          <cell r="B81" t="str">
            <v>72140</v>
          </cell>
          <cell r="C81" t="str">
            <v>7214002</v>
          </cell>
          <cell r="D81" t="str">
            <v>$CONTUSA</v>
          </cell>
          <cell r="E81" t="str">
            <v>LEV1</v>
          </cell>
          <cell r="F81" t="str">
            <v>42.08000</v>
          </cell>
          <cell r="G81">
            <v>40601</v>
          </cell>
          <cell r="H81" t="str">
            <v/>
          </cell>
          <cell r="I81">
            <v>1</v>
          </cell>
          <cell r="J81" t="str">
            <v/>
          </cell>
          <cell r="K81">
            <v>1</v>
          </cell>
          <cell r="L81" t="str">
            <v/>
          </cell>
          <cell r="M81">
            <v>1</v>
          </cell>
        </row>
        <row r="82">
          <cell r="A82" t="str">
            <v>72142$CONTUSA</v>
          </cell>
          <cell r="B82" t="str">
            <v>72142</v>
          </cell>
          <cell r="C82" t="str">
            <v>7214200</v>
          </cell>
          <cell r="D82" t="str">
            <v>$CONTUSA</v>
          </cell>
          <cell r="E82" t="str">
            <v>LEV1</v>
          </cell>
          <cell r="F82" t="str">
            <v>30.88000</v>
          </cell>
          <cell r="G82">
            <v>40601</v>
          </cell>
          <cell r="H82" t="str">
            <v/>
          </cell>
          <cell r="I82">
            <v>1</v>
          </cell>
          <cell r="J82" t="str">
            <v/>
          </cell>
          <cell r="K82">
            <v>1</v>
          </cell>
          <cell r="L82" t="str">
            <v/>
          </cell>
          <cell r="M82">
            <v>1</v>
          </cell>
        </row>
        <row r="83">
          <cell r="A83" t="str">
            <v>72233$CONTUSA</v>
          </cell>
          <cell r="B83" t="str">
            <v>72233</v>
          </cell>
          <cell r="C83" t="str">
            <v>7223301</v>
          </cell>
          <cell r="D83" t="str">
            <v>$CONTUSA</v>
          </cell>
          <cell r="E83" t="str">
            <v>LEV1</v>
          </cell>
          <cell r="F83" t="str">
            <v>19.32000</v>
          </cell>
          <cell r="G83">
            <v>40601</v>
          </cell>
          <cell r="H83" t="str">
            <v/>
          </cell>
          <cell r="I83">
            <v>1</v>
          </cell>
          <cell r="J83" t="str">
            <v/>
          </cell>
          <cell r="K83">
            <v>1</v>
          </cell>
          <cell r="L83" t="str">
            <v/>
          </cell>
          <cell r="M83">
            <v>1</v>
          </cell>
        </row>
        <row r="84">
          <cell r="A84" t="str">
            <v>72234$CONTUSA</v>
          </cell>
          <cell r="B84" t="str">
            <v>72234</v>
          </cell>
          <cell r="C84" t="str">
            <v>7223400</v>
          </cell>
          <cell r="D84" t="str">
            <v>$CONTUSA</v>
          </cell>
          <cell r="E84" t="str">
            <v>LEV1</v>
          </cell>
          <cell r="F84" t="str">
            <v>20.64000</v>
          </cell>
          <cell r="G84">
            <v>40601</v>
          </cell>
          <cell r="H84" t="str">
            <v/>
          </cell>
          <cell r="I84">
            <v>1</v>
          </cell>
          <cell r="J84" t="str">
            <v/>
          </cell>
          <cell r="K84">
            <v>1</v>
          </cell>
          <cell r="L84" t="str">
            <v/>
          </cell>
          <cell r="M84">
            <v>1</v>
          </cell>
        </row>
        <row r="85">
          <cell r="A85" t="str">
            <v>72360$CONTUSA</v>
          </cell>
          <cell r="B85" t="str">
            <v>72360</v>
          </cell>
          <cell r="C85" t="str">
            <v>7236000</v>
          </cell>
          <cell r="D85" t="str">
            <v>$CONTUSA</v>
          </cell>
          <cell r="E85" t="str">
            <v>LEV1</v>
          </cell>
          <cell r="F85" t="str">
            <v>32.64000</v>
          </cell>
          <cell r="G85">
            <v>40601</v>
          </cell>
          <cell r="H85" t="str">
            <v/>
          </cell>
          <cell r="I85">
            <v>1</v>
          </cell>
          <cell r="J85" t="str">
            <v/>
          </cell>
          <cell r="K85">
            <v>1</v>
          </cell>
          <cell r="L85" t="str">
            <v/>
          </cell>
          <cell r="M85">
            <v>1</v>
          </cell>
        </row>
        <row r="86">
          <cell r="A86" t="str">
            <v>72400$CONTUSA</v>
          </cell>
          <cell r="B86" t="str">
            <v>72400</v>
          </cell>
          <cell r="C86" t="str">
            <v>7240000</v>
          </cell>
          <cell r="D86" t="str">
            <v>$CONTUSA</v>
          </cell>
          <cell r="E86" t="str">
            <v>LEV1</v>
          </cell>
          <cell r="F86" t="str">
            <v>32.64000</v>
          </cell>
          <cell r="G86">
            <v>40601</v>
          </cell>
          <cell r="H86" t="str">
            <v/>
          </cell>
          <cell r="I86">
            <v>1</v>
          </cell>
          <cell r="J86" t="str">
            <v/>
          </cell>
          <cell r="K86">
            <v>1</v>
          </cell>
          <cell r="L86" t="str">
            <v/>
          </cell>
          <cell r="M86">
            <v>1</v>
          </cell>
        </row>
        <row r="87">
          <cell r="A87" t="str">
            <v>72401$CONTUSA</v>
          </cell>
          <cell r="B87" t="str">
            <v>72401</v>
          </cell>
          <cell r="C87" t="str">
            <v>7240101</v>
          </cell>
          <cell r="D87" t="str">
            <v>$CONTUSA</v>
          </cell>
          <cell r="E87" t="str">
            <v>LEV1</v>
          </cell>
          <cell r="F87" t="str">
            <v>20.40000</v>
          </cell>
          <cell r="G87">
            <v>40601</v>
          </cell>
          <cell r="H87" t="str">
            <v/>
          </cell>
          <cell r="I87">
            <v>1</v>
          </cell>
          <cell r="J87" t="str">
            <v/>
          </cell>
          <cell r="K87">
            <v>1</v>
          </cell>
          <cell r="L87" t="str">
            <v/>
          </cell>
          <cell r="M87">
            <v>1</v>
          </cell>
        </row>
        <row r="88">
          <cell r="A88" t="str">
            <v>72428$CANADA$</v>
          </cell>
          <cell r="B88" t="str">
            <v>72428</v>
          </cell>
          <cell r="C88" t="str">
            <v>7242803</v>
          </cell>
          <cell r="D88" t="str">
            <v>$CANADA$</v>
          </cell>
          <cell r="E88" t="str">
            <v>LEV1</v>
          </cell>
          <cell r="F88" t="str">
            <v>76.16000</v>
          </cell>
          <cell r="G88">
            <v>40601</v>
          </cell>
          <cell r="H88" t="str">
            <v/>
          </cell>
          <cell r="I88">
            <v>1</v>
          </cell>
          <cell r="J88" t="str">
            <v/>
          </cell>
          <cell r="K88">
            <v>1</v>
          </cell>
          <cell r="L88" t="str">
            <v/>
          </cell>
          <cell r="M88">
            <v>1</v>
          </cell>
        </row>
        <row r="89">
          <cell r="A89" t="str">
            <v>72428$CONTUSA</v>
          </cell>
          <cell r="B89" t="str">
            <v>72428</v>
          </cell>
          <cell r="C89" t="str">
            <v>7242803</v>
          </cell>
          <cell r="D89" t="str">
            <v>$CONTUSA</v>
          </cell>
          <cell r="E89" t="str">
            <v>LEV1</v>
          </cell>
          <cell r="F89" t="str">
            <v>57.12000</v>
          </cell>
          <cell r="G89">
            <v>40601</v>
          </cell>
          <cell r="H89" t="str">
            <v/>
          </cell>
          <cell r="I89">
            <v>1</v>
          </cell>
          <cell r="J89" t="str">
            <v/>
          </cell>
          <cell r="K89">
            <v>1</v>
          </cell>
          <cell r="L89" t="str">
            <v/>
          </cell>
          <cell r="M89">
            <v>1</v>
          </cell>
        </row>
        <row r="90">
          <cell r="A90" t="str">
            <v>72430$CONTUSA</v>
          </cell>
          <cell r="B90" t="str">
            <v>72430</v>
          </cell>
          <cell r="C90" t="str">
            <v>7243003</v>
          </cell>
          <cell r="D90" t="str">
            <v>$CONTUSA</v>
          </cell>
          <cell r="E90" t="str">
            <v>LEV1</v>
          </cell>
          <cell r="F90" t="str">
            <v>32.64000</v>
          </cell>
          <cell r="G90">
            <v>40601</v>
          </cell>
          <cell r="H90" t="str">
            <v/>
          </cell>
          <cell r="I90">
            <v>1</v>
          </cell>
          <cell r="J90" t="str">
            <v/>
          </cell>
          <cell r="K90">
            <v>1</v>
          </cell>
          <cell r="L90" t="str">
            <v/>
          </cell>
          <cell r="M90">
            <v>1</v>
          </cell>
        </row>
        <row r="91">
          <cell r="A91" t="str">
            <v>72442$CANADA$</v>
          </cell>
          <cell r="B91" t="str">
            <v>72442</v>
          </cell>
          <cell r="C91" t="str">
            <v>7244200</v>
          </cell>
          <cell r="D91" t="str">
            <v>$CANADA$</v>
          </cell>
          <cell r="E91" t="str">
            <v>LEV1</v>
          </cell>
          <cell r="F91" t="str">
            <v>43.52000</v>
          </cell>
          <cell r="G91">
            <v>39439</v>
          </cell>
          <cell r="H91" t="str">
            <v/>
          </cell>
          <cell r="I91">
            <v>1</v>
          </cell>
          <cell r="J91" t="str">
            <v/>
          </cell>
          <cell r="K91">
            <v>1</v>
          </cell>
          <cell r="L91" t="str">
            <v/>
          </cell>
          <cell r="M91">
            <v>1</v>
          </cell>
        </row>
        <row r="92">
          <cell r="A92" t="str">
            <v>72442$CONTUSA</v>
          </cell>
          <cell r="B92" t="str">
            <v>72442</v>
          </cell>
          <cell r="C92" t="str">
            <v>7244200</v>
          </cell>
          <cell r="D92" t="str">
            <v>$CONTUSA</v>
          </cell>
          <cell r="E92" t="str">
            <v>LEV1</v>
          </cell>
          <cell r="F92" t="str">
            <v>32.64000</v>
          </cell>
          <cell r="G92">
            <v>40601</v>
          </cell>
          <cell r="H92" t="str">
            <v/>
          </cell>
          <cell r="I92">
            <v>1</v>
          </cell>
          <cell r="J92" t="str">
            <v/>
          </cell>
          <cell r="K92">
            <v>1</v>
          </cell>
          <cell r="L92" t="str">
            <v/>
          </cell>
          <cell r="M92">
            <v>1</v>
          </cell>
        </row>
        <row r="93">
          <cell r="A93" t="str">
            <v>72444$CANADA$</v>
          </cell>
          <cell r="B93" t="str">
            <v>72444</v>
          </cell>
          <cell r="C93" t="str">
            <v>7244400</v>
          </cell>
          <cell r="D93" t="str">
            <v>$CANADA$</v>
          </cell>
          <cell r="E93" t="str">
            <v>LEV1</v>
          </cell>
          <cell r="F93" t="str">
            <v>36.96000</v>
          </cell>
          <cell r="G93">
            <v>39726</v>
          </cell>
          <cell r="H93" t="str">
            <v/>
          </cell>
          <cell r="I93">
            <v>1</v>
          </cell>
          <cell r="J93" t="str">
            <v/>
          </cell>
          <cell r="K93">
            <v>1</v>
          </cell>
          <cell r="L93" t="str">
            <v/>
          </cell>
          <cell r="M93">
            <v>1</v>
          </cell>
        </row>
        <row r="94">
          <cell r="A94" t="str">
            <v>72444$CONTUSA</v>
          </cell>
          <cell r="B94" t="str">
            <v>72444</v>
          </cell>
          <cell r="C94" t="str">
            <v>7244400</v>
          </cell>
          <cell r="D94" t="str">
            <v>$CONTUSA</v>
          </cell>
          <cell r="E94" t="str">
            <v>LEV1</v>
          </cell>
          <cell r="F94" t="str">
            <v>26.56000</v>
          </cell>
          <cell r="G94">
            <v>40601</v>
          </cell>
          <cell r="H94" t="str">
            <v/>
          </cell>
          <cell r="I94">
            <v>1</v>
          </cell>
          <cell r="J94" t="str">
            <v/>
          </cell>
          <cell r="K94">
            <v>1</v>
          </cell>
          <cell r="L94" t="str">
            <v/>
          </cell>
          <cell r="M94">
            <v>1</v>
          </cell>
        </row>
        <row r="95">
          <cell r="A95" t="str">
            <v>72450$CANADA$</v>
          </cell>
          <cell r="B95" t="str">
            <v>72450</v>
          </cell>
          <cell r="C95" t="str">
            <v>7245001</v>
          </cell>
          <cell r="D95" t="str">
            <v>$CANADA$</v>
          </cell>
          <cell r="E95" t="str">
            <v>LEV1</v>
          </cell>
          <cell r="F95" t="str">
            <v>146.20000</v>
          </cell>
          <cell r="G95">
            <v>40601</v>
          </cell>
          <cell r="H95" t="str">
            <v/>
          </cell>
          <cell r="I95">
            <v>1</v>
          </cell>
          <cell r="J95" t="str">
            <v/>
          </cell>
          <cell r="K95">
            <v>1</v>
          </cell>
          <cell r="L95" t="str">
            <v/>
          </cell>
          <cell r="M95">
            <v>1</v>
          </cell>
        </row>
        <row r="96">
          <cell r="A96" t="str">
            <v>72450$CONTUSA</v>
          </cell>
          <cell r="B96" t="str">
            <v>72450</v>
          </cell>
          <cell r="C96" t="str">
            <v>7245001</v>
          </cell>
          <cell r="D96" t="str">
            <v>$CONTUSA</v>
          </cell>
          <cell r="E96" t="str">
            <v>LEV1</v>
          </cell>
          <cell r="F96" t="str">
            <v>105.20000</v>
          </cell>
          <cell r="G96">
            <v>40601</v>
          </cell>
          <cell r="H96" t="str">
            <v/>
          </cell>
          <cell r="I96">
            <v>1</v>
          </cell>
          <cell r="J96" t="str">
            <v/>
          </cell>
          <cell r="K96">
            <v>1</v>
          </cell>
          <cell r="L96" t="str">
            <v/>
          </cell>
          <cell r="M96">
            <v>1</v>
          </cell>
        </row>
        <row r="97">
          <cell r="A97" t="str">
            <v>72472$CANADA$</v>
          </cell>
          <cell r="B97" t="str">
            <v>72472</v>
          </cell>
          <cell r="C97" t="str">
            <v>7247201</v>
          </cell>
          <cell r="D97" t="str">
            <v>$CANADA$</v>
          </cell>
          <cell r="E97" t="str">
            <v>LEV1</v>
          </cell>
          <cell r="F97" t="str">
            <v>35.52000</v>
          </cell>
          <cell r="G97">
            <v>41084</v>
          </cell>
          <cell r="H97" t="str">
            <v/>
          </cell>
          <cell r="I97">
            <v>1</v>
          </cell>
          <cell r="J97" t="str">
            <v/>
          </cell>
          <cell r="K97">
            <v>1</v>
          </cell>
          <cell r="L97" t="str">
            <v/>
          </cell>
          <cell r="M97">
            <v>1</v>
          </cell>
        </row>
        <row r="98">
          <cell r="A98" t="str">
            <v>72472$CONTUSA</v>
          </cell>
          <cell r="B98" t="str">
            <v>72472</v>
          </cell>
          <cell r="C98" t="str">
            <v>7247201</v>
          </cell>
          <cell r="D98" t="str">
            <v>$CONTUSA</v>
          </cell>
          <cell r="E98" t="str">
            <v>LEV1</v>
          </cell>
          <cell r="F98" t="str">
            <v>25.84000</v>
          </cell>
          <cell r="G98">
            <v>40601</v>
          </cell>
          <cell r="H98" t="str">
            <v/>
          </cell>
          <cell r="I98">
            <v>1</v>
          </cell>
          <cell r="J98" t="str">
            <v/>
          </cell>
          <cell r="K98">
            <v>1</v>
          </cell>
          <cell r="L98" t="str">
            <v/>
          </cell>
          <cell r="M98">
            <v>1</v>
          </cell>
        </row>
        <row r="99">
          <cell r="A99" t="str">
            <v>72484$CANADA$</v>
          </cell>
          <cell r="B99" t="str">
            <v>72484</v>
          </cell>
          <cell r="C99" t="str">
            <v>7248402</v>
          </cell>
          <cell r="D99" t="str">
            <v>$CANADA$</v>
          </cell>
          <cell r="E99" t="str">
            <v>LEV1</v>
          </cell>
          <cell r="F99" t="str">
            <v>35.52000</v>
          </cell>
          <cell r="G99">
            <v>40601</v>
          </cell>
          <cell r="H99" t="str">
            <v/>
          </cell>
          <cell r="I99">
            <v>1</v>
          </cell>
          <cell r="J99" t="str">
            <v/>
          </cell>
          <cell r="K99">
            <v>1</v>
          </cell>
          <cell r="L99" t="str">
            <v/>
          </cell>
          <cell r="M99">
            <v>1</v>
          </cell>
        </row>
        <row r="100">
          <cell r="A100" t="str">
            <v>72484$CONTUSA</v>
          </cell>
          <cell r="B100" t="str">
            <v>72484</v>
          </cell>
          <cell r="C100" t="str">
            <v>7248402</v>
          </cell>
          <cell r="D100" t="str">
            <v>$CONTUSA</v>
          </cell>
          <cell r="E100" t="str">
            <v>LEV1</v>
          </cell>
          <cell r="F100" t="str">
            <v>25.84000</v>
          </cell>
          <cell r="G100">
            <v>40601</v>
          </cell>
          <cell r="H100" t="str">
            <v/>
          </cell>
          <cell r="I100">
            <v>1</v>
          </cell>
          <cell r="J100" t="str">
            <v/>
          </cell>
          <cell r="K100">
            <v>1</v>
          </cell>
          <cell r="L100" t="str">
            <v/>
          </cell>
          <cell r="M100">
            <v>1</v>
          </cell>
        </row>
        <row r="101">
          <cell r="A101" t="str">
            <v>72944$CONTUSA</v>
          </cell>
          <cell r="B101" t="str">
            <v>72944</v>
          </cell>
          <cell r="C101" t="str">
            <v>7294400</v>
          </cell>
          <cell r="D101" t="str">
            <v>$CONTUSA</v>
          </cell>
          <cell r="E101" t="str">
            <v>LEV1</v>
          </cell>
          <cell r="F101" t="str">
            <v>24.64000</v>
          </cell>
          <cell r="G101">
            <v>38774</v>
          </cell>
          <cell r="H101" t="str">
            <v/>
          </cell>
          <cell r="I101">
            <v>1</v>
          </cell>
          <cell r="J101" t="str">
            <v/>
          </cell>
          <cell r="K101">
            <v>1</v>
          </cell>
          <cell r="L101" t="str">
            <v/>
          </cell>
          <cell r="M101">
            <v>1</v>
          </cell>
        </row>
        <row r="102">
          <cell r="A102" t="str">
            <v>74042$CONTUSA</v>
          </cell>
          <cell r="B102" t="str">
            <v>74042</v>
          </cell>
          <cell r="C102" t="str">
            <v>7404200</v>
          </cell>
          <cell r="D102" t="str">
            <v>$CONTUSA</v>
          </cell>
          <cell r="E102" t="str">
            <v>LEV1</v>
          </cell>
          <cell r="F102" t="str">
            <v>23.52000</v>
          </cell>
          <cell r="G102">
            <v>40601</v>
          </cell>
          <cell r="H102" t="str">
            <v/>
          </cell>
          <cell r="I102">
            <v>1</v>
          </cell>
          <cell r="J102" t="str">
            <v/>
          </cell>
          <cell r="K102">
            <v>1</v>
          </cell>
          <cell r="L102" t="str">
            <v/>
          </cell>
          <cell r="M102">
            <v>1</v>
          </cell>
        </row>
        <row r="103">
          <cell r="A103" t="str">
            <v>74050$CONTUSA</v>
          </cell>
          <cell r="B103" t="str">
            <v>74050</v>
          </cell>
          <cell r="C103" t="str">
            <v>7405000</v>
          </cell>
          <cell r="D103" t="str">
            <v>$CONTUSA</v>
          </cell>
          <cell r="E103" t="str">
            <v>LEV1</v>
          </cell>
          <cell r="F103" t="str">
            <v>22.08000</v>
          </cell>
          <cell r="G103">
            <v>40601</v>
          </cell>
          <cell r="H103" t="str">
            <v/>
          </cell>
          <cell r="I103">
            <v>1</v>
          </cell>
          <cell r="J103" t="str">
            <v/>
          </cell>
          <cell r="K103">
            <v>1</v>
          </cell>
          <cell r="L103" t="str">
            <v/>
          </cell>
          <cell r="M103">
            <v>1</v>
          </cell>
        </row>
        <row r="104">
          <cell r="A104" t="str">
            <v>74055$CANADA$</v>
          </cell>
          <cell r="B104" t="str">
            <v>74055</v>
          </cell>
          <cell r="C104" t="str">
            <v>7405500</v>
          </cell>
          <cell r="D104" t="str">
            <v>$CANADA$</v>
          </cell>
          <cell r="E104" t="str">
            <v>LEV1</v>
          </cell>
          <cell r="F104" t="str">
            <v>43.52000</v>
          </cell>
          <cell r="G104">
            <v>40601</v>
          </cell>
          <cell r="H104" t="str">
            <v/>
          </cell>
          <cell r="I104">
            <v>1</v>
          </cell>
          <cell r="J104" t="str">
            <v/>
          </cell>
          <cell r="K104">
            <v>1</v>
          </cell>
          <cell r="L104" t="str">
            <v/>
          </cell>
          <cell r="M104">
            <v>1</v>
          </cell>
        </row>
        <row r="105">
          <cell r="A105" t="str">
            <v>74056$CANADA$</v>
          </cell>
          <cell r="B105" t="str">
            <v>74056</v>
          </cell>
          <cell r="C105" t="str">
            <v>7405601</v>
          </cell>
          <cell r="D105" t="str">
            <v>$CANADA$</v>
          </cell>
          <cell r="E105" t="str">
            <v>LEV1</v>
          </cell>
          <cell r="F105" t="str">
            <v>35.52000</v>
          </cell>
          <cell r="G105">
            <v>40601</v>
          </cell>
          <cell r="H105" t="str">
            <v/>
          </cell>
          <cell r="I105">
            <v>1</v>
          </cell>
          <cell r="J105" t="str">
            <v/>
          </cell>
          <cell r="K105">
            <v>1</v>
          </cell>
          <cell r="L105" t="str">
            <v/>
          </cell>
          <cell r="M105">
            <v>1</v>
          </cell>
        </row>
        <row r="106">
          <cell r="A106" t="str">
            <v>74102$CONTUSA</v>
          </cell>
          <cell r="B106" t="str">
            <v>74102</v>
          </cell>
          <cell r="C106" t="str">
            <v>7410200</v>
          </cell>
          <cell r="D106" t="str">
            <v>$CONTUSA</v>
          </cell>
          <cell r="E106" t="str">
            <v>LEV1</v>
          </cell>
          <cell r="F106" t="str">
            <v>21.36000</v>
          </cell>
          <cell r="G106">
            <v>40601</v>
          </cell>
          <cell r="H106" t="str">
            <v/>
          </cell>
          <cell r="I106">
            <v>1</v>
          </cell>
          <cell r="J106" t="str">
            <v/>
          </cell>
          <cell r="K106">
            <v>1</v>
          </cell>
          <cell r="L106" t="str">
            <v/>
          </cell>
          <cell r="M106">
            <v>1</v>
          </cell>
        </row>
        <row r="107">
          <cell r="A107" t="str">
            <v>74143$CONTUSA</v>
          </cell>
          <cell r="B107" t="str">
            <v>74143</v>
          </cell>
          <cell r="C107" t="str">
            <v>7414300</v>
          </cell>
          <cell r="D107" t="str">
            <v>$CONTUSA</v>
          </cell>
          <cell r="E107" t="str">
            <v>LEV1</v>
          </cell>
          <cell r="F107" t="str">
            <v>11.76000</v>
          </cell>
          <cell r="G107">
            <v>40601</v>
          </cell>
          <cell r="H107" t="str">
            <v/>
          </cell>
          <cell r="I107">
            <v>1</v>
          </cell>
          <cell r="J107" t="str">
            <v/>
          </cell>
          <cell r="K107">
            <v>1</v>
          </cell>
          <cell r="L107" t="str">
            <v/>
          </cell>
          <cell r="M107">
            <v>1</v>
          </cell>
        </row>
        <row r="108">
          <cell r="A108" t="str">
            <v>74153$CONTUSA</v>
          </cell>
          <cell r="B108" t="str">
            <v>74153</v>
          </cell>
          <cell r="C108" t="str">
            <v>7415300</v>
          </cell>
          <cell r="D108" t="str">
            <v>$CONTUSA</v>
          </cell>
          <cell r="E108" t="str">
            <v>LEV1</v>
          </cell>
          <cell r="F108" t="str">
            <v>11.04000</v>
          </cell>
          <cell r="G108">
            <v>40601</v>
          </cell>
          <cell r="H108" t="str">
            <v/>
          </cell>
          <cell r="I108">
            <v>1</v>
          </cell>
          <cell r="J108" t="str">
            <v/>
          </cell>
          <cell r="K108">
            <v>1</v>
          </cell>
          <cell r="L108" t="str">
            <v/>
          </cell>
          <cell r="M108">
            <v>1</v>
          </cell>
        </row>
        <row r="109">
          <cell r="A109" t="str">
            <v>76442$CONTUSA</v>
          </cell>
          <cell r="B109" t="str">
            <v>76442</v>
          </cell>
          <cell r="C109" t="str">
            <v>7644200</v>
          </cell>
          <cell r="D109" t="str">
            <v>$CONTUSA</v>
          </cell>
          <cell r="E109" t="str">
            <v>LEV1</v>
          </cell>
          <cell r="F109" t="str">
            <v>32.64000</v>
          </cell>
          <cell r="G109">
            <v>40601</v>
          </cell>
          <cell r="H109" t="str">
            <v/>
          </cell>
          <cell r="I109">
            <v>1</v>
          </cell>
          <cell r="J109" t="str">
            <v/>
          </cell>
          <cell r="K109">
            <v>1</v>
          </cell>
          <cell r="L109" t="str">
            <v/>
          </cell>
          <cell r="M109">
            <v>1</v>
          </cell>
        </row>
        <row r="110">
          <cell r="A110" t="str">
            <v>76484$CONTUSA</v>
          </cell>
          <cell r="B110" t="str">
            <v>76484</v>
          </cell>
          <cell r="C110" t="str">
            <v>7648400</v>
          </cell>
          <cell r="D110" t="str">
            <v>$CONTUSA</v>
          </cell>
          <cell r="E110" t="str">
            <v>LEV1</v>
          </cell>
          <cell r="F110" t="str">
            <v>25.84000</v>
          </cell>
          <cell r="G110">
            <v>40601</v>
          </cell>
          <cell r="H110" t="str">
            <v/>
          </cell>
          <cell r="I110">
            <v>1</v>
          </cell>
          <cell r="J110" t="str">
            <v/>
          </cell>
          <cell r="K110">
            <v>1</v>
          </cell>
          <cell r="L110" t="str">
            <v/>
          </cell>
          <cell r="M110">
            <v>1</v>
          </cell>
        </row>
        <row r="111">
          <cell r="A111" t="str">
            <v>38791$CANADA$</v>
          </cell>
          <cell r="B111" t="str">
            <v>38791</v>
          </cell>
          <cell r="C111">
            <v>3879100</v>
          </cell>
          <cell r="D111" t="str">
            <v>$CANADA$</v>
          </cell>
          <cell r="E111" t="str">
            <v>LEV1</v>
          </cell>
          <cell r="F111">
            <v>148.44</v>
          </cell>
          <cell r="G111" t="str">
            <v>02/24/2013</v>
          </cell>
          <cell r="H111">
            <v>0</v>
          </cell>
          <cell r="I111">
            <v>1</v>
          </cell>
          <cell r="J111">
            <v>0</v>
          </cell>
          <cell r="K111">
            <v>1</v>
          </cell>
          <cell r="M111">
            <v>1</v>
          </cell>
        </row>
        <row r="112">
          <cell r="A112" t="str">
            <v>38791$CONTUSA</v>
          </cell>
          <cell r="B112" t="str">
            <v>38791</v>
          </cell>
          <cell r="C112">
            <v>3879100</v>
          </cell>
          <cell r="D112" t="str">
            <v>$CONTUSA</v>
          </cell>
          <cell r="E112" t="str">
            <v>LEV1</v>
          </cell>
          <cell r="F112">
            <v>108.72</v>
          </cell>
          <cell r="G112" t="str">
            <v>02/24/2013</v>
          </cell>
          <cell r="H112">
            <v>0</v>
          </cell>
          <cell r="I112">
            <v>1</v>
          </cell>
          <cell r="J112">
            <v>0</v>
          </cell>
          <cell r="K112">
            <v>1</v>
          </cell>
          <cell r="M112">
            <v>1</v>
          </cell>
        </row>
        <row r="113">
          <cell r="A113" t="str">
            <v>38924$CONTUSA</v>
          </cell>
          <cell r="B113" t="str">
            <v>38924</v>
          </cell>
          <cell r="C113">
            <v>3892400</v>
          </cell>
          <cell r="D113" t="str">
            <v>$CONTUSA</v>
          </cell>
          <cell r="E113" t="str">
            <v>LEV1</v>
          </cell>
          <cell r="F113">
            <v>57.12</v>
          </cell>
          <cell r="G113" t="str">
            <v>02/24/2013</v>
          </cell>
          <cell r="I113">
            <v>1</v>
          </cell>
          <cell r="K113">
            <v>1</v>
          </cell>
          <cell r="M113">
            <v>1</v>
          </cell>
        </row>
        <row r="114">
          <cell r="A114" t="str">
            <v>39099$CANADA$</v>
          </cell>
          <cell r="B114" t="str">
            <v>39099</v>
          </cell>
          <cell r="C114">
            <v>3909900</v>
          </cell>
          <cell r="D114" t="str">
            <v>$CANADA$</v>
          </cell>
          <cell r="E114" t="str">
            <v>LEV1</v>
          </cell>
          <cell r="F114">
            <v>20.399999999999999</v>
          </cell>
          <cell r="G114" t="str">
            <v>12/23/2012</v>
          </cell>
          <cell r="H114">
            <v>0</v>
          </cell>
          <cell r="I114">
            <v>1</v>
          </cell>
          <cell r="J114">
            <v>0</v>
          </cell>
          <cell r="K114">
            <v>1</v>
          </cell>
          <cell r="M114">
            <v>1</v>
          </cell>
        </row>
        <row r="115">
          <cell r="A115" t="str">
            <v>39544$CANADA$</v>
          </cell>
          <cell r="B115" t="str">
            <v>39544</v>
          </cell>
          <cell r="C115">
            <v>3954400</v>
          </cell>
          <cell r="D115" t="str">
            <v>$CANADA$</v>
          </cell>
          <cell r="E115" t="str">
            <v>LEV1</v>
          </cell>
          <cell r="F115">
            <v>1456.92</v>
          </cell>
          <cell r="G115" t="str">
            <v>02/24/2013</v>
          </cell>
          <cell r="H115">
            <v>0</v>
          </cell>
          <cell r="I115">
            <v>1</v>
          </cell>
          <cell r="J115">
            <v>0</v>
          </cell>
          <cell r="K115">
            <v>1</v>
          </cell>
          <cell r="M115">
            <v>1</v>
          </cell>
        </row>
        <row r="116">
          <cell r="A116" t="str">
            <v>40129$CONTUSA</v>
          </cell>
          <cell r="B116" t="str">
            <v>40129</v>
          </cell>
          <cell r="C116">
            <v>4012900</v>
          </cell>
          <cell r="D116" t="str">
            <v>$CONTUSA</v>
          </cell>
          <cell r="E116" t="str">
            <v>LEV1</v>
          </cell>
          <cell r="F116">
            <v>10.94</v>
          </cell>
          <cell r="G116" t="str">
            <v>05/12/2013</v>
          </cell>
          <cell r="I116">
            <v>1</v>
          </cell>
          <cell r="K116">
            <v>1</v>
          </cell>
          <cell r="M116">
            <v>1</v>
          </cell>
        </row>
        <row r="117">
          <cell r="A117" t="str">
            <v>40195$CONTUSA</v>
          </cell>
          <cell r="B117" t="str">
            <v>40195</v>
          </cell>
          <cell r="C117">
            <v>4019500</v>
          </cell>
          <cell r="D117" t="str">
            <v>$CONTUSA</v>
          </cell>
          <cell r="E117" t="str">
            <v>LEV1</v>
          </cell>
          <cell r="F117">
            <v>12.16</v>
          </cell>
          <cell r="G117" t="str">
            <v>04/28/2013</v>
          </cell>
          <cell r="I117">
            <v>1</v>
          </cell>
          <cell r="K117">
            <v>1</v>
          </cell>
          <cell r="M117">
            <v>1</v>
          </cell>
        </row>
        <row r="118">
          <cell r="A118" t="str">
            <v>39913$CANADA$</v>
          </cell>
          <cell r="B118" t="str">
            <v>39913</v>
          </cell>
          <cell r="C118">
            <v>3991300</v>
          </cell>
          <cell r="D118" t="str">
            <v>$CANADA$</v>
          </cell>
          <cell r="E118" t="str">
            <v>LEV1</v>
          </cell>
          <cell r="F118">
            <v>35.520000000000003</v>
          </cell>
          <cell r="G118" t="str">
            <v>11/10/2013</v>
          </cell>
          <cell r="I118">
            <v>1</v>
          </cell>
          <cell r="K118">
            <v>1</v>
          </cell>
          <cell r="M118">
            <v>1</v>
          </cell>
        </row>
        <row r="119">
          <cell r="A119" t="str">
            <v>39915$CANADA$</v>
          </cell>
          <cell r="B119" t="str">
            <v>39915</v>
          </cell>
          <cell r="C119">
            <v>3991500</v>
          </cell>
          <cell r="D119" t="str">
            <v>$CANADA$</v>
          </cell>
          <cell r="E119" t="str">
            <v>LEV1</v>
          </cell>
          <cell r="F119">
            <v>11.05</v>
          </cell>
          <cell r="G119" t="str">
            <v>11/10/2013</v>
          </cell>
          <cell r="I119">
            <v>1</v>
          </cell>
          <cell r="K119">
            <v>1</v>
          </cell>
          <cell r="M119">
            <v>1</v>
          </cell>
        </row>
        <row r="120">
          <cell r="A120" t="str">
            <v>39916$CANADA$</v>
          </cell>
          <cell r="B120" t="str">
            <v>39916</v>
          </cell>
          <cell r="C120">
            <v>3991600</v>
          </cell>
          <cell r="D120" t="str">
            <v>$CANADA$</v>
          </cell>
          <cell r="E120" t="str">
            <v>LEV1</v>
          </cell>
          <cell r="F120">
            <v>51.92</v>
          </cell>
          <cell r="G120" t="str">
            <v>11/10/2013</v>
          </cell>
          <cell r="I120">
            <v>1</v>
          </cell>
          <cell r="K120">
            <v>1</v>
          </cell>
          <cell r="M120">
            <v>1</v>
          </cell>
        </row>
        <row r="121">
          <cell r="A121" t="str">
            <v>39917$CANADA$</v>
          </cell>
          <cell r="B121" t="str">
            <v>39917</v>
          </cell>
          <cell r="C121">
            <v>3991700</v>
          </cell>
          <cell r="D121" t="str">
            <v>$CANADA$</v>
          </cell>
          <cell r="E121" t="str">
            <v>LEV1</v>
          </cell>
          <cell r="F121">
            <v>65.92</v>
          </cell>
          <cell r="G121" t="str">
            <v>11/10/2013</v>
          </cell>
          <cell r="I121">
            <v>1</v>
          </cell>
          <cell r="K121">
            <v>1</v>
          </cell>
          <cell r="M121">
            <v>1</v>
          </cell>
        </row>
        <row r="122">
          <cell r="A122" t="str">
            <v>39897$CONTUSA</v>
          </cell>
          <cell r="B122" t="str">
            <v>39897</v>
          </cell>
          <cell r="C122">
            <v>3989700</v>
          </cell>
          <cell r="D122" t="str">
            <v>$CONTUSA</v>
          </cell>
          <cell r="E122" t="str">
            <v>LEV1</v>
          </cell>
          <cell r="F122">
            <v>16.32</v>
          </cell>
          <cell r="G122" t="str">
            <v>11/10/2013</v>
          </cell>
          <cell r="I122">
            <v>1</v>
          </cell>
          <cell r="K122">
            <v>1</v>
          </cell>
          <cell r="M122">
            <v>1</v>
          </cell>
        </row>
        <row r="123">
          <cell r="A123" t="str">
            <v>39799$CONTUSA</v>
          </cell>
          <cell r="B123" t="str">
            <v>39799</v>
          </cell>
          <cell r="C123">
            <v>3979900</v>
          </cell>
          <cell r="D123" t="str">
            <v>$CONTUSA</v>
          </cell>
          <cell r="E123" t="str">
            <v>LEV1</v>
          </cell>
          <cell r="F123">
            <v>666</v>
          </cell>
          <cell r="G123" t="str">
            <v>06/16/2013</v>
          </cell>
          <cell r="I123">
            <v>1</v>
          </cell>
          <cell r="K123">
            <v>1</v>
          </cell>
          <cell r="M123">
            <v>1</v>
          </cell>
        </row>
        <row r="124">
          <cell r="A124" t="str">
            <v>38788$CONTUSA</v>
          </cell>
          <cell r="B124" t="str">
            <v>38788</v>
          </cell>
          <cell r="C124">
            <v>3878800</v>
          </cell>
          <cell r="D124" t="str">
            <v>$CONTUSA</v>
          </cell>
          <cell r="E124" t="str">
            <v>LEV1</v>
          </cell>
          <cell r="F124">
            <v>1540.8</v>
          </cell>
          <cell r="G124" t="str">
            <v>05/10/2013</v>
          </cell>
          <cell r="I124">
            <v>1</v>
          </cell>
          <cell r="K124">
            <v>1</v>
          </cell>
          <cell r="M124">
            <v>1</v>
          </cell>
        </row>
        <row r="125">
          <cell r="A125" t="str">
            <v>38795$CONTUSA</v>
          </cell>
          <cell r="B125" t="str">
            <v>38795</v>
          </cell>
          <cell r="C125">
            <v>3879500</v>
          </cell>
          <cell r="D125" t="str">
            <v>$CONTUSA</v>
          </cell>
          <cell r="E125" t="str">
            <v>LEV1</v>
          </cell>
          <cell r="F125">
            <v>2496.6</v>
          </cell>
          <cell r="G125" t="str">
            <v>02/24/2013</v>
          </cell>
          <cell r="I125">
            <v>1</v>
          </cell>
          <cell r="K125">
            <v>1</v>
          </cell>
          <cell r="M125">
            <v>1</v>
          </cell>
        </row>
        <row r="126">
          <cell r="A126" t="str">
            <v>38856$CONTUSA</v>
          </cell>
          <cell r="B126" t="str">
            <v>38856</v>
          </cell>
          <cell r="C126">
            <v>3885600</v>
          </cell>
          <cell r="D126" t="str">
            <v>$CONTUSA</v>
          </cell>
          <cell r="E126" t="str">
            <v>LEV1</v>
          </cell>
          <cell r="F126">
            <v>8.6</v>
          </cell>
          <cell r="G126" t="str">
            <v>02/24/2013</v>
          </cell>
          <cell r="I126">
            <v>1</v>
          </cell>
          <cell r="K126">
            <v>1</v>
          </cell>
          <cell r="M126">
            <v>1</v>
          </cell>
        </row>
        <row r="127">
          <cell r="A127" t="str">
            <v>38900$CONTUSA</v>
          </cell>
          <cell r="B127" t="str">
            <v>38900</v>
          </cell>
          <cell r="C127">
            <v>3890000</v>
          </cell>
          <cell r="D127" t="str">
            <v>$CONTUSA</v>
          </cell>
          <cell r="E127" t="str">
            <v>LEV1</v>
          </cell>
          <cell r="F127">
            <v>46.2</v>
          </cell>
          <cell r="G127" t="str">
            <v>02/24/2013</v>
          </cell>
          <cell r="I127">
            <v>1</v>
          </cell>
          <cell r="K127">
            <v>1</v>
          </cell>
          <cell r="M127">
            <v>1</v>
          </cell>
        </row>
        <row r="128">
          <cell r="A128" t="str">
            <v>39361$CONTUSA</v>
          </cell>
          <cell r="B128" t="str">
            <v>39361</v>
          </cell>
          <cell r="C128">
            <v>3936100</v>
          </cell>
          <cell r="D128" t="str">
            <v>$CONTUSA</v>
          </cell>
          <cell r="E128" t="str">
            <v>LEV1</v>
          </cell>
          <cell r="F128">
            <v>14.88</v>
          </cell>
          <cell r="G128" t="str">
            <v>02/24/2013</v>
          </cell>
          <cell r="I128">
            <v>1</v>
          </cell>
          <cell r="K128">
            <v>1</v>
          </cell>
          <cell r="M128">
            <v>1</v>
          </cell>
        </row>
        <row r="129">
          <cell r="A129" t="str">
            <v>39542$CONTUSA</v>
          </cell>
          <cell r="B129" t="str">
            <v>39542</v>
          </cell>
          <cell r="C129">
            <v>3954200</v>
          </cell>
          <cell r="D129" t="str">
            <v>$CONTUSA</v>
          </cell>
          <cell r="E129" t="str">
            <v>LEV1</v>
          </cell>
          <cell r="F129">
            <v>666</v>
          </cell>
          <cell r="G129" t="str">
            <v>05/10/2013</v>
          </cell>
          <cell r="I129">
            <v>1</v>
          </cell>
          <cell r="K129">
            <v>1</v>
          </cell>
          <cell r="M129">
            <v>1</v>
          </cell>
        </row>
        <row r="130">
          <cell r="A130" t="str">
            <v>38787$CONTUSA</v>
          </cell>
          <cell r="B130" t="str">
            <v>38787</v>
          </cell>
          <cell r="C130">
            <v>3878700</v>
          </cell>
          <cell r="D130" t="str">
            <v>$CONTUSA</v>
          </cell>
          <cell r="E130" t="str">
            <v>LEV1</v>
          </cell>
          <cell r="F130">
            <v>1155.5999999999999</v>
          </cell>
          <cell r="G130" t="str">
            <v>05/10/2013</v>
          </cell>
          <cell r="I130">
            <v>1</v>
          </cell>
          <cell r="K130">
            <v>1</v>
          </cell>
          <cell r="M130">
            <v>1</v>
          </cell>
        </row>
        <row r="131">
          <cell r="A131" t="str">
            <v>37369$CONTUSA</v>
          </cell>
          <cell r="B131" t="str">
            <v>37369</v>
          </cell>
          <cell r="C131">
            <v>3736900</v>
          </cell>
          <cell r="D131" t="str">
            <v>$CONTUSA</v>
          </cell>
          <cell r="E131" t="str">
            <v>LEV1</v>
          </cell>
          <cell r="F131">
            <v>11.76</v>
          </cell>
          <cell r="G131" t="str">
            <v>02/24/2013</v>
          </cell>
          <cell r="I131">
            <v>1</v>
          </cell>
          <cell r="K131">
            <v>1</v>
          </cell>
          <cell r="M131">
            <v>1</v>
          </cell>
        </row>
        <row r="132">
          <cell r="A132" t="str">
            <v>37242$CANADA$</v>
          </cell>
          <cell r="B132" t="str">
            <v>37242</v>
          </cell>
          <cell r="C132">
            <v>3724200</v>
          </cell>
          <cell r="D132" t="str">
            <v>$CANADA$</v>
          </cell>
          <cell r="E132" t="str">
            <v>LEV1</v>
          </cell>
          <cell r="F132">
            <v>42.2</v>
          </cell>
          <cell r="G132" t="str">
            <v>01/06/2013</v>
          </cell>
          <cell r="I132">
            <v>1</v>
          </cell>
          <cell r="K132">
            <v>1</v>
          </cell>
          <cell r="M132">
            <v>1</v>
          </cell>
        </row>
        <row r="133">
          <cell r="A133" t="str">
            <v>36992$CONTUSA</v>
          </cell>
          <cell r="B133" t="str">
            <v>36992</v>
          </cell>
          <cell r="C133">
            <v>3699200</v>
          </cell>
          <cell r="D133" t="str">
            <v>$CONTUSA</v>
          </cell>
          <cell r="E133" t="str">
            <v>LEV1</v>
          </cell>
          <cell r="F133">
            <v>42.08</v>
          </cell>
          <cell r="G133" t="str">
            <v>08/26/2012</v>
          </cell>
          <cell r="I133">
            <v>1</v>
          </cell>
          <cell r="K133">
            <v>1</v>
          </cell>
          <cell r="M133">
            <v>1</v>
          </cell>
        </row>
        <row r="134">
          <cell r="A134" t="str">
            <v>72143$CONTUSA</v>
          </cell>
          <cell r="B134" t="str">
            <v>72143</v>
          </cell>
          <cell r="C134">
            <v>7214300</v>
          </cell>
          <cell r="D134" t="str">
            <v>$CONTUSA</v>
          </cell>
          <cell r="E134" t="str">
            <v>LEV1</v>
          </cell>
          <cell r="F134">
            <v>30.88</v>
          </cell>
          <cell r="G134" t="str">
            <v>02/27/2011</v>
          </cell>
          <cell r="I134">
            <v>1</v>
          </cell>
          <cell r="K134">
            <v>1</v>
          </cell>
          <cell r="M134">
            <v>1</v>
          </cell>
        </row>
        <row r="135">
          <cell r="A135" t="str">
            <v>39916$CONTUSA</v>
          </cell>
          <cell r="B135" t="str">
            <v>39916</v>
          </cell>
          <cell r="C135">
            <v>3991600</v>
          </cell>
          <cell r="D135" t="str">
            <v>$CONTUSA</v>
          </cell>
          <cell r="E135" t="str">
            <v>LEV1</v>
          </cell>
          <cell r="F135">
            <v>37.44</v>
          </cell>
          <cell r="G135" t="str">
            <v>11/10/2013</v>
          </cell>
          <cell r="I135">
            <v>1</v>
          </cell>
          <cell r="K135">
            <v>1</v>
          </cell>
          <cell r="M135">
            <v>1</v>
          </cell>
        </row>
        <row r="136">
          <cell r="A136" t="str">
            <v>39915$CONTUSA</v>
          </cell>
          <cell r="B136" t="str">
            <v>39915</v>
          </cell>
          <cell r="C136">
            <v>3991500</v>
          </cell>
          <cell r="D136" t="str">
            <v>$CONTUSA</v>
          </cell>
          <cell r="E136" t="str">
            <v>LEV1</v>
          </cell>
          <cell r="F136">
            <v>8.0500000000000007</v>
          </cell>
          <cell r="G136" t="str">
            <v>11/10/2013</v>
          </cell>
          <cell r="I136">
            <v>1</v>
          </cell>
          <cell r="K136">
            <v>1</v>
          </cell>
          <cell r="M136">
            <v>1</v>
          </cell>
        </row>
        <row r="137">
          <cell r="A137" t="str">
            <v>39913$CONTUSA</v>
          </cell>
          <cell r="B137" t="str">
            <v>39913</v>
          </cell>
          <cell r="C137">
            <v>3991300</v>
          </cell>
          <cell r="D137" t="str">
            <v>$CONTUSA</v>
          </cell>
          <cell r="E137" t="str">
            <v>LEV1</v>
          </cell>
          <cell r="F137">
            <v>24.32</v>
          </cell>
          <cell r="G137" t="str">
            <v>11/10/2013</v>
          </cell>
          <cell r="I137">
            <v>1</v>
          </cell>
          <cell r="K137">
            <v>1</v>
          </cell>
          <cell r="M137">
            <v>1</v>
          </cell>
        </row>
        <row r="138">
          <cell r="A138" t="str">
            <v>39917$CONTUSA</v>
          </cell>
          <cell r="B138" t="str">
            <v>39917</v>
          </cell>
          <cell r="C138">
            <v>3991700</v>
          </cell>
          <cell r="D138" t="str">
            <v>$CONTUSA</v>
          </cell>
          <cell r="E138" t="str">
            <v>LEV1</v>
          </cell>
          <cell r="F138">
            <v>48</v>
          </cell>
          <cell r="G138" t="str">
            <v>11/10/2013</v>
          </cell>
          <cell r="I138">
            <v>1</v>
          </cell>
          <cell r="K138">
            <v>1</v>
          </cell>
          <cell r="M138">
            <v>1</v>
          </cell>
        </row>
        <row r="139">
          <cell r="A139" t="str">
            <v>39361$CANADA$</v>
          </cell>
          <cell r="B139" t="str">
            <v>39361</v>
          </cell>
          <cell r="C139">
            <v>3936100</v>
          </cell>
          <cell r="D139" t="str">
            <v>$CANADA$</v>
          </cell>
          <cell r="E139" t="str">
            <v>LEV1</v>
          </cell>
          <cell r="F139">
            <v>20.399999999999999</v>
          </cell>
          <cell r="G139" t="str">
            <v>03/31/2013</v>
          </cell>
          <cell r="I139">
            <v>1</v>
          </cell>
          <cell r="K139">
            <v>1</v>
          </cell>
          <cell r="M139">
            <v>1</v>
          </cell>
        </row>
        <row r="140">
          <cell r="A140" t="str">
            <v>10358$CANADA$</v>
          </cell>
          <cell r="B140" t="str">
            <v>10358</v>
          </cell>
          <cell r="C140">
            <v>1035800</v>
          </cell>
          <cell r="D140" t="str">
            <v>$CANADA$</v>
          </cell>
          <cell r="E140" t="str">
            <v>LEV1</v>
          </cell>
          <cell r="F140">
            <v>65.92</v>
          </cell>
          <cell r="G140" t="str">
            <v>02/03/2013</v>
          </cell>
          <cell r="I140">
            <v>1</v>
          </cell>
          <cell r="K140">
            <v>1</v>
          </cell>
          <cell r="M140">
            <v>1</v>
          </cell>
        </row>
        <row r="141">
          <cell r="A141" t="str">
            <v>11964$CANADA$</v>
          </cell>
          <cell r="B141" t="str">
            <v>11964</v>
          </cell>
          <cell r="C141">
            <v>1196400</v>
          </cell>
          <cell r="D141" t="str">
            <v>$CANADA$</v>
          </cell>
          <cell r="E141" t="str">
            <v>LEV1</v>
          </cell>
          <cell r="F141">
            <v>32.64</v>
          </cell>
          <cell r="G141" t="str">
            <v>06/24/2012</v>
          </cell>
          <cell r="I141">
            <v>1</v>
          </cell>
          <cell r="K141">
            <v>1</v>
          </cell>
          <cell r="M141">
            <v>1</v>
          </cell>
        </row>
        <row r="142">
          <cell r="A142" t="str">
            <v>35975$CANADA$</v>
          </cell>
          <cell r="B142" t="str">
            <v>35975</v>
          </cell>
          <cell r="C142">
            <v>3597500</v>
          </cell>
          <cell r="D142" t="str">
            <v>$CANADA$</v>
          </cell>
          <cell r="E142" t="str">
            <v>LEV1</v>
          </cell>
          <cell r="F142">
            <v>164.8</v>
          </cell>
          <cell r="G142" t="str">
            <v>03/31/2013</v>
          </cell>
          <cell r="I142">
            <v>1</v>
          </cell>
          <cell r="K142">
            <v>1</v>
          </cell>
          <cell r="M142">
            <v>1</v>
          </cell>
        </row>
        <row r="143">
          <cell r="A143" t="str">
            <v>36749$CANADA$</v>
          </cell>
          <cell r="B143" t="str">
            <v>36749</v>
          </cell>
          <cell r="C143">
            <v>3674900</v>
          </cell>
          <cell r="D143" t="str">
            <v>$CANADA$</v>
          </cell>
          <cell r="E143" t="str">
            <v>LEV1</v>
          </cell>
          <cell r="F143">
            <v>1040.4000000000001</v>
          </cell>
          <cell r="G143" t="str">
            <v>03/17/2013</v>
          </cell>
          <cell r="I143">
            <v>1</v>
          </cell>
          <cell r="K143">
            <v>1</v>
          </cell>
          <cell r="M143">
            <v>1</v>
          </cell>
        </row>
        <row r="144">
          <cell r="A144" t="str">
            <v>38924$CANADA$</v>
          </cell>
          <cell r="B144" t="str">
            <v>38924</v>
          </cell>
          <cell r="C144">
            <v>3892400</v>
          </cell>
          <cell r="D144" t="str">
            <v>$CANADA$</v>
          </cell>
          <cell r="E144" t="str">
            <v>LEV1</v>
          </cell>
          <cell r="F144">
            <v>76.16</v>
          </cell>
          <cell r="G144" t="str">
            <v>02/24/2013</v>
          </cell>
          <cell r="I144">
            <v>1</v>
          </cell>
          <cell r="K144">
            <v>1</v>
          </cell>
          <cell r="M144">
            <v>1</v>
          </cell>
        </row>
        <row r="145">
          <cell r="A145" t="str">
            <v>36777$CANADA$</v>
          </cell>
          <cell r="B145" t="str">
            <v>36777</v>
          </cell>
          <cell r="C145">
            <v>3677700</v>
          </cell>
          <cell r="D145" t="str">
            <v>$CANADA$</v>
          </cell>
          <cell r="E145" t="str">
            <v>LEV1</v>
          </cell>
          <cell r="F145">
            <v>126</v>
          </cell>
          <cell r="G145" t="str">
            <v>11/25/2012</v>
          </cell>
          <cell r="I145">
            <v>1</v>
          </cell>
          <cell r="K145">
            <v>1</v>
          </cell>
          <cell r="M145">
            <v>1</v>
          </cell>
        </row>
        <row r="146">
          <cell r="A146" t="str">
            <v>36777$CONTUSA</v>
          </cell>
          <cell r="B146" t="str">
            <v>36777</v>
          </cell>
          <cell r="C146">
            <v>3677700</v>
          </cell>
          <cell r="D146" t="str">
            <v>$CONTUSA</v>
          </cell>
          <cell r="E146" t="str">
            <v>LEV1</v>
          </cell>
          <cell r="F146">
            <v>92.64</v>
          </cell>
          <cell r="G146" t="str">
            <v>11/25/2012</v>
          </cell>
          <cell r="I146">
            <v>1</v>
          </cell>
          <cell r="K146">
            <v>1</v>
          </cell>
          <cell r="M146">
            <v>1</v>
          </cell>
        </row>
        <row r="147">
          <cell r="A147" t="str">
            <v>40541$CANADA$</v>
          </cell>
          <cell r="B147" t="str">
            <v>40541</v>
          </cell>
          <cell r="C147">
            <v>4054100</v>
          </cell>
          <cell r="D147" t="str">
            <v>$CANADA$</v>
          </cell>
          <cell r="E147" t="str">
            <v>LEV1</v>
          </cell>
          <cell r="F147">
            <v>26.52</v>
          </cell>
          <cell r="G147" t="str">
            <v>11/03/2013</v>
          </cell>
          <cell r="I147">
            <v>1</v>
          </cell>
          <cell r="K147">
            <v>1</v>
          </cell>
          <cell r="M147">
            <v>1</v>
          </cell>
        </row>
        <row r="148">
          <cell r="A148" t="str">
            <v>40541$CONTUSA</v>
          </cell>
          <cell r="B148" t="str">
            <v>40541</v>
          </cell>
          <cell r="C148">
            <v>4054100</v>
          </cell>
          <cell r="D148" t="str">
            <v>$CONTUSA</v>
          </cell>
          <cell r="E148" t="str">
            <v>LEV1</v>
          </cell>
          <cell r="F148">
            <v>19.32</v>
          </cell>
          <cell r="G148" t="str">
            <v>11/03/2013</v>
          </cell>
          <cell r="I148">
            <v>1</v>
          </cell>
          <cell r="K148">
            <v>1</v>
          </cell>
          <cell r="M148">
            <v>1</v>
          </cell>
        </row>
        <row r="149">
          <cell r="A149" t="str">
            <v>40646$CANADA$</v>
          </cell>
          <cell r="B149" t="str">
            <v>40646</v>
          </cell>
          <cell r="C149">
            <v>4064600</v>
          </cell>
          <cell r="D149" t="str">
            <v>$CANADA$</v>
          </cell>
          <cell r="E149" t="str">
            <v>LEV1</v>
          </cell>
          <cell r="F149">
            <v>35.520000000000003</v>
          </cell>
          <cell r="G149" t="str">
            <v>07/07/2013</v>
          </cell>
          <cell r="I149">
            <v>1</v>
          </cell>
          <cell r="K149">
            <v>1</v>
          </cell>
          <cell r="M149">
            <v>1</v>
          </cell>
        </row>
        <row r="150">
          <cell r="A150" t="str">
            <v>40646$CONTUSA</v>
          </cell>
          <cell r="B150" t="str">
            <v>40646</v>
          </cell>
          <cell r="C150">
            <v>4064600</v>
          </cell>
          <cell r="D150" t="str">
            <v>$CONTUSA</v>
          </cell>
          <cell r="E150" t="str">
            <v>LEV1</v>
          </cell>
          <cell r="F150">
            <v>24.32</v>
          </cell>
          <cell r="G150" t="str">
            <v>07/07/2013</v>
          </cell>
          <cell r="I150">
            <v>1</v>
          </cell>
          <cell r="K150">
            <v>1</v>
          </cell>
          <cell r="M150">
            <v>1</v>
          </cell>
        </row>
        <row r="151">
          <cell r="A151" t="str">
            <v>39479$CONTUSA</v>
          </cell>
          <cell r="B151" t="str">
            <v>39479</v>
          </cell>
          <cell r="C151">
            <v>3947900</v>
          </cell>
          <cell r="D151" t="str">
            <v>$CONTUSA</v>
          </cell>
          <cell r="E151" t="str">
            <v>LEV1</v>
          </cell>
          <cell r="F151">
            <v>14.88</v>
          </cell>
          <cell r="G151" t="str">
            <v>05/05/2013</v>
          </cell>
          <cell r="I151">
            <v>1</v>
          </cell>
          <cell r="K151">
            <v>1</v>
          </cell>
          <cell r="M151">
            <v>1</v>
          </cell>
        </row>
        <row r="152">
          <cell r="A152" t="str">
            <v>39479$CANADA$</v>
          </cell>
          <cell r="B152" t="str">
            <v>39479</v>
          </cell>
          <cell r="C152">
            <v>3947900</v>
          </cell>
          <cell r="D152" t="str">
            <v>$CANADA$</v>
          </cell>
          <cell r="E152" t="str">
            <v>LEV1</v>
          </cell>
          <cell r="F152">
            <v>20.399999999999999</v>
          </cell>
          <cell r="G152" t="str">
            <v>05/05/2013</v>
          </cell>
          <cell r="I152">
            <v>1</v>
          </cell>
          <cell r="K152">
            <v>1</v>
          </cell>
          <cell r="M152">
            <v>1</v>
          </cell>
        </row>
        <row r="153">
          <cell r="A153" t="str">
            <v>40804$CONTUSA</v>
          </cell>
          <cell r="B153" t="str">
            <v>40804</v>
          </cell>
          <cell r="C153">
            <v>4080400</v>
          </cell>
          <cell r="D153" t="str">
            <v>$CONTUSA</v>
          </cell>
          <cell r="E153" t="str">
            <v>LEV1</v>
          </cell>
          <cell r="F153">
            <v>8.16</v>
          </cell>
          <cell r="G153" t="str">
            <v>10/27/2013</v>
          </cell>
          <cell r="I153">
            <v>1</v>
          </cell>
          <cell r="K153">
            <v>1</v>
          </cell>
          <cell r="M153">
            <v>1</v>
          </cell>
        </row>
        <row r="154">
          <cell r="A154" t="str">
            <v>40847$CONTUSA</v>
          </cell>
          <cell r="B154" t="str">
            <v>40847</v>
          </cell>
          <cell r="C154">
            <v>4084700</v>
          </cell>
          <cell r="D154" t="str">
            <v>$CONTUSA</v>
          </cell>
          <cell r="E154" t="str">
            <v>LEV1</v>
          </cell>
          <cell r="F154">
            <v>23.16</v>
          </cell>
          <cell r="G154" t="str">
            <v>11/24/2013</v>
          </cell>
          <cell r="I154">
            <v>1</v>
          </cell>
          <cell r="K154">
            <v>1</v>
          </cell>
          <cell r="M154">
            <v>1</v>
          </cell>
        </row>
        <row r="155">
          <cell r="A155" t="str">
            <v>40847$CANADA$</v>
          </cell>
          <cell r="B155" t="str">
            <v>40847</v>
          </cell>
          <cell r="C155">
            <v>4084700</v>
          </cell>
          <cell r="D155" t="str">
            <v>$CANADA$</v>
          </cell>
          <cell r="E155" t="str">
            <v>LEV1</v>
          </cell>
          <cell r="F155">
            <v>31.5</v>
          </cell>
          <cell r="G155" t="str">
            <v>11/24/2013</v>
          </cell>
          <cell r="I155">
            <v>1</v>
          </cell>
          <cell r="K155">
            <v>1</v>
          </cell>
          <cell r="M155">
            <v>1</v>
          </cell>
        </row>
        <row r="156">
          <cell r="A156" t="str">
            <v>40922$CANADA$</v>
          </cell>
          <cell r="B156" t="str">
            <v>40922</v>
          </cell>
          <cell r="C156">
            <v>4092200</v>
          </cell>
          <cell r="D156" t="str">
            <v>$CANADA$</v>
          </cell>
          <cell r="E156" t="str">
            <v>LEV1</v>
          </cell>
          <cell r="F156">
            <v>3432.96</v>
          </cell>
          <cell r="G156" t="str">
            <v>09/22/2013</v>
          </cell>
          <cell r="I156">
            <v>1</v>
          </cell>
          <cell r="K156">
            <v>1</v>
          </cell>
          <cell r="M156">
            <v>1</v>
          </cell>
        </row>
        <row r="157">
          <cell r="A157" t="str">
            <v>40922$CONTUSA</v>
          </cell>
          <cell r="B157" t="str">
            <v>40922</v>
          </cell>
          <cell r="C157">
            <v>4092200</v>
          </cell>
          <cell r="D157" t="str">
            <v>$CONTUSA</v>
          </cell>
          <cell r="E157" t="str">
            <v>LEV1</v>
          </cell>
          <cell r="F157">
            <v>2354.4</v>
          </cell>
          <cell r="G157" t="str">
            <v>09/22/2013</v>
          </cell>
          <cell r="I157">
            <v>1</v>
          </cell>
          <cell r="K157">
            <v>1</v>
          </cell>
          <cell r="M157">
            <v>1</v>
          </cell>
        </row>
        <row r="158">
          <cell r="A158" t="str">
            <v>40991$CONTUSA</v>
          </cell>
          <cell r="B158" t="str">
            <v>40991</v>
          </cell>
          <cell r="C158">
            <v>4099100</v>
          </cell>
          <cell r="D158" t="str">
            <v>$CONTUSA</v>
          </cell>
          <cell r="E158" t="str">
            <v>LEV1</v>
          </cell>
          <cell r="F158">
            <v>46.32</v>
          </cell>
          <cell r="G158" t="str">
            <v>10/20/2013</v>
          </cell>
          <cell r="I158">
            <v>1</v>
          </cell>
          <cell r="K158">
            <v>1</v>
          </cell>
          <cell r="M158">
            <v>1</v>
          </cell>
        </row>
        <row r="159">
          <cell r="A159" t="str">
            <v/>
          </cell>
          <cell r="F159">
            <v>0</v>
          </cell>
          <cell r="G159">
            <v>0</v>
          </cell>
          <cell r="H159">
            <v>0</v>
          </cell>
          <cell r="I159">
            <v>0</v>
          </cell>
          <cell r="J159">
            <v>0</v>
          </cell>
          <cell r="K159">
            <v>0</v>
          </cell>
        </row>
        <row r="160">
          <cell r="A160" t="str">
            <v/>
          </cell>
          <cell r="F160">
            <v>0</v>
          </cell>
          <cell r="G160">
            <v>0</v>
          </cell>
          <cell r="H160">
            <v>0</v>
          </cell>
          <cell r="I160">
            <v>0</v>
          </cell>
          <cell r="J160">
            <v>0</v>
          </cell>
          <cell r="K160">
            <v>0</v>
          </cell>
        </row>
        <row r="161">
          <cell r="A161" t="str">
            <v/>
          </cell>
          <cell r="F161">
            <v>0</v>
          </cell>
          <cell r="G161">
            <v>0</v>
          </cell>
          <cell r="H161">
            <v>0</v>
          </cell>
          <cell r="I161">
            <v>0</v>
          </cell>
          <cell r="J161">
            <v>0</v>
          </cell>
          <cell r="K161">
            <v>0</v>
          </cell>
        </row>
        <row r="162">
          <cell r="A162" t="str">
            <v/>
          </cell>
          <cell r="F162">
            <v>0</v>
          </cell>
          <cell r="G162">
            <v>0</v>
          </cell>
          <cell r="H162">
            <v>0</v>
          </cell>
          <cell r="I162">
            <v>0</v>
          </cell>
          <cell r="J162">
            <v>0</v>
          </cell>
          <cell r="K162">
            <v>0</v>
          </cell>
        </row>
        <row r="163">
          <cell r="A163" t="str">
            <v/>
          </cell>
          <cell r="F163">
            <v>0</v>
          </cell>
          <cell r="G163">
            <v>0</v>
          </cell>
          <cell r="H163">
            <v>0</v>
          </cell>
          <cell r="I163">
            <v>0</v>
          </cell>
          <cell r="J163">
            <v>0</v>
          </cell>
          <cell r="K163">
            <v>0</v>
          </cell>
        </row>
        <row r="164">
          <cell r="A164" t="str">
            <v/>
          </cell>
          <cell r="F164">
            <v>0</v>
          </cell>
          <cell r="G164">
            <v>0</v>
          </cell>
          <cell r="H164">
            <v>0</v>
          </cell>
          <cell r="I164">
            <v>0</v>
          </cell>
          <cell r="J164">
            <v>0</v>
          </cell>
          <cell r="K164">
            <v>0</v>
          </cell>
        </row>
        <row r="165">
          <cell r="A165" t="str">
            <v/>
          </cell>
          <cell r="F165">
            <v>0</v>
          </cell>
          <cell r="G165">
            <v>0</v>
          </cell>
          <cell r="H165">
            <v>0</v>
          </cell>
          <cell r="I165">
            <v>0</v>
          </cell>
          <cell r="J165">
            <v>0</v>
          </cell>
          <cell r="K165">
            <v>0</v>
          </cell>
        </row>
        <row r="166">
          <cell r="A166" t="str">
            <v/>
          </cell>
          <cell r="F166">
            <v>0</v>
          </cell>
          <cell r="G166">
            <v>0</v>
          </cell>
          <cell r="H166">
            <v>0</v>
          </cell>
          <cell r="I166">
            <v>0</v>
          </cell>
          <cell r="J166">
            <v>0</v>
          </cell>
          <cell r="K166">
            <v>0</v>
          </cell>
        </row>
        <row r="167">
          <cell r="A167" t="str">
            <v/>
          </cell>
          <cell r="F167">
            <v>0</v>
          </cell>
          <cell r="G167">
            <v>0</v>
          </cell>
          <cell r="H167">
            <v>0</v>
          </cell>
          <cell r="I167">
            <v>0</v>
          </cell>
          <cell r="J167">
            <v>0</v>
          </cell>
          <cell r="K167">
            <v>0</v>
          </cell>
        </row>
        <row r="168">
          <cell r="A168" t="str">
            <v/>
          </cell>
          <cell r="F168">
            <v>0</v>
          </cell>
          <cell r="G168">
            <v>0</v>
          </cell>
          <cell r="H168">
            <v>0</v>
          </cell>
          <cell r="I168">
            <v>0</v>
          </cell>
          <cell r="J168">
            <v>0</v>
          </cell>
          <cell r="K168">
            <v>0</v>
          </cell>
        </row>
        <row r="169">
          <cell r="A169" t="str">
            <v/>
          </cell>
          <cell r="F169">
            <v>0</v>
          </cell>
          <cell r="G169">
            <v>0</v>
          </cell>
          <cell r="H169">
            <v>0</v>
          </cell>
          <cell r="I169">
            <v>0</v>
          </cell>
          <cell r="J169">
            <v>0</v>
          </cell>
          <cell r="K169">
            <v>0</v>
          </cell>
        </row>
        <row r="170">
          <cell r="A170" t="str">
            <v/>
          </cell>
          <cell r="F170">
            <v>0</v>
          </cell>
          <cell r="G170">
            <v>0</v>
          </cell>
          <cell r="H170">
            <v>0</v>
          </cell>
          <cell r="I170">
            <v>0</v>
          </cell>
          <cell r="J170">
            <v>0</v>
          </cell>
          <cell r="K170">
            <v>0</v>
          </cell>
        </row>
        <row r="171">
          <cell r="A171" t="str">
            <v/>
          </cell>
          <cell r="F171">
            <v>0</v>
          </cell>
          <cell r="G171">
            <v>0</v>
          </cell>
          <cell r="H171">
            <v>0</v>
          </cell>
          <cell r="I171">
            <v>0</v>
          </cell>
          <cell r="J171">
            <v>0</v>
          </cell>
          <cell r="K171">
            <v>0</v>
          </cell>
        </row>
        <row r="172">
          <cell r="A172" t="str">
            <v/>
          </cell>
          <cell r="F172">
            <v>0</v>
          </cell>
          <cell r="G172">
            <v>0</v>
          </cell>
          <cell r="H172">
            <v>0</v>
          </cell>
          <cell r="I172">
            <v>0</v>
          </cell>
          <cell r="J172">
            <v>0</v>
          </cell>
          <cell r="K172">
            <v>0</v>
          </cell>
        </row>
        <row r="173">
          <cell r="A173" t="str">
            <v/>
          </cell>
          <cell r="F173">
            <v>0</v>
          </cell>
          <cell r="G173">
            <v>0</v>
          </cell>
          <cell r="H173">
            <v>0</v>
          </cell>
          <cell r="I173">
            <v>0</v>
          </cell>
          <cell r="J173">
            <v>0</v>
          </cell>
          <cell r="K173">
            <v>0</v>
          </cell>
        </row>
        <row r="174">
          <cell r="A174" t="str">
            <v/>
          </cell>
          <cell r="F174">
            <v>0</v>
          </cell>
          <cell r="G174">
            <v>0</v>
          </cell>
          <cell r="H174">
            <v>0</v>
          </cell>
          <cell r="I174">
            <v>0</v>
          </cell>
          <cell r="J174">
            <v>0</v>
          </cell>
          <cell r="K174">
            <v>0</v>
          </cell>
        </row>
        <row r="175">
          <cell r="A175" t="str">
            <v/>
          </cell>
          <cell r="F175">
            <v>0</v>
          </cell>
          <cell r="G175">
            <v>0</v>
          </cell>
          <cell r="H175">
            <v>0</v>
          </cell>
          <cell r="I175">
            <v>0</v>
          </cell>
          <cell r="J175">
            <v>0</v>
          </cell>
          <cell r="K175">
            <v>0</v>
          </cell>
        </row>
        <row r="176">
          <cell r="A176" t="str">
            <v/>
          </cell>
          <cell r="F176">
            <v>0</v>
          </cell>
          <cell r="G176">
            <v>0</v>
          </cell>
          <cell r="H176">
            <v>0</v>
          </cell>
          <cell r="I176">
            <v>0</v>
          </cell>
          <cell r="J176">
            <v>0</v>
          </cell>
          <cell r="K176">
            <v>0</v>
          </cell>
        </row>
        <row r="177">
          <cell r="A177" t="str">
            <v/>
          </cell>
          <cell r="F177">
            <v>0</v>
          </cell>
          <cell r="G177">
            <v>0</v>
          </cell>
          <cell r="H177">
            <v>0</v>
          </cell>
          <cell r="I177">
            <v>0</v>
          </cell>
          <cell r="J177">
            <v>0</v>
          </cell>
          <cell r="K177">
            <v>0</v>
          </cell>
        </row>
        <row r="178">
          <cell r="A178" t="str">
            <v/>
          </cell>
          <cell r="F178">
            <v>0</v>
          </cell>
          <cell r="G178">
            <v>0</v>
          </cell>
          <cell r="H178">
            <v>0</v>
          </cell>
          <cell r="I178">
            <v>0</v>
          </cell>
          <cell r="J178">
            <v>0</v>
          </cell>
          <cell r="K178">
            <v>0</v>
          </cell>
        </row>
        <row r="179">
          <cell r="A179" t="str">
            <v/>
          </cell>
          <cell r="F179">
            <v>0</v>
          </cell>
          <cell r="G179">
            <v>0</v>
          </cell>
          <cell r="H179">
            <v>0</v>
          </cell>
          <cell r="I179">
            <v>0</v>
          </cell>
          <cell r="J179">
            <v>0</v>
          </cell>
          <cell r="K179">
            <v>0</v>
          </cell>
        </row>
        <row r="180">
          <cell r="A180" t="str">
            <v/>
          </cell>
          <cell r="F180">
            <v>0</v>
          </cell>
          <cell r="G180">
            <v>0</v>
          </cell>
          <cell r="H180">
            <v>0</v>
          </cell>
          <cell r="I180">
            <v>0</v>
          </cell>
          <cell r="J180">
            <v>0</v>
          </cell>
          <cell r="K180">
            <v>0</v>
          </cell>
        </row>
        <row r="181">
          <cell r="A181" t="str">
            <v/>
          </cell>
          <cell r="F181">
            <v>0</v>
          </cell>
          <cell r="G181">
            <v>0</v>
          </cell>
          <cell r="H181">
            <v>0</v>
          </cell>
          <cell r="I181">
            <v>0</v>
          </cell>
          <cell r="J181">
            <v>0</v>
          </cell>
          <cell r="K181">
            <v>0</v>
          </cell>
        </row>
        <row r="182">
          <cell r="A182" t="str">
            <v/>
          </cell>
          <cell r="F182">
            <v>0</v>
          </cell>
          <cell r="G182">
            <v>0</v>
          </cell>
          <cell r="H182">
            <v>0</v>
          </cell>
          <cell r="I182">
            <v>0</v>
          </cell>
          <cell r="J182">
            <v>0</v>
          </cell>
          <cell r="K182">
            <v>0</v>
          </cell>
        </row>
        <row r="183">
          <cell r="A183" t="str">
            <v/>
          </cell>
          <cell r="F183">
            <v>0</v>
          </cell>
          <cell r="G183">
            <v>0</v>
          </cell>
          <cell r="H183">
            <v>0</v>
          </cell>
          <cell r="I183">
            <v>0</v>
          </cell>
          <cell r="J183">
            <v>0</v>
          </cell>
          <cell r="K183">
            <v>0</v>
          </cell>
        </row>
        <row r="184">
          <cell r="A184" t="str">
            <v/>
          </cell>
          <cell r="F184">
            <v>0</v>
          </cell>
          <cell r="G184">
            <v>0</v>
          </cell>
          <cell r="H184">
            <v>0</v>
          </cell>
          <cell r="I184">
            <v>0</v>
          </cell>
          <cell r="J184">
            <v>0</v>
          </cell>
          <cell r="K184">
            <v>0</v>
          </cell>
        </row>
        <row r="185">
          <cell r="A185" t="str">
            <v/>
          </cell>
          <cell r="F185">
            <v>0</v>
          </cell>
          <cell r="G185">
            <v>0</v>
          </cell>
          <cell r="H185">
            <v>0</v>
          </cell>
          <cell r="I185">
            <v>0</v>
          </cell>
          <cell r="J185">
            <v>0</v>
          </cell>
          <cell r="K185">
            <v>0</v>
          </cell>
        </row>
        <row r="186">
          <cell r="A186" t="str">
            <v/>
          </cell>
          <cell r="F186">
            <v>0</v>
          </cell>
          <cell r="G186">
            <v>0</v>
          </cell>
          <cell r="H186">
            <v>0</v>
          </cell>
          <cell r="I186">
            <v>0</v>
          </cell>
          <cell r="J186">
            <v>0</v>
          </cell>
          <cell r="K186">
            <v>0</v>
          </cell>
        </row>
        <row r="187">
          <cell r="A187" t="str">
            <v/>
          </cell>
          <cell r="F187">
            <v>0</v>
          </cell>
          <cell r="G187">
            <v>0</v>
          </cell>
          <cell r="H187">
            <v>0</v>
          </cell>
          <cell r="I187">
            <v>0</v>
          </cell>
          <cell r="J187">
            <v>0</v>
          </cell>
          <cell r="K187">
            <v>0</v>
          </cell>
        </row>
        <row r="188">
          <cell r="A188" t="str">
            <v/>
          </cell>
          <cell r="F188">
            <v>0</v>
          </cell>
          <cell r="G188">
            <v>0</v>
          </cell>
          <cell r="H188">
            <v>0</v>
          </cell>
          <cell r="I188">
            <v>0</v>
          </cell>
          <cell r="J188">
            <v>0</v>
          </cell>
          <cell r="K188">
            <v>0</v>
          </cell>
        </row>
        <row r="189">
          <cell r="A189" t="str">
            <v/>
          </cell>
          <cell r="F189">
            <v>0</v>
          </cell>
          <cell r="G189">
            <v>0</v>
          </cell>
          <cell r="H189">
            <v>0</v>
          </cell>
          <cell r="I189">
            <v>0</v>
          </cell>
          <cell r="J189">
            <v>0</v>
          </cell>
          <cell r="K189">
            <v>0</v>
          </cell>
        </row>
        <row r="190">
          <cell r="A190" t="str">
            <v/>
          </cell>
          <cell r="F190">
            <v>0</v>
          </cell>
          <cell r="G190">
            <v>0</v>
          </cell>
          <cell r="H190">
            <v>0</v>
          </cell>
          <cell r="I190">
            <v>0</v>
          </cell>
          <cell r="J190">
            <v>0</v>
          </cell>
          <cell r="K190">
            <v>0</v>
          </cell>
        </row>
        <row r="191">
          <cell r="A191" t="str">
            <v/>
          </cell>
          <cell r="F191">
            <v>0</v>
          </cell>
          <cell r="G191">
            <v>0</v>
          </cell>
          <cell r="H191">
            <v>0</v>
          </cell>
          <cell r="I191">
            <v>0</v>
          </cell>
          <cell r="J191">
            <v>0</v>
          </cell>
          <cell r="K191">
            <v>0</v>
          </cell>
        </row>
        <row r="192">
          <cell r="A192" t="str">
            <v/>
          </cell>
          <cell r="F192">
            <v>0</v>
          </cell>
          <cell r="G192">
            <v>0</v>
          </cell>
          <cell r="H192">
            <v>0</v>
          </cell>
          <cell r="I192">
            <v>0</v>
          </cell>
          <cell r="J192">
            <v>0</v>
          </cell>
          <cell r="K192">
            <v>0</v>
          </cell>
        </row>
        <row r="193">
          <cell r="A193" t="str">
            <v/>
          </cell>
          <cell r="F193">
            <v>0</v>
          </cell>
          <cell r="G193">
            <v>0</v>
          </cell>
          <cell r="H193">
            <v>0</v>
          </cell>
          <cell r="I193">
            <v>0</v>
          </cell>
          <cell r="J193">
            <v>0</v>
          </cell>
          <cell r="K193">
            <v>0</v>
          </cell>
        </row>
        <row r="194">
          <cell r="A194" t="str">
            <v/>
          </cell>
          <cell r="F194">
            <v>0</v>
          </cell>
          <cell r="G194">
            <v>0</v>
          </cell>
          <cell r="H194">
            <v>0</v>
          </cell>
          <cell r="I194">
            <v>0</v>
          </cell>
          <cell r="J194">
            <v>0</v>
          </cell>
          <cell r="K194">
            <v>0</v>
          </cell>
        </row>
        <row r="195">
          <cell r="A195" t="str">
            <v/>
          </cell>
          <cell r="F195">
            <v>0</v>
          </cell>
          <cell r="G195">
            <v>0</v>
          </cell>
          <cell r="H195">
            <v>0</v>
          </cell>
          <cell r="I195">
            <v>0</v>
          </cell>
          <cell r="J195">
            <v>0</v>
          </cell>
          <cell r="K195">
            <v>0</v>
          </cell>
        </row>
        <row r="196">
          <cell r="A196" t="str">
            <v/>
          </cell>
          <cell r="F196">
            <v>0</v>
          </cell>
          <cell r="G196">
            <v>0</v>
          </cell>
          <cell r="H196">
            <v>0</v>
          </cell>
          <cell r="I196">
            <v>0</v>
          </cell>
          <cell r="J196">
            <v>0</v>
          </cell>
          <cell r="K196">
            <v>0</v>
          </cell>
        </row>
        <row r="197">
          <cell r="A197" t="str">
            <v/>
          </cell>
          <cell r="F197">
            <v>0</v>
          </cell>
          <cell r="G197">
            <v>0</v>
          </cell>
          <cell r="H197">
            <v>0</v>
          </cell>
          <cell r="I197">
            <v>0</v>
          </cell>
          <cell r="J197">
            <v>0</v>
          </cell>
          <cell r="K197">
            <v>0</v>
          </cell>
        </row>
        <row r="198">
          <cell r="A198" t="str">
            <v/>
          </cell>
          <cell r="F198">
            <v>0</v>
          </cell>
          <cell r="G198">
            <v>0</v>
          </cell>
          <cell r="H198">
            <v>0</v>
          </cell>
          <cell r="I198">
            <v>0</v>
          </cell>
          <cell r="J198">
            <v>0</v>
          </cell>
          <cell r="K198">
            <v>0</v>
          </cell>
        </row>
        <row r="199">
          <cell r="A199" t="str">
            <v/>
          </cell>
          <cell r="F199">
            <v>0</v>
          </cell>
          <cell r="G199">
            <v>0</v>
          </cell>
          <cell r="H199">
            <v>0</v>
          </cell>
          <cell r="I199">
            <v>0</v>
          </cell>
          <cell r="J199">
            <v>0</v>
          </cell>
          <cell r="K199">
            <v>0</v>
          </cell>
        </row>
        <row r="200">
          <cell r="A200" t="str">
            <v/>
          </cell>
          <cell r="F200">
            <v>0</v>
          </cell>
          <cell r="G200">
            <v>0</v>
          </cell>
          <cell r="H200">
            <v>0</v>
          </cell>
          <cell r="I200">
            <v>0</v>
          </cell>
          <cell r="J200">
            <v>0</v>
          </cell>
          <cell r="K200">
            <v>0</v>
          </cell>
        </row>
        <row r="201">
          <cell r="A201" t="str">
            <v/>
          </cell>
          <cell r="F201">
            <v>0</v>
          </cell>
          <cell r="G201">
            <v>0</v>
          </cell>
          <cell r="H201">
            <v>0</v>
          </cell>
          <cell r="I201">
            <v>0</v>
          </cell>
          <cell r="J201">
            <v>0</v>
          </cell>
          <cell r="K201">
            <v>0</v>
          </cell>
        </row>
        <row r="202">
          <cell r="A202" t="str">
            <v/>
          </cell>
          <cell r="F202">
            <v>0</v>
          </cell>
          <cell r="G202">
            <v>0</v>
          </cell>
          <cell r="H202">
            <v>0</v>
          </cell>
          <cell r="I202">
            <v>0</v>
          </cell>
          <cell r="J202">
            <v>0</v>
          </cell>
          <cell r="K202">
            <v>0</v>
          </cell>
        </row>
        <row r="203">
          <cell r="A203" t="str">
            <v/>
          </cell>
          <cell r="F203">
            <v>0</v>
          </cell>
          <cell r="G203">
            <v>0</v>
          </cell>
          <cell r="H203">
            <v>0</v>
          </cell>
          <cell r="I203">
            <v>0</v>
          </cell>
          <cell r="J203">
            <v>0</v>
          </cell>
          <cell r="K203">
            <v>0</v>
          </cell>
        </row>
        <row r="204">
          <cell r="A204" t="str">
            <v/>
          </cell>
          <cell r="F204">
            <v>0</v>
          </cell>
          <cell r="G204">
            <v>0</v>
          </cell>
          <cell r="H204">
            <v>0</v>
          </cell>
          <cell r="I204">
            <v>0</v>
          </cell>
          <cell r="J204">
            <v>0</v>
          </cell>
          <cell r="K204">
            <v>0</v>
          </cell>
        </row>
        <row r="205">
          <cell r="A205" t="str">
            <v/>
          </cell>
          <cell r="F205">
            <v>0</v>
          </cell>
          <cell r="G205">
            <v>0</v>
          </cell>
          <cell r="H205">
            <v>0</v>
          </cell>
          <cell r="I205">
            <v>0</v>
          </cell>
          <cell r="J205">
            <v>0</v>
          </cell>
          <cell r="K205">
            <v>0</v>
          </cell>
        </row>
        <row r="206">
          <cell r="A206" t="str">
            <v/>
          </cell>
          <cell r="F206">
            <v>0</v>
          </cell>
          <cell r="G206">
            <v>0</v>
          </cell>
          <cell r="H206">
            <v>0</v>
          </cell>
          <cell r="I206">
            <v>0</v>
          </cell>
          <cell r="J206">
            <v>0</v>
          </cell>
          <cell r="K206">
            <v>0</v>
          </cell>
        </row>
        <row r="207">
          <cell r="A207" t="str">
            <v/>
          </cell>
          <cell r="F207">
            <v>0</v>
          </cell>
          <cell r="G207">
            <v>0</v>
          </cell>
          <cell r="H207">
            <v>0</v>
          </cell>
          <cell r="I207">
            <v>0</v>
          </cell>
          <cell r="J207">
            <v>0</v>
          </cell>
          <cell r="K207">
            <v>0</v>
          </cell>
        </row>
        <row r="208">
          <cell r="A208" t="str">
            <v/>
          </cell>
          <cell r="F208">
            <v>0</v>
          </cell>
          <cell r="G208">
            <v>0</v>
          </cell>
          <cell r="H208">
            <v>0</v>
          </cell>
          <cell r="I208">
            <v>0</v>
          </cell>
          <cell r="J208">
            <v>0</v>
          </cell>
          <cell r="K208">
            <v>0</v>
          </cell>
        </row>
        <row r="209">
          <cell r="A209" t="str">
            <v/>
          </cell>
          <cell r="F209">
            <v>0</v>
          </cell>
          <cell r="G209">
            <v>0</v>
          </cell>
          <cell r="H209">
            <v>0</v>
          </cell>
          <cell r="I209">
            <v>0</v>
          </cell>
          <cell r="J209">
            <v>0</v>
          </cell>
          <cell r="K209">
            <v>0</v>
          </cell>
        </row>
        <row r="210">
          <cell r="A210" t="str">
            <v/>
          </cell>
          <cell r="F210">
            <v>0</v>
          </cell>
          <cell r="G210">
            <v>0</v>
          </cell>
          <cell r="H210">
            <v>0</v>
          </cell>
          <cell r="I210">
            <v>0</v>
          </cell>
          <cell r="J210">
            <v>0</v>
          </cell>
          <cell r="K210">
            <v>0</v>
          </cell>
        </row>
        <row r="211">
          <cell r="A211" t="str">
            <v/>
          </cell>
          <cell r="F211">
            <v>0</v>
          </cell>
          <cell r="G211">
            <v>0</v>
          </cell>
          <cell r="H211">
            <v>0</v>
          </cell>
          <cell r="I211">
            <v>0</v>
          </cell>
          <cell r="J211">
            <v>0</v>
          </cell>
          <cell r="K211">
            <v>0</v>
          </cell>
        </row>
        <row r="212">
          <cell r="A212" t="str">
            <v/>
          </cell>
          <cell r="F212">
            <v>0</v>
          </cell>
          <cell r="G212">
            <v>0</v>
          </cell>
          <cell r="H212">
            <v>0</v>
          </cell>
          <cell r="I212">
            <v>0</v>
          </cell>
          <cell r="J212">
            <v>0</v>
          </cell>
          <cell r="K212">
            <v>0</v>
          </cell>
        </row>
        <row r="213">
          <cell r="A213" t="str">
            <v/>
          </cell>
          <cell r="F213">
            <v>0</v>
          </cell>
          <cell r="G213">
            <v>0</v>
          </cell>
          <cell r="H213">
            <v>0</v>
          </cell>
          <cell r="I213">
            <v>0</v>
          </cell>
          <cell r="J213">
            <v>0</v>
          </cell>
          <cell r="K213">
            <v>0</v>
          </cell>
        </row>
        <row r="214">
          <cell r="A214" t="str">
            <v/>
          </cell>
          <cell r="F214">
            <v>0</v>
          </cell>
          <cell r="G214">
            <v>0</v>
          </cell>
          <cell r="H214">
            <v>0</v>
          </cell>
          <cell r="I214">
            <v>0</v>
          </cell>
          <cell r="J214">
            <v>0</v>
          </cell>
          <cell r="K214">
            <v>0</v>
          </cell>
        </row>
        <row r="215">
          <cell r="A215" t="str">
            <v/>
          </cell>
          <cell r="F215">
            <v>0</v>
          </cell>
          <cell r="G215">
            <v>0</v>
          </cell>
          <cell r="H215">
            <v>0</v>
          </cell>
          <cell r="I215">
            <v>0</v>
          </cell>
          <cell r="J215">
            <v>0</v>
          </cell>
          <cell r="K215">
            <v>0</v>
          </cell>
        </row>
        <row r="216">
          <cell r="A216" t="str">
            <v/>
          </cell>
          <cell r="F216">
            <v>0</v>
          </cell>
          <cell r="G216">
            <v>0</v>
          </cell>
          <cell r="H216">
            <v>0</v>
          </cell>
          <cell r="I216">
            <v>0</v>
          </cell>
          <cell r="J216">
            <v>0</v>
          </cell>
          <cell r="K216">
            <v>0</v>
          </cell>
        </row>
        <row r="217">
          <cell r="A217" t="str">
            <v/>
          </cell>
          <cell r="F217">
            <v>0</v>
          </cell>
          <cell r="G217">
            <v>0</v>
          </cell>
          <cell r="H217">
            <v>0</v>
          </cell>
          <cell r="I217">
            <v>0</v>
          </cell>
          <cell r="J217">
            <v>0</v>
          </cell>
          <cell r="K217">
            <v>0</v>
          </cell>
        </row>
        <row r="218">
          <cell r="A218" t="str">
            <v/>
          </cell>
          <cell r="F218">
            <v>0</v>
          </cell>
          <cell r="G218">
            <v>0</v>
          </cell>
          <cell r="H218">
            <v>0</v>
          </cell>
          <cell r="I218">
            <v>0</v>
          </cell>
          <cell r="J218">
            <v>0</v>
          </cell>
          <cell r="K218">
            <v>0</v>
          </cell>
        </row>
        <row r="219">
          <cell r="A219" t="str">
            <v/>
          </cell>
          <cell r="F219">
            <v>0</v>
          </cell>
          <cell r="G219">
            <v>0</v>
          </cell>
          <cell r="H219">
            <v>0</v>
          </cell>
          <cell r="I219">
            <v>0</v>
          </cell>
          <cell r="J219">
            <v>0</v>
          </cell>
          <cell r="K219">
            <v>0</v>
          </cell>
        </row>
        <row r="220">
          <cell r="A220" t="str">
            <v/>
          </cell>
          <cell r="F220">
            <v>0</v>
          </cell>
          <cell r="G220">
            <v>0</v>
          </cell>
          <cell r="H220">
            <v>0</v>
          </cell>
          <cell r="I220">
            <v>0</v>
          </cell>
          <cell r="J220">
            <v>0</v>
          </cell>
          <cell r="K220">
            <v>0</v>
          </cell>
        </row>
        <row r="221">
          <cell r="A221" t="str">
            <v/>
          </cell>
          <cell r="F221">
            <v>0</v>
          </cell>
          <cell r="G221">
            <v>0</v>
          </cell>
          <cell r="H221">
            <v>0</v>
          </cell>
          <cell r="I221">
            <v>0</v>
          </cell>
          <cell r="J221">
            <v>0</v>
          </cell>
          <cell r="K221">
            <v>0</v>
          </cell>
        </row>
        <row r="222">
          <cell r="A222" t="str">
            <v/>
          </cell>
          <cell r="F222">
            <v>0</v>
          </cell>
          <cell r="G222">
            <v>0</v>
          </cell>
          <cell r="H222">
            <v>0</v>
          </cell>
          <cell r="I222">
            <v>0</v>
          </cell>
          <cell r="J222">
            <v>0</v>
          </cell>
          <cell r="K222">
            <v>0</v>
          </cell>
        </row>
        <row r="223">
          <cell r="A223" t="str">
            <v/>
          </cell>
          <cell r="F223">
            <v>0</v>
          </cell>
          <cell r="G223">
            <v>0</v>
          </cell>
          <cell r="H223">
            <v>0</v>
          </cell>
          <cell r="I223">
            <v>0</v>
          </cell>
          <cell r="J223">
            <v>0</v>
          </cell>
          <cell r="K223">
            <v>0</v>
          </cell>
        </row>
        <row r="224">
          <cell r="A224" t="str">
            <v/>
          </cell>
          <cell r="F224">
            <v>0</v>
          </cell>
          <cell r="G224">
            <v>0</v>
          </cell>
          <cell r="H224">
            <v>0</v>
          </cell>
          <cell r="I224">
            <v>0</v>
          </cell>
          <cell r="J224">
            <v>0</v>
          </cell>
          <cell r="K224">
            <v>0</v>
          </cell>
        </row>
        <row r="225">
          <cell r="A225" t="str">
            <v/>
          </cell>
          <cell r="F225">
            <v>0</v>
          </cell>
          <cell r="G225">
            <v>0</v>
          </cell>
          <cell r="H225">
            <v>0</v>
          </cell>
          <cell r="I225">
            <v>0</v>
          </cell>
          <cell r="J225">
            <v>0</v>
          </cell>
          <cell r="K225">
            <v>0</v>
          </cell>
        </row>
        <row r="226">
          <cell r="A226" t="str">
            <v/>
          </cell>
          <cell r="F226">
            <v>0</v>
          </cell>
          <cell r="G226">
            <v>0</v>
          </cell>
          <cell r="H226">
            <v>0</v>
          </cell>
          <cell r="I226">
            <v>0</v>
          </cell>
          <cell r="J226">
            <v>0</v>
          </cell>
          <cell r="K226">
            <v>0</v>
          </cell>
        </row>
        <row r="227">
          <cell r="A227" t="str">
            <v/>
          </cell>
          <cell r="F227">
            <v>0</v>
          </cell>
          <cell r="G227">
            <v>0</v>
          </cell>
          <cell r="H227">
            <v>0</v>
          </cell>
          <cell r="I227">
            <v>0</v>
          </cell>
          <cell r="J227">
            <v>0</v>
          </cell>
          <cell r="K227">
            <v>0</v>
          </cell>
        </row>
        <row r="228">
          <cell r="A228" t="str">
            <v/>
          </cell>
          <cell r="F228">
            <v>0</v>
          </cell>
          <cell r="G228">
            <v>0</v>
          </cell>
          <cell r="H228">
            <v>0</v>
          </cell>
          <cell r="I228">
            <v>0</v>
          </cell>
          <cell r="J228">
            <v>0</v>
          </cell>
          <cell r="K228">
            <v>0</v>
          </cell>
        </row>
        <row r="229">
          <cell r="A229" t="str">
            <v/>
          </cell>
          <cell r="F229">
            <v>0</v>
          </cell>
          <cell r="G229">
            <v>0</v>
          </cell>
          <cell r="H229">
            <v>0</v>
          </cell>
          <cell r="I229">
            <v>0</v>
          </cell>
          <cell r="J229">
            <v>0</v>
          </cell>
          <cell r="K229">
            <v>0</v>
          </cell>
        </row>
        <row r="230">
          <cell r="A230" t="str">
            <v/>
          </cell>
          <cell r="F230">
            <v>0</v>
          </cell>
          <cell r="G230">
            <v>0</v>
          </cell>
          <cell r="H230">
            <v>0</v>
          </cell>
          <cell r="I230">
            <v>0</v>
          </cell>
          <cell r="J230">
            <v>0</v>
          </cell>
          <cell r="K230">
            <v>0</v>
          </cell>
        </row>
        <row r="231">
          <cell r="A231" t="str">
            <v/>
          </cell>
          <cell r="F231">
            <v>0</v>
          </cell>
          <cell r="G231">
            <v>0</v>
          </cell>
          <cell r="H231">
            <v>0</v>
          </cell>
          <cell r="I231">
            <v>0</v>
          </cell>
          <cell r="J231">
            <v>0</v>
          </cell>
          <cell r="K231">
            <v>0</v>
          </cell>
        </row>
        <row r="232">
          <cell r="A232" t="str">
            <v/>
          </cell>
          <cell r="F232">
            <v>0</v>
          </cell>
          <cell r="G232">
            <v>0</v>
          </cell>
          <cell r="H232">
            <v>0</v>
          </cell>
          <cell r="I232">
            <v>0</v>
          </cell>
          <cell r="J232">
            <v>0</v>
          </cell>
          <cell r="K232">
            <v>0</v>
          </cell>
        </row>
        <row r="233">
          <cell r="A233" t="str">
            <v/>
          </cell>
          <cell r="F233">
            <v>0</v>
          </cell>
          <cell r="G233">
            <v>0</v>
          </cell>
          <cell r="H233">
            <v>0</v>
          </cell>
          <cell r="I233">
            <v>0</v>
          </cell>
          <cell r="J233">
            <v>0</v>
          </cell>
          <cell r="K233">
            <v>0</v>
          </cell>
        </row>
        <row r="234">
          <cell r="A234" t="str">
            <v/>
          </cell>
          <cell r="F234">
            <v>0</v>
          </cell>
          <cell r="G234">
            <v>0</v>
          </cell>
          <cell r="H234">
            <v>0</v>
          </cell>
          <cell r="I234">
            <v>0</v>
          </cell>
          <cell r="J234">
            <v>0</v>
          </cell>
          <cell r="K234">
            <v>0</v>
          </cell>
        </row>
        <row r="235">
          <cell r="A235" t="str">
            <v/>
          </cell>
          <cell r="F235">
            <v>0</v>
          </cell>
          <cell r="G235">
            <v>0</v>
          </cell>
          <cell r="H235">
            <v>0</v>
          </cell>
          <cell r="I235">
            <v>0</v>
          </cell>
          <cell r="J235">
            <v>0</v>
          </cell>
          <cell r="K235">
            <v>0</v>
          </cell>
        </row>
        <row r="236">
          <cell r="A236" t="str">
            <v/>
          </cell>
          <cell r="F236">
            <v>0</v>
          </cell>
          <cell r="G236">
            <v>0</v>
          </cell>
          <cell r="H236">
            <v>0</v>
          </cell>
          <cell r="I236">
            <v>0</v>
          </cell>
          <cell r="J236">
            <v>0</v>
          </cell>
          <cell r="K236">
            <v>0</v>
          </cell>
        </row>
        <row r="237">
          <cell r="A237" t="str">
            <v/>
          </cell>
          <cell r="F237">
            <v>0</v>
          </cell>
          <cell r="G237">
            <v>0</v>
          </cell>
          <cell r="H237">
            <v>0</v>
          </cell>
          <cell r="I237">
            <v>0</v>
          </cell>
          <cell r="J237">
            <v>0</v>
          </cell>
          <cell r="K237">
            <v>0</v>
          </cell>
        </row>
        <row r="238">
          <cell r="A238" t="str">
            <v/>
          </cell>
          <cell r="F238">
            <v>0</v>
          </cell>
          <cell r="G238">
            <v>0</v>
          </cell>
          <cell r="H238">
            <v>0</v>
          </cell>
          <cell r="I238">
            <v>0</v>
          </cell>
          <cell r="J238">
            <v>0</v>
          </cell>
          <cell r="K238">
            <v>0</v>
          </cell>
        </row>
        <row r="239">
          <cell r="A239" t="str">
            <v/>
          </cell>
          <cell r="F239">
            <v>0</v>
          </cell>
          <cell r="G239">
            <v>0</v>
          </cell>
          <cell r="H239">
            <v>0</v>
          </cell>
          <cell r="I239">
            <v>0</v>
          </cell>
          <cell r="J239">
            <v>0</v>
          </cell>
          <cell r="K239">
            <v>0</v>
          </cell>
        </row>
        <row r="240">
          <cell r="A240" t="str">
            <v/>
          </cell>
          <cell r="F240">
            <v>0</v>
          </cell>
          <cell r="G240">
            <v>0</v>
          </cell>
          <cell r="H240">
            <v>0</v>
          </cell>
          <cell r="I240">
            <v>0</v>
          </cell>
          <cell r="J240">
            <v>0</v>
          </cell>
          <cell r="K240">
            <v>0</v>
          </cell>
        </row>
        <row r="241">
          <cell r="A241" t="str">
            <v/>
          </cell>
          <cell r="F241">
            <v>0</v>
          </cell>
          <cell r="G241">
            <v>0</v>
          </cell>
          <cell r="H241">
            <v>0</v>
          </cell>
          <cell r="I241">
            <v>0</v>
          </cell>
          <cell r="J241">
            <v>0</v>
          </cell>
          <cell r="K241">
            <v>0</v>
          </cell>
        </row>
        <row r="242">
          <cell r="A242" t="str">
            <v/>
          </cell>
          <cell r="F242">
            <v>0</v>
          </cell>
          <cell r="G242">
            <v>0</v>
          </cell>
          <cell r="H242">
            <v>0</v>
          </cell>
          <cell r="I242">
            <v>0</v>
          </cell>
          <cell r="J242">
            <v>0</v>
          </cell>
          <cell r="K242">
            <v>0</v>
          </cell>
        </row>
        <row r="243">
          <cell r="A243" t="str">
            <v/>
          </cell>
          <cell r="F243">
            <v>0</v>
          </cell>
          <cell r="G243">
            <v>0</v>
          </cell>
          <cell r="H243">
            <v>0</v>
          </cell>
          <cell r="I243">
            <v>0</v>
          </cell>
          <cell r="J243">
            <v>0</v>
          </cell>
          <cell r="K243">
            <v>0</v>
          </cell>
        </row>
        <row r="244">
          <cell r="A244" t="str">
            <v/>
          </cell>
          <cell r="F244">
            <v>0</v>
          </cell>
          <cell r="G244">
            <v>0</v>
          </cell>
          <cell r="H244">
            <v>0</v>
          </cell>
          <cell r="I244">
            <v>0</v>
          </cell>
          <cell r="J244">
            <v>0</v>
          </cell>
          <cell r="K244">
            <v>0</v>
          </cell>
        </row>
        <row r="245">
          <cell r="A245" t="str">
            <v/>
          </cell>
          <cell r="F245">
            <v>0</v>
          </cell>
          <cell r="G245">
            <v>0</v>
          </cell>
          <cell r="H245">
            <v>0</v>
          </cell>
          <cell r="I245">
            <v>0</v>
          </cell>
          <cell r="J245">
            <v>0</v>
          </cell>
          <cell r="K245">
            <v>0</v>
          </cell>
        </row>
        <row r="246">
          <cell r="A246" t="str">
            <v/>
          </cell>
          <cell r="F246">
            <v>0</v>
          </cell>
          <cell r="G246">
            <v>0</v>
          </cell>
          <cell r="H246">
            <v>0</v>
          </cell>
          <cell r="I246">
            <v>0</v>
          </cell>
          <cell r="J246">
            <v>0</v>
          </cell>
          <cell r="K246">
            <v>0</v>
          </cell>
        </row>
        <row r="247">
          <cell r="A247" t="str">
            <v/>
          </cell>
          <cell r="F247">
            <v>0</v>
          </cell>
          <cell r="G247">
            <v>0</v>
          </cell>
          <cell r="H247">
            <v>0</v>
          </cell>
          <cell r="I247">
            <v>0</v>
          </cell>
          <cell r="J247">
            <v>0</v>
          </cell>
          <cell r="K247">
            <v>0</v>
          </cell>
        </row>
        <row r="248">
          <cell r="A248" t="str">
            <v/>
          </cell>
          <cell r="F248">
            <v>0</v>
          </cell>
          <cell r="G248">
            <v>0</v>
          </cell>
          <cell r="H248">
            <v>0</v>
          </cell>
          <cell r="I248">
            <v>0</v>
          </cell>
          <cell r="J248">
            <v>0</v>
          </cell>
          <cell r="K248">
            <v>0</v>
          </cell>
        </row>
        <row r="249">
          <cell r="A249" t="str">
            <v/>
          </cell>
          <cell r="F249">
            <v>0</v>
          </cell>
          <cell r="G249">
            <v>0</v>
          </cell>
          <cell r="H249">
            <v>0</v>
          </cell>
          <cell r="I249">
            <v>0</v>
          </cell>
          <cell r="J249">
            <v>0</v>
          </cell>
          <cell r="K249">
            <v>0</v>
          </cell>
        </row>
        <row r="250">
          <cell r="A250" t="str">
            <v/>
          </cell>
          <cell r="F250">
            <v>0</v>
          </cell>
          <cell r="G250">
            <v>0</v>
          </cell>
          <cell r="H250">
            <v>0</v>
          </cell>
          <cell r="I250">
            <v>0</v>
          </cell>
          <cell r="J250">
            <v>0</v>
          </cell>
          <cell r="K250">
            <v>0</v>
          </cell>
        </row>
        <row r="251">
          <cell r="A251" t="str">
            <v/>
          </cell>
          <cell r="F251">
            <v>0</v>
          </cell>
          <cell r="G251">
            <v>0</v>
          </cell>
          <cell r="H251">
            <v>0</v>
          </cell>
          <cell r="I251">
            <v>0</v>
          </cell>
          <cell r="J251">
            <v>0</v>
          </cell>
          <cell r="K251">
            <v>0</v>
          </cell>
        </row>
        <row r="252">
          <cell r="A252" t="str">
            <v/>
          </cell>
          <cell r="F252">
            <v>0</v>
          </cell>
          <cell r="G252">
            <v>0</v>
          </cell>
          <cell r="H252">
            <v>0</v>
          </cell>
          <cell r="I252">
            <v>0</v>
          </cell>
          <cell r="J252">
            <v>0</v>
          </cell>
          <cell r="K252">
            <v>0</v>
          </cell>
        </row>
        <row r="253">
          <cell r="A253" t="str">
            <v/>
          </cell>
          <cell r="F253">
            <v>0</v>
          </cell>
          <cell r="G253">
            <v>0</v>
          </cell>
          <cell r="H253">
            <v>0</v>
          </cell>
          <cell r="I253">
            <v>0</v>
          </cell>
          <cell r="J253">
            <v>0</v>
          </cell>
          <cell r="K253">
            <v>0</v>
          </cell>
        </row>
        <row r="254">
          <cell r="A254" t="str">
            <v/>
          </cell>
          <cell r="F254">
            <v>0</v>
          </cell>
          <cell r="G254">
            <v>0</v>
          </cell>
          <cell r="H254">
            <v>0</v>
          </cell>
          <cell r="I254">
            <v>0</v>
          </cell>
          <cell r="J254">
            <v>0</v>
          </cell>
          <cell r="K254">
            <v>0</v>
          </cell>
        </row>
        <row r="255">
          <cell r="A255" t="str">
            <v/>
          </cell>
          <cell r="F255">
            <v>0</v>
          </cell>
          <cell r="G255">
            <v>0</v>
          </cell>
          <cell r="H255">
            <v>0</v>
          </cell>
          <cell r="I255">
            <v>0</v>
          </cell>
          <cell r="J255">
            <v>0</v>
          </cell>
          <cell r="K255">
            <v>0</v>
          </cell>
        </row>
        <row r="256">
          <cell r="A256" t="str">
            <v/>
          </cell>
          <cell r="F256">
            <v>0</v>
          </cell>
          <cell r="G256">
            <v>0</v>
          </cell>
          <cell r="H256">
            <v>0</v>
          </cell>
          <cell r="I256">
            <v>0</v>
          </cell>
          <cell r="J256">
            <v>0</v>
          </cell>
          <cell r="K256">
            <v>0</v>
          </cell>
        </row>
        <row r="257">
          <cell r="A257" t="str">
            <v/>
          </cell>
          <cell r="F257">
            <v>0</v>
          </cell>
          <cell r="G257">
            <v>0</v>
          </cell>
          <cell r="H257">
            <v>0</v>
          </cell>
          <cell r="I257">
            <v>0</v>
          </cell>
          <cell r="J257">
            <v>0</v>
          </cell>
          <cell r="K257">
            <v>0</v>
          </cell>
        </row>
        <row r="258">
          <cell r="A258" t="str">
            <v/>
          </cell>
          <cell r="F258">
            <v>0</v>
          </cell>
          <cell r="G258">
            <v>0</v>
          </cell>
          <cell r="H258">
            <v>0</v>
          </cell>
          <cell r="I258">
            <v>0</v>
          </cell>
          <cell r="J258">
            <v>0</v>
          </cell>
          <cell r="K258">
            <v>0</v>
          </cell>
        </row>
        <row r="259">
          <cell r="A259" t="str">
            <v/>
          </cell>
          <cell r="F259">
            <v>0</v>
          </cell>
          <cell r="G259">
            <v>0</v>
          </cell>
          <cell r="H259">
            <v>0</v>
          </cell>
          <cell r="I259">
            <v>0</v>
          </cell>
          <cell r="J259">
            <v>0</v>
          </cell>
          <cell r="K259">
            <v>0</v>
          </cell>
        </row>
        <row r="260">
          <cell r="A260" t="str">
            <v/>
          </cell>
          <cell r="F260">
            <v>0</v>
          </cell>
          <cell r="G260">
            <v>0</v>
          </cell>
          <cell r="H260">
            <v>0</v>
          </cell>
          <cell r="I260">
            <v>0</v>
          </cell>
          <cell r="J260">
            <v>0</v>
          </cell>
          <cell r="K260">
            <v>0</v>
          </cell>
        </row>
        <row r="261">
          <cell r="A261" t="str">
            <v/>
          </cell>
          <cell r="F261">
            <v>0</v>
          </cell>
          <cell r="G261">
            <v>0</v>
          </cell>
          <cell r="H261">
            <v>0</v>
          </cell>
          <cell r="I261">
            <v>0</v>
          </cell>
          <cell r="J261">
            <v>0</v>
          </cell>
          <cell r="K261">
            <v>0</v>
          </cell>
        </row>
        <row r="262">
          <cell r="A262" t="str">
            <v/>
          </cell>
          <cell r="F262">
            <v>0</v>
          </cell>
          <cell r="G262">
            <v>0</v>
          </cell>
          <cell r="H262">
            <v>0</v>
          </cell>
          <cell r="I262">
            <v>0</v>
          </cell>
          <cell r="J262">
            <v>0</v>
          </cell>
          <cell r="K262">
            <v>0</v>
          </cell>
        </row>
        <row r="263">
          <cell r="A263" t="str">
            <v/>
          </cell>
          <cell r="F263">
            <v>0</v>
          </cell>
          <cell r="G263">
            <v>0</v>
          </cell>
          <cell r="H263">
            <v>0</v>
          </cell>
          <cell r="I263">
            <v>0</v>
          </cell>
          <cell r="J263">
            <v>0</v>
          </cell>
          <cell r="K263">
            <v>0</v>
          </cell>
        </row>
        <row r="264">
          <cell r="A264" t="str">
            <v/>
          </cell>
          <cell r="F264">
            <v>0</v>
          </cell>
          <cell r="G264">
            <v>0</v>
          </cell>
          <cell r="H264">
            <v>0</v>
          </cell>
          <cell r="I264">
            <v>0</v>
          </cell>
          <cell r="J264">
            <v>0</v>
          </cell>
          <cell r="K264">
            <v>0</v>
          </cell>
        </row>
        <row r="265">
          <cell r="A265" t="str">
            <v/>
          </cell>
          <cell r="F265">
            <v>0</v>
          </cell>
          <cell r="G265">
            <v>0</v>
          </cell>
          <cell r="H265">
            <v>0</v>
          </cell>
          <cell r="I265">
            <v>0</v>
          </cell>
          <cell r="J265">
            <v>0</v>
          </cell>
          <cell r="K265">
            <v>0</v>
          </cell>
        </row>
        <row r="266">
          <cell r="A266" t="str">
            <v/>
          </cell>
          <cell r="F266">
            <v>0</v>
          </cell>
          <cell r="G266">
            <v>0</v>
          </cell>
          <cell r="H266">
            <v>0</v>
          </cell>
          <cell r="I266">
            <v>0</v>
          </cell>
          <cell r="J266">
            <v>0</v>
          </cell>
          <cell r="K266">
            <v>0</v>
          </cell>
        </row>
        <row r="267">
          <cell r="A267" t="str">
            <v/>
          </cell>
          <cell r="F267">
            <v>0</v>
          </cell>
          <cell r="G267">
            <v>0</v>
          </cell>
          <cell r="H267">
            <v>0</v>
          </cell>
          <cell r="I267">
            <v>0</v>
          </cell>
          <cell r="J267">
            <v>0</v>
          </cell>
          <cell r="K267">
            <v>0</v>
          </cell>
        </row>
        <row r="268">
          <cell r="A268" t="str">
            <v/>
          </cell>
          <cell r="F268">
            <v>0</v>
          </cell>
          <cell r="G268">
            <v>0</v>
          </cell>
          <cell r="H268">
            <v>0</v>
          </cell>
          <cell r="I268">
            <v>0</v>
          </cell>
          <cell r="J268">
            <v>0</v>
          </cell>
          <cell r="K268">
            <v>0</v>
          </cell>
        </row>
        <row r="269">
          <cell r="A269" t="str">
            <v/>
          </cell>
          <cell r="F269">
            <v>0</v>
          </cell>
          <cell r="G269">
            <v>0</v>
          </cell>
          <cell r="H269">
            <v>0</v>
          </cell>
          <cell r="I269">
            <v>0</v>
          </cell>
          <cell r="J269">
            <v>0</v>
          </cell>
          <cell r="K269">
            <v>0</v>
          </cell>
        </row>
        <row r="270">
          <cell r="A270" t="str">
            <v/>
          </cell>
          <cell r="F270">
            <v>0</v>
          </cell>
          <cell r="G270">
            <v>0</v>
          </cell>
          <cell r="H270">
            <v>0</v>
          </cell>
          <cell r="I270">
            <v>0</v>
          </cell>
          <cell r="J270">
            <v>0</v>
          </cell>
          <cell r="K270">
            <v>0</v>
          </cell>
        </row>
        <row r="271">
          <cell r="A271" t="str">
            <v/>
          </cell>
          <cell r="F271">
            <v>0</v>
          </cell>
          <cell r="G271">
            <v>0</v>
          </cell>
          <cell r="H271">
            <v>0</v>
          </cell>
          <cell r="I271">
            <v>0</v>
          </cell>
          <cell r="J271">
            <v>0</v>
          </cell>
          <cell r="K271">
            <v>0</v>
          </cell>
        </row>
        <row r="272">
          <cell r="A272" t="str">
            <v/>
          </cell>
          <cell r="F272">
            <v>0</v>
          </cell>
          <cell r="G272">
            <v>0</v>
          </cell>
          <cell r="H272">
            <v>0</v>
          </cell>
          <cell r="I272">
            <v>0</v>
          </cell>
          <cell r="J272">
            <v>0</v>
          </cell>
          <cell r="K272">
            <v>0</v>
          </cell>
        </row>
        <row r="273">
          <cell r="A273" t="str">
            <v/>
          </cell>
          <cell r="F273">
            <v>0</v>
          </cell>
          <cell r="G273">
            <v>0</v>
          </cell>
          <cell r="H273">
            <v>0</v>
          </cell>
          <cell r="I273">
            <v>0</v>
          </cell>
          <cell r="J273">
            <v>0</v>
          </cell>
          <cell r="K273">
            <v>0</v>
          </cell>
        </row>
        <row r="274">
          <cell r="A274" t="str">
            <v/>
          </cell>
          <cell r="F274">
            <v>0</v>
          </cell>
          <cell r="G274">
            <v>0</v>
          </cell>
          <cell r="H274">
            <v>0</v>
          </cell>
          <cell r="I274">
            <v>0</v>
          </cell>
          <cell r="J274">
            <v>0</v>
          </cell>
          <cell r="K274">
            <v>0</v>
          </cell>
        </row>
        <row r="275">
          <cell r="A275" t="str">
            <v/>
          </cell>
          <cell r="F275">
            <v>0</v>
          </cell>
          <cell r="G275">
            <v>0</v>
          </cell>
          <cell r="H275">
            <v>0</v>
          </cell>
          <cell r="I275">
            <v>0</v>
          </cell>
          <cell r="J275">
            <v>0</v>
          </cell>
          <cell r="K275">
            <v>0</v>
          </cell>
        </row>
        <row r="276">
          <cell r="A276" t="str">
            <v/>
          </cell>
          <cell r="F276">
            <v>0</v>
          </cell>
          <cell r="G276">
            <v>0</v>
          </cell>
          <cell r="H276">
            <v>0</v>
          </cell>
          <cell r="I276">
            <v>0</v>
          </cell>
          <cell r="J276">
            <v>0</v>
          </cell>
          <cell r="K276">
            <v>0</v>
          </cell>
        </row>
        <row r="277">
          <cell r="A277" t="str">
            <v/>
          </cell>
          <cell r="F277">
            <v>0</v>
          </cell>
          <cell r="G277">
            <v>0</v>
          </cell>
          <cell r="H277">
            <v>0</v>
          </cell>
          <cell r="I277">
            <v>0</v>
          </cell>
          <cell r="J277">
            <v>0</v>
          </cell>
          <cell r="K277">
            <v>0</v>
          </cell>
        </row>
        <row r="278">
          <cell r="A278" t="str">
            <v/>
          </cell>
          <cell r="F278">
            <v>0</v>
          </cell>
          <cell r="G278">
            <v>0</v>
          </cell>
          <cell r="H278">
            <v>0</v>
          </cell>
          <cell r="I278">
            <v>0</v>
          </cell>
          <cell r="J278">
            <v>0</v>
          </cell>
          <cell r="K278">
            <v>0</v>
          </cell>
        </row>
        <row r="279">
          <cell r="A279" t="str">
            <v/>
          </cell>
          <cell r="F279">
            <v>0</v>
          </cell>
          <cell r="G279">
            <v>0</v>
          </cell>
          <cell r="H279">
            <v>0</v>
          </cell>
          <cell r="I279">
            <v>0</v>
          </cell>
          <cell r="J279">
            <v>0</v>
          </cell>
          <cell r="K279">
            <v>0</v>
          </cell>
        </row>
        <row r="280">
          <cell r="A280" t="str">
            <v/>
          </cell>
          <cell r="F280">
            <v>0</v>
          </cell>
          <cell r="G280">
            <v>0</v>
          </cell>
          <cell r="H280">
            <v>0</v>
          </cell>
          <cell r="I280">
            <v>0</v>
          </cell>
          <cell r="J280">
            <v>0</v>
          </cell>
          <cell r="K280">
            <v>0</v>
          </cell>
        </row>
        <row r="281">
          <cell r="A281" t="str">
            <v/>
          </cell>
          <cell r="F281">
            <v>0</v>
          </cell>
          <cell r="G281">
            <v>0</v>
          </cell>
          <cell r="H281">
            <v>0</v>
          </cell>
          <cell r="I281">
            <v>0</v>
          </cell>
          <cell r="J281">
            <v>0</v>
          </cell>
          <cell r="K281">
            <v>0</v>
          </cell>
        </row>
        <row r="282">
          <cell r="A282" t="str">
            <v/>
          </cell>
          <cell r="F282">
            <v>0</v>
          </cell>
          <cell r="G282">
            <v>0</v>
          </cell>
          <cell r="H282">
            <v>0</v>
          </cell>
          <cell r="I282">
            <v>0</v>
          </cell>
          <cell r="J282">
            <v>0</v>
          </cell>
          <cell r="K282">
            <v>0</v>
          </cell>
        </row>
        <row r="283">
          <cell r="A283" t="str">
            <v/>
          </cell>
          <cell r="F283">
            <v>0</v>
          </cell>
          <cell r="G283">
            <v>0</v>
          </cell>
          <cell r="H283">
            <v>0</v>
          </cell>
          <cell r="I283">
            <v>0</v>
          </cell>
          <cell r="J283">
            <v>0</v>
          </cell>
          <cell r="K283">
            <v>0</v>
          </cell>
        </row>
        <row r="284">
          <cell r="A284" t="str">
            <v/>
          </cell>
          <cell r="F284">
            <v>0</v>
          </cell>
          <cell r="G284">
            <v>0</v>
          </cell>
          <cell r="H284">
            <v>0</v>
          </cell>
          <cell r="I284">
            <v>0</v>
          </cell>
          <cell r="J284">
            <v>0</v>
          </cell>
          <cell r="K284">
            <v>0</v>
          </cell>
        </row>
        <row r="285">
          <cell r="A285" t="str">
            <v/>
          </cell>
          <cell r="F285">
            <v>0</v>
          </cell>
          <cell r="G285">
            <v>0</v>
          </cell>
          <cell r="H285">
            <v>0</v>
          </cell>
          <cell r="I285">
            <v>0</v>
          </cell>
          <cell r="J285">
            <v>0</v>
          </cell>
          <cell r="K285">
            <v>0</v>
          </cell>
        </row>
        <row r="286">
          <cell r="A286" t="str">
            <v/>
          </cell>
          <cell r="F286">
            <v>0</v>
          </cell>
          <cell r="G286">
            <v>0</v>
          </cell>
          <cell r="H286">
            <v>0</v>
          </cell>
          <cell r="I286">
            <v>0</v>
          </cell>
          <cell r="J286">
            <v>0</v>
          </cell>
          <cell r="K286">
            <v>0</v>
          </cell>
        </row>
        <row r="287">
          <cell r="A287" t="str">
            <v/>
          </cell>
          <cell r="F287">
            <v>0</v>
          </cell>
          <cell r="G287">
            <v>0</v>
          </cell>
          <cell r="H287">
            <v>0</v>
          </cell>
          <cell r="I287">
            <v>0</v>
          </cell>
          <cell r="J287">
            <v>0</v>
          </cell>
          <cell r="K287">
            <v>0</v>
          </cell>
        </row>
        <row r="288">
          <cell r="A288" t="str">
            <v/>
          </cell>
          <cell r="F288">
            <v>0</v>
          </cell>
          <cell r="G288">
            <v>0</v>
          </cell>
          <cell r="H288">
            <v>0</v>
          </cell>
          <cell r="I288">
            <v>0</v>
          </cell>
          <cell r="J288">
            <v>0</v>
          </cell>
          <cell r="K288">
            <v>0</v>
          </cell>
        </row>
        <row r="289">
          <cell r="A289" t="str">
            <v/>
          </cell>
          <cell r="F289">
            <v>0</v>
          </cell>
          <cell r="G289">
            <v>0</v>
          </cell>
          <cell r="H289">
            <v>0</v>
          </cell>
          <cell r="I289">
            <v>0</v>
          </cell>
          <cell r="J289">
            <v>0</v>
          </cell>
          <cell r="K289">
            <v>0</v>
          </cell>
        </row>
        <row r="290">
          <cell r="A290" t="str">
            <v/>
          </cell>
          <cell r="F290">
            <v>0</v>
          </cell>
          <cell r="G290">
            <v>0</v>
          </cell>
          <cell r="H290">
            <v>0</v>
          </cell>
          <cell r="I290">
            <v>0</v>
          </cell>
          <cell r="J290">
            <v>0</v>
          </cell>
          <cell r="K290">
            <v>0</v>
          </cell>
        </row>
        <row r="291">
          <cell r="A291" t="str">
            <v/>
          </cell>
          <cell r="F291">
            <v>0</v>
          </cell>
          <cell r="G291">
            <v>0</v>
          </cell>
          <cell r="H291">
            <v>0</v>
          </cell>
          <cell r="I291">
            <v>0</v>
          </cell>
          <cell r="J291">
            <v>0</v>
          </cell>
          <cell r="K291">
            <v>0</v>
          </cell>
        </row>
        <row r="292">
          <cell r="A292" t="str">
            <v/>
          </cell>
          <cell r="F292">
            <v>0</v>
          </cell>
          <cell r="G292">
            <v>0</v>
          </cell>
          <cell r="H292">
            <v>0</v>
          </cell>
          <cell r="I292">
            <v>0</v>
          </cell>
          <cell r="J292">
            <v>0</v>
          </cell>
          <cell r="K292">
            <v>0</v>
          </cell>
        </row>
        <row r="293">
          <cell r="A293" t="str">
            <v/>
          </cell>
          <cell r="F293">
            <v>0</v>
          </cell>
          <cell r="G293">
            <v>0</v>
          </cell>
          <cell r="H293">
            <v>0</v>
          </cell>
          <cell r="I293">
            <v>0</v>
          </cell>
          <cell r="J293">
            <v>0</v>
          </cell>
          <cell r="K293">
            <v>0</v>
          </cell>
        </row>
        <row r="294">
          <cell r="A294" t="str">
            <v/>
          </cell>
          <cell r="F294">
            <v>0</v>
          </cell>
          <cell r="G294">
            <v>0</v>
          </cell>
          <cell r="H294">
            <v>0</v>
          </cell>
          <cell r="I294">
            <v>0</v>
          </cell>
          <cell r="J294">
            <v>0</v>
          </cell>
          <cell r="K294">
            <v>0</v>
          </cell>
        </row>
        <row r="295">
          <cell r="A295" t="str">
            <v/>
          </cell>
          <cell r="F295">
            <v>0</v>
          </cell>
          <cell r="G295">
            <v>0</v>
          </cell>
          <cell r="H295">
            <v>0</v>
          </cell>
          <cell r="I295">
            <v>0</v>
          </cell>
          <cell r="J295">
            <v>0</v>
          </cell>
          <cell r="K295">
            <v>0</v>
          </cell>
        </row>
        <row r="296">
          <cell r="A296" t="str">
            <v/>
          </cell>
          <cell r="F296">
            <v>0</v>
          </cell>
          <cell r="G296">
            <v>0</v>
          </cell>
          <cell r="H296">
            <v>0</v>
          </cell>
          <cell r="I296">
            <v>0</v>
          </cell>
          <cell r="J296">
            <v>0</v>
          </cell>
          <cell r="K296">
            <v>0</v>
          </cell>
        </row>
        <row r="297">
          <cell r="A297" t="str">
            <v/>
          </cell>
          <cell r="F297">
            <v>0</v>
          </cell>
          <cell r="G297">
            <v>0</v>
          </cell>
          <cell r="H297">
            <v>0</v>
          </cell>
          <cell r="I297">
            <v>0</v>
          </cell>
          <cell r="J297">
            <v>0</v>
          </cell>
          <cell r="K297">
            <v>0</v>
          </cell>
        </row>
        <row r="298">
          <cell r="A298" t="str">
            <v/>
          </cell>
          <cell r="F298">
            <v>0</v>
          </cell>
          <cell r="G298">
            <v>0</v>
          </cell>
          <cell r="H298">
            <v>0</v>
          </cell>
          <cell r="I298">
            <v>0</v>
          </cell>
          <cell r="J298">
            <v>0</v>
          </cell>
          <cell r="K298">
            <v>0</v>
          </cell>
        </row>
        <row r="299">
          <cell r="A299" t="str">
            <v/>
          </cell>
          <cell r="F299">
            <v>0</v>
          </cell>
          <cell r="G299">
            <v>0</v>
          </cell>
          <cell r="H299">
            <v>0</v>
          </cell>
          <cell r="I299">
            <v>0</v>
          </cell>
          <cell r="J299">
            <v>0</v>
          </cell>
          <cell r="K299">
            <v>0</v>
          </cell>
        </row>
        <row r="300">
          <cell r="A300" t="str">
            <v/>
          </cell>
          <cell r="F300">
            <v>0</v>
          </cell>
          <cell r="G300">
            <v>0</v>
          </cell>
          <cell r="H300">
            <v>0</v>
          </cell>
          <cell r="I300">
            <v>0</v>
          </cell>
          <cell r="J300">
            <v>0</v>
          </cell>
          <cell r="K300">
            <v>0</v>
          </cell>
        </row>
        <row r="301">
          <cell r="A301" t="str">
            <v/>
          </cell>
          <cell r="F301">
            <v>0</v>
          </cell>
          <cell r="G301">
            <v>0</v>
          </cell>
          <cell r="H301">
            <v>0</v>
          </cell>
          <cell r="I301">
            <v>0</v>
          </cell>
          <cell r="J301">
            <v>0</v>
          </cell>
          <cell r="K301">
            <v>0</v>
          </cell>
        </row>
        <row r="302">
          <cell r="A302" t="str">
            <v/>
          </cell>
          <cell r="F302">
            <v>0</v>
          </cell>
          <cell r="G302">
            <v>0</v>
          </cell>
          <cell r="H302">
            <v>0</v>
          </cell>
          <cell r="I302">
            <v>0</v>
          </cell>
          <cell r="J302">
            <v>0</v>
          </cell>
          <cell r="K302">
            <v>0</v>
          </cell>
        </row>
        <row r="303">
          <cell r="A303" t="str">
            <v/>
          </cell>
          <cell r="F303">
            <v>0</v>
          </cell>
          <cell r="G303">
            <v>0</v>
          </cell>
          <cell r="H303">
            <v>0</v>
          </cell>
          <cell r="I303">
            <v>0</v>
          </cell>
          <cell r="J303">
            <v>0</v>
          </cell>
          <cell r="K303">
            <v>0</v>
          </cell>
        </row>
        <row r="304">
          <cell r="A304" t="str">
            <v/>
          </cell>
          <cell r="F304">
            <v>0</v>
          </cell>
          <cell r="G304">
            <v>0</v>
          </cell>
          <cell r="H304">
            <v>0</v>
          </cell>
          <cell r="I304">
            <v>0</v>
          </cell>
          <cell r="J304">
            <v>0</v>
          </cell>
          <cell r="K304">
            <v>0</v>
          </cell>
        </row>
        <row r="305">
          <cell r="A305" t="str">
            <v/>
          </cell>
          <cell r="F305">
            <v>0</v>
          </cell>
          <cell r="G305">
            <v>0</v>
          </cell>
          <cell r="H305">
            <v>0</v>
          </cell>
          <cell r="I305">
            <v>0</v>
          </cell>
          <cell r="J305">
            <v>0</v>
          </cell>
          <cell r="K305">
            <v>0</v>
          </cell>
        </row>
        <row r="306">
          <cell r="A306" t="str">
            <v/>
          </cell>
          <cell r="F306">
            <v>0</v>
          </cell>
          <cell r="G306">
            <v>0</v>
          </cell>
          <cell r="H306">
            <v>0</v>
          </cell>
          <cell r="I306">
            <v>0</v>
          </cell>
          <cell r="J306">
            <v>0</v>
          </cell>
          <cell r="K306">
            <v>0</v>
          </cell>
        </row>
        <row r="307">
          <cell r="A307" t="str">
            <v/>
          </cell>
          <cell r="F307">
            <v>0</v>
          </cell>
          <cell r="G307">
            <v>0</v>
          </cell>
          <cell r="H307">
            <v>0</v>
          </cell>
          <cell r="I307">
            <v>0</v>
          </cell>
          <cell r="J307">
            <v>0</v>
          </cell>
          <cell r="K307">
            <v>0</v>
          </cell>
        </row>
        <row r="308">
          <cell r="A308" t="str">
            <v/>
          </cell>
          <cell r="F308">
            <v>0</v>
          </cell>
          <cell r="G308">
            <v>0</v>
          </cell>
          <cell r="H308">
            <v>0</v>
          </cell>
          <cell r="I308">
            <v>0</v>
          </cell>
          <cell r="J308">
            <v>0</v>
          </cell>
          <cell r="K308">
            <v>0</v>
          </cell>
        </row>
        <row r="309">
          <cell r="A309" t="str">
            <v/>
          </cell>
          <cell r="F309">
            <v>0</v>
          </cell>
          <cell r="G309">
            <v>0</v>
          </cell>
          <cell r="H309">
            <v>0</v>
          </cell>
          <cell r="I309">
            <v>0</v>
          </cell>
          <cell r="J309">
            <v>0</v>
          </cell>
          <cell r="K309">
            <v>0</v>
          </cell>
        </row>
        <row r="310">
          <cell r="A310" t="str">
            <v/>
          </cell>
          <cell r="F310">
            <v>0</v>
          </cell>
          <cell r="G310">
            <v>0</v>
          </cell>
          <cell r="H310">
            <v>0</v>
          </cell>
          <cell r="I310">
            <v>0</v>
          </cell>
          <cell r="J310">
            <v>0</v>
          </cell>
          <cell r="K310">
            <v>0</v>
          </cell>
        </row>
        <row r="311">
          <cell r="A311" t="str">
            <v/>
          </cell>
          <cell r="F311">
            <v>0</v>
          </cell>
          <cell r="G311">
            <v>0</v>
          </cell>
          <cell r="H311">
            <v>0</v>
          </cell>
          <cell r="I311">
            <v>0</v>
          </cell>
          <cell r="J311">
            <v>0</v>
          </cell>
          <cell r="K311">
            <v>0</v>
          </cell>
        </row>
        <row r="312">
          <cell r="A312" t="str">
            <v/>
          </cell>
          <cell r="F312">
            <v>0</v>
          </cell>
          <cell r="G312">
            <v>0</v>
          </cell>
          <cell r="H312">
            <v>0</v>
          </cell>
          <cell r="I312">
            <v>0</v>
          </cell>
          <cell r="J312">
            <v>0</v>
          </cell>
          <cell r="K312">
            <v>0</v>
          </cell>
        </row>
        <row r="313">
          <cell r="A313" t="str">
            <v/>
          </cell>
          <cell r="F313">
            <v>0</v>
          </cell>
          <cell r="G313">
            <v>0</v>
          </cell>
          <cell r="H313">
            <v>0</v>
          </cell>
          <cell r="I313">
            <v>0</v>
          </cell>
          <cell r="J313">
            <v>0</v>
          </cell>
          <cell r="K313">
            <v>0</v>
          </cell>
        </row>
        <row r="314">
          <cell r="A314" t="str">
            <v/>
          </cell>
          <cell r="F314">
            <v>0</v>
          </cell>
          <cell r="G314">
            <v>0</v>
          </cell>
          <cell r="H314">
            <v>0</v>
          </cell>
          <cell r="I314">
            <v>0</v>
          </cell>
          <cell r="J314">
            <v>0</v>
          </cell>
          <cell r="K314">
            <v>0</v>
          </cell>
        </row>
        <row r="315">
          <cell r="A315" t="str">
            <v/>
          </cell>
          <cell r="F315">
            <v>0</v>
          </cell>
          <cell r="G315">
            <v>0</v>
          </cell>
          <cell r="H315">
            <v>0</v>
          </cell>
          <cell r="I315">
            <v>0</v>
          </cell>
          <cell r="J315">
            <v>0</v>
          </cell>
          <cell r="K315">
            <v>0</v>
          </cell>
        </row>
        <row r="316">
          <cell r="A316" t="str">
            <v/>
          </cell>
          <cell r="F316">
            <v>0</v>
          </cell>
          <cell r="G316">
            <v>0</v>
          </cell>
          <cell r="H316">
            <v>0</v>
          </cell>
          <cell r="I316">
            <v>0</v>
          </cell>
          <cell r="J316">
            <v>0</v>
          </cell>
          <cell r="K316">
            <v>0</v>
          </cell>
        </row>
        <row r="317">
          <cell r="A317" t="str">
            <v/>
          </cell>
          <cell r="F317">
            <v>0</v>
          </cell>
          <cell r="G317">
            <v>0</v>
          </cell>
          <cell r="H317">
            <v>0</v>
          </cell>
          <cell r="I317">
            <v>0</v>
          </cell>
          <cell r="J317">
            <v>0</v>
          </cell>
          <cell r="K317">
            <v>0</v>
          </cell>
        </row>
        <row r="318">
          <cell r="A318" t="str">
            <v/>
          </cell>
          <cell r="F318">
            <v>0</v>
          </cell>
          <cell r="G318">
            <v>0</v>
          </cell>
          <cell r="H318">
            <v>0</v>
          </cell>
          <cell r="I318">
            <v>0</v>
          </cell>
          <cell r="J318">
            <v>0</v>
          </cell>
          <cell r="K318">
            <v>0</v>
          </cell>
        </row>
        <row r="319">
          <cell r="A319" t="str">
            <v/>
          </cell>
          <cell r="F319">
            <v>0</v>
          </cell>
          <cell r="G319">
            <v>0</v>
          </cell>
          <cell r="H319">
            <v>0</v>
          </cell>
          <cell r="I319">
            <v>0</v>
          </cell>
          <cell r="J319">
            <v>0</v>
          </cell>
          <cell r="K319">
            <v>0</v>
          </cell>
        </row>
        <row r="320">
          <cell r="A320" t="str">
            <v/>
          </cell>
          <cell r="F320">
            <v>0</v>
          </cell>
          <cell r="G320">
            <v>0</v>
          </cell>
          <cell r="H320">
            <v>0</v>
          </cell>
          <cell r="I320">
            <v>0</v>
          </cell>
          <cell r="J320">
            <v>0</v>
          </cell>
          <cell r="K320">
            <v>0</v>
          </cell>
        </row>
        <row r="321">
          <cell r="A321" t="str">
            <v/>
          </cell>
          <cell r="F321">
            <v>0</v>
          </cell>
          <cell r="G321">
            <v>0</v>
          </cell>
          <cell r="H321">
            <v>0</v>
          </cell>
          <cell r="I321">
            <v>0</v>
          </cell>
          <cell r="J321">
            <v>0</v>
          </cell>
          <cell r="K321">
            <v>0</v>
          </cell>
        </row>
        <row r="322">
          <cell r="A322" t="str">
            <v/>
          </cell>
          <cell r="F322">
            <v>0</v>
          </cell>
          <cell r="G322">
            <v>0</v>
          </cell>
          <cell r="H322">
            <v>0</v>
          </cell>
          <cell r="I322">
            <v>0</v>
          </cell>
          <cell r="J322">
            <v>0</v>
          </cell>
          <cell r="K322">
            <v>0</v>
          </cell>
        </row>
        <row r="323">
          <cell r="A323" t="str">
            <v/>
          </cell>
          <cell r="F323">
            <v>0</v>
          </cell>
          <cell r="G323">
            <v>0</v>
          </cell>
          <cell r="H323">
            <v>0</v>
          </cell>
          <cell r="I323">
            <v>0</v>
          </cell>
          <cell r="J323">
            <v>0</v>
          </cell>
          <cell r="K323">
            <v>0</v>
          </cell>
        </row>
        <row r="324">
          <cell r="A324" t="str">
            <v/>
          </cell>
          <cell r="F324">
            <v>0</v>
          </cell>
          <cell r="G324">
            <v>0</v>
          </cell>
          <cell r="H324">
            <v>0</v>
          </cell>
          <cell r="I324">
            <v>0</v>
          </cell>
          <cell r="J324">
            <v>0</v>
          </cell>
          <cell r="K324">
            <v>0</v>
          </cell>
        </row>
        <row r="325">
          <cell r="A325" t="str">
            <v/>
          </cell>
          <cell r="F325">
            <v>0</v>
          </cell>
          <cell r="G325">
            <v>0</v>
          </cell>
          <cell r="H325">
            <v>0</v>
          </cell>
          <cell r="I325">
            <v>0</v>
          </cell>
          <cell r="J325">
            <v>0</v>
          </cell>
          <cell r="K325">
            <v>0</v>
          </cell>
        </row>
        <row r="326">
          <cell r="A326" t="str">
            <v/>
          </cell>
          <cell r="F326">
            <v>0</v>
          </cell>
          <cell r="G326">
            <v>0</v>
          </cell>
          <cell r="H326">
            <v>0</v>
          </cell>
          <cell r="I326">
            <v>0</v>
          </cell>
          <cell r="J326">
            <v>0</v>
          </cell>
          <cell r="K326">
            <v>0</v>
          </cell>
        </row>
        <row r="327">
          <cell r="A327" t="str">
            <v/>
          </cell>
          <cell r="F327">
            <v>0</v>
          </cell>
          <cell r="G327">
            <v>0</v>
          </cell>
          <cell r="H327">
            <v>0</v>
          </cell>
          <cell r="I327">
            <v>0</v>
          </cell>
          <cell r="J327">
            <v>0</v>
          </cell>
          <cell r="K327">
            <v>0</v>
          </cell>
        </row>
        <row r="328">
          <cell r="A328" t="str">
            <v/>
          </cell>
          <cell r="F328">
            <v>0</v>
          </cell>
          <cell r="G328">
            <v>0</v>
          </cell>
          <cell r="H328">
            <v>0</v>
          </cell>
          <cell r="I328">
            <v>0</v>
          </cell>
          <cell r="J328">
            <v>0</v>
          </cell>
          <cell r="K328">
            <v>0</v>
          </cell>
        </row>
        <row r="329">
          <cell r="A329" t="str">
            <v/>
          </cell>
          <cell r="F329">
            <v>0</v>
          </cell>
          <cell r="G329">
            <v>0</v>
          </cell>
          <cell r="H329">
            <v>0</v>
          </cell>
          <cell r="I329">
            <v>0</v>
          </cell>
          <cell r="J329">
            <v>0</v>
          </cell>
          <cell r="K329">
            <v>0</v>
          </cell>
        </row>
        <row r="330">
          <cell r="A330" t="str">
            <v/>
          </cell>
          <cell r="F330">
            <v>0</v>
          </cell>
          <cell r="G330">
            <v>0</v>
          </cell>
          <cell r="H330">
            <v>0</v>
          </cell>
          <cell r="I330">
            <v>0</v>
          </cell>
          <cell r="J330">
            <v>0</v>
          </cell>
          <cell r="K330">
            <v>0</v>
          </cell>
        </row>
        <row r="331">
          <cell r="A331" t="str">
            <v/>
          </cell>
          <cell r="F331">
            <v>0</v>
          </cell>
          <cell r="G331">
            <v>0</v>
          </cell>
          <cell r="H331">
            <v>0</v>
          </cell>
          <cell r="I331">
            <v>0</v>
          </cell>
          <cell r="J331">
            <v>0</v>
          </cell>
          <cell r="K331">
            <v>0</v>
          </cell>
        </row>
        <row r="332">
          <cell r="A332" t="str">
            <v/>
          </cell>
          <cell r="F332">
            <v>0</v>
          </cell>
          <cell r="G332">
            <v>0</v>
          </cell>
          <cell r="H332">
            <v>0</v>
          </cell>
          <cell r="I332">
            <v>0</v>
          </cell>
          <cell r="J332">
            <v>0</v>
          </cell>
          <cell r="K332">
            <v>0</v>
          </cell>
        </row>
        <row r="333">
          <cell r="A333" t="str">
            <v/>
          </cell>
          <cell r="F333">
            <v>0</v>
          </cell>
          <cell r="G333">
            <v>0</v>
          </cell>
          <cell r="H333">
            <v>0</v>
          </cell>
          <cell r="I333">
            <v>0</v>
          </cell>
          <cell r="J333">
            <v>0</v>
          </cell>
          <cell r="K333">
            <v>0</v>
          </cell>
        </row>
        <row r="334">
          <cell r="A334" t="str">
            <v/>
          </cell>
          <cell r="F334">
            <v>0</v>
          </cell>
          <cell r="G334">
            <v>0</v>
          </cell>
          <cell r="H334">
            <v>0</v>
          </cell>
          <cell r="I334">
            <v>0</v>
          </cell>
          <cell r="J334">
            <v>0</v>
          </cell>
          <cell r="K334">
            <v>0</v>
          </cell>
        </row>
        <row r="335">
          <cell r="A335" t="str">
            <v/>
          </cell>
          <cell r="F335">
            <v>0</v>
          </cell>
          <cell r="G335">
            <v>0</v>
          </cell>
          <cell r="H335">
            <v>0</v>
          </cell>
          <cell r="I335">
            <v>0</v>
          </cell>
          <cell r="J335">
            <v>0</v>
          </cell>
          <cell r="K335">
            <v>0</v>
          </cell>
        </row>
        <row r="336">
          <cell r="A336" t="str">
            <v/>
          </cell>
          <cell r="F336">
            <v>0</v>
          </cell>
          <cell r="G336">
            <v>0</v>
          </cell>
          <cell r="H336">
            <v>0</v>
          </cell>
          <cell r="I336">
            <v>0</v>
          </cell>
          <cell r="J336">
            <v>0</v>
          </cell>
          <cell r="K336">
            <v>0</v>
          </cell>
        </row>
        <row r="337">
          <cell r="A337" t="str">
            <v/>
          </cell>
          <cell r="F337">
            <v>0</v>
          </cell>
          <cell r="G337">
            <v>0</v>
          </cell>
          <cell r="H337">
            <v>0</v>
          </cell>
          <cell r="I337">
            <v>0</v>
          </cell>
          <cell r="J337">
            <v>0</v>
          </cell>
          <cell r="K337">
            <v>0</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row r="911">
          <cell r="A911" t="str">
            <v/>
          </cell>
        </row>
        <row r="912">
          <cell r="A912" t="str">
            <v/>
          </cell>
        </row>
        <row r="913">
          <cell r="A913" t="str">
            <v/>
          </cell>
        </row>
        <row r="914">
          <cell r="A914" t="str">
            <v/>
          </cell>
        </row>
        <row r="915">
          <cell r="A915" t="str">
            <v/>
          </cell>
        </row>
        <row r="916">
          <cell r="A916" t="str">
            <v/>
          </cell>
        </row>
        <row r="917">
          <cell r="A917" t="str">
            <v/>
          </cell>
        </row>
        <row r="918">
          <cell r="A918" t="str">
            <v/>
          </cell>
        </row>
        <row r="919">
          <cell r="A919" t="str">
            <v/>
          </cell>
        </row>
        <row r="920">
          <cell r="A920" t="str">
            <v/>
          </cell>
        </row>
        <row r="921">
          <cell r="A921" t="str">
            <v/>
          </cell>
        </row>
        <row r="922">
          <cell r="A922" t="str">
            <v/>
          </cell>
        </row>
        <row r="923">
          <cell r="A923" t="str">
            <v/>
          </cell>
        </row>
        <row r="924">
          <cell r="A924" t="str">
            <v/>
          </cell>
        </row>
        <row r="925">
          <cell r="A925" t="str">
            <v/>
          </cell>
        </row>
        <row r="926">
          <cell r="A926" t="str">
            <v/>
          </cell>
        </row>
        <row r="927">
          <cell r="A927" t="str">
            <v/>
          </cell>
        </row>
        <row r="928">
          <cell r="A928" t="str">
            <v/>
          </cell>
        </row>
        <row r="929">
          <cell r="A929" t="str">
            <v/>
          </cell>
        </row>
        <row r="930">
          <cell r="A930" t="str">
            <v/>
          </cell>
        </row>
        <row r="931">
          <cell r="A931" t="str">
            <v/>
          </cell>
        </row>
        <row r="932">
          <cell r="A932" t="str">
            <v/>
          </cell>
        </row>
        <row r="933">
          <cell r="A933" t="str">
            <v/>
          </cell>
        </row>
        <row r="934">
          <cell r="A934" t="str">
            <v/>
          </cell>
        </row>
        <row r="935">
          <cell r="A935" t="str">
            <v/>
          </cell>
        </row>
        <row r="936">
          <cell r="A936" t="str">
            <v/>
          </cell>
        </row>
        <row r="937">
          <cell r="A937" t="str">
            <v/>
          </cell>
        </row>
        <row r="938">
          <cell r="A938" t="str">
            <v/>
          </cell>
        </row>
        <row r="939">
          <cell r="A939" t="str">
            <v/>
          </cell>
        </row>
        <row r="940">
          <cell r="A940" t="str">
            <v/>
          </cell>
        </row>
        <row r="941">
          <cell r="A941" t="str">
            <v/>
          </cell>
        </row>
        <row r="942">
          <cell r="A942" t="str">
            <v/>
          </cell>
        </row>
        <row r="943">
          <cell r="A943" t="str">
            <v/>
          </cell>
        </row>
        <row r="944">
          <cell r="A944" t="str">
            <v/>
          </cell>
        </row>
        <row r="945">
          <cell r="A945" t="str">
            <v/>
          </cell>
        </row>
        <row r="946">
          <cell r="A946" t="str">
            <v/>
          </cell>
        </row>
        <row r="947">
          <cell r="A947" t="str">
            <v/>
          </cell>
        </row>
        <row r="948">
          <cell r="A948" t="str">
            <v/>
          </cell>
        </row>
        <row r="949">
          <cell r="A949" t="str">
            <v/>
          </cell>
        </row>
        <row r="950">
          <cell r="A950" t="str">
            <v/>
          </cell>
        </row>
        <row r="951">
          <cell r="A951" t="str">
            <v/>
          </cell>
        </row>
        <row r="952">
          <cell r="A952" t="str">
            <v/>
          </cell>
        </row>
        <row r="953">
          <cell r="A953" t="str">
            <v/>
          </cell>
        </row>
        <row r="954">
          <cell r="A954" t="str">
            <v/>
          </cell>
        </row>
        <row r="955">
          <cell r="A955" t="str">
            <v/>
          </cell>
        </row>
        <row r="956">
          <cell r="A956" t="str">
            <v/>
          </cell>
        </row>
        <row r="957">
          <cell r="A957" t="str">
            <v/>
          </cell>
        </row>
        <row r="958">
          <cell r="A958" t="str">
            <v/>
          </cell>
        </row>
        <row r="959">
          <cell r="A959" t="str">
            <v/>
          </cell>
        </row>
        <row r="960">
          <cell r="A960" t="str">
            <v/>
          </cell>
        </row>
        <row r="961">
          <cell r="A961" t="str">
            <v/>
          </cell>
        </row>
        <row r="962">
          <cell r="A962" t="str">
            <v/>
          </cell>
        </row>
        <row r="963">
          <cell r="A963" t="str">
            <v/>
          </cell>
        </row>
        <row r="964">
          <cell r="A964" t="str">
            <v/>
          </cell>
        </row>
        <row r="965">
          <cell r="A965" t="str">
            <v/>
          </cell>
        </row>
        <row r="966">
          <cell r="A966" t="str">
            <v/>
          </cell>
        </row>
        <row r="967">
          <cell r="A967" t="str">
            <v/>
          </cell>
        </row>
        <row r="968">
          <cell r="A968" t="str">
            <v/>
          </cell>
        </row>
        <row r="969">
          <cell r="A969" t="str">
            <v/>
          </cell>
        </row>
        <row r="970">
          <cell r="A970" t="str">
            <v/>
          </cell>
        </row>
        <row r="971">
          <cell r="A971" t="str">
            <v/>
          </cell>
        </row>
        <row r="972">
          <cell r="A972" t="str">
            <v/>
          </cell>
        </row>
        <row r="973">
          <cell r="A973" t="str">
            <v/>
          </cell>
        </row>
        <row r="974">
          <cell r="A974" t="str">
            <v/>
          </cell>
        </row>
        <row r="975">
          <cell r="A975" t="str">
            <v/>
          </cell>
        </row>
        <row r="976">
          <cell r="A976" t="str">
            <v/>
          </cell>
        </row>
        <row r="977">
          <cell r="A977" t="str">
            <v/>
          </cell>
        </row>
        <row r="978">
          <cell r="A978" t="str">
            <v/>
          </cell>
        </row>
        <row r="979">
          <cell r="A979" t="str">
            <v/>
          </cell>
        </row>
        <row r="980">
          <cell r="A980" t="str">
            <v/>
          </cell>
        </row>
        <row r="981">
          <cell r="A981" t="str">
            <v/>
          </cell>
        </row>
        <row r="982">
          <cell r="A982" t="str">
            <v/>
          </cell>
        </row>
        <row r="983">
          <cell r="A983" t="str">
            <v/>
          </cell>
        </row>
        <row r="984">
          <cell r="A984" t="str">
            <v/>
          </cell>
        </row>
        <row r="985">
          <cell r="A985" t="str">
            <v/>
          </cell>
        </row>
        <row r="986">
          <cell r="A986" t="str">
            <v/>
          </cell>
        </row>
        <row r="987">
          <cell r="A987" t="str">
            <v/>
          </cell>
        </row>
        <row r="988">
          <cell r="A988" t="str">
            <v/>
          </cell>
        </row>
        <row r="989">
          <cell r="A989" t="str">
            <v/>
          </cell>
        </row>
        <row r="990">
          <cell r="A990" t="str">
            <v/>
          </cell>
        </row>
        <row r="991">
          <cell r="A991" t="str">
            <v/>
          </cell>
        </row>
        <row r="992">
          <cell r="A992" t="str">
            <v/>
          </cell>
        </row>
        <row r="993">
          <cell r="A993" t="str">
            <v/>
          </cell>
        </row>
        <row r="994">
          <cell r="A994" t="str">
            <v/>
          </cell>
        </row>
        <row r="995">
          <cell r="A995" t="str">
            <v/>
          </cell>
        </row>
        <row r="996">
          <cell r="A996" t="str">
            <v/>
          </cell>
        </row>
        <row r="997">
          <cell r="A997" t="str">
            <v/>
          </cell>
        </row>
        <row r="998">
          <cell r="A998" t="str">
            <v/>
          </cell>
        </row>
        <row r="999">
          <cell r="A999" t="str">
            <v/>
          </cell>
        </row>
        <row r="1000">
          <cell r="A1000" t="str">
            <v/>
          </cell>
        </row>
        <row r="1001">
          <cell r="A1001" t="str">
            <v/>
          </cell>
        </row>
        <row r="1002">
          <cell r="A1002" t="str">
            <v/>
          </cell>
        </row>
        <row r="1003">
          <cell r="A1003" t="str">
            <v/>
          </cell>
        </row>
        <row r="1004">
          <cell r="A1004" t="str">
            <v/>
          </cell>
        </row>
        <row r="1005">
          <cell r="A1005" t="str">
            <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5">
          <cell r="D5">
            <v>26368.682800132825</v>
          </cell>
        </row>
      </sheetData>
      <sheetData sheetId="28">
        <row r="5">
          <cell r="D5">
            <v>34764.094400176145</v>
          </cell>
        </row>
      </sheetData>
      <sheetData sheetId="29">
        <row r="5">
          <cell r="D5">
            <v>36237.752800240902</v>
          </cell>
        </row>
      </sheetData>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row r="2">
          <cell r="B2">
            <v>34.764094400176148</v>
          </cell>
        </row>
      </sheetData>
      <sheetData sheetId="54"/>
      <sheetData sheetId="55"/>
      <sheetData sheetId="56"/>
      <sheetData sheetId="57"/>
      <sheetData sheetId="58"/>
      <sheetData sheetId="59"/>
      <sheetData sheetId="60"/>
      <sheetData sheetId="61"/>
      <sheetData sheetId="6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C US Rollup"/>
      <sheetName val="Sheet2"/>
      <sheetName val="Sheet3"/>
      <sheetName val="CFA Rollup"/>
    </sheetNames>
    <sheetDataSet>
      <sheetData sheetId="0" refreshError="1"/>
      <sheetData sheetId="1" refreshError="1"/>
      <sheetData sheetId="2" refreshError="1"/>
      <sheetData sheetId="3" refreshError="1"/>
    </sheetDataSet>
  </externalBook>
</externalLink>
</file>

<file path=xl/persons/person.xml><?xml version="1.0" encoding="utf-8"?>
<personList xmlns="http://schemas.microsoft.com/office/spreadsheetml/2018/threadedcomments" xmlns:x="http://schemas.openxmlformats.org/spreadsheetml/2006/main">
  <person displayName="Jennifer Pohlman" id="{D1D6ACE7-8E86-4D2F-ADDE-CCAD7EE215EF}" userId="S::JPohlman@trinityconsultants.com::16ee12e6-d08b-41be-9cd7-0203cb1da38f"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5" dT="2020-08-26T16:27:06.47" personId="{D1D6ACE7-8E86-4D2F-ADDE-CCAD7EE215EF}" id="{3895373C-9614-4C0A-B447-FD06EA3AEC21}">
    <text>Updated to v0.4 (updated stack orientation and height) model results.</text>
  </threadedComment>
  <threadedComment ref="D17" dT="2020-08-26T16:27:10.11" personId="{D1D6ACE7-8E86-4D2F-ADDE-CCAD7EE215EF}" id="{112793C8-6229-44E8-9C76-20145FC142F4}">
    <text>Updated to v0.4 (updated stack orientation and height) model results.</text>
  </threadedComment>
</ThreadedComment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0.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2DE152-CE51-4656-AC6C-10A12B6E16FD}">
  <sheetPr codeName="Sheet1">
    <tabColor theme="1"/>
  </sheetPr>
  <dimension ref="A1"/>
  <sheetViews>
    <sheetView workbookViewId="0"/>
  </sheetViews>
  <sheetFormatPr defaultRowHeight="15" x14ac:dyDescent="0.25"/>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D6A2C-7586-4D76-96D1-6E5983B124E2}">
  <sheetPr codeName="Sheet7"/>
  <dimension ref="A1:G99"/>
  <sheetViews>
    <sheetView workbookViewId="0">
      <selection activeCell="K27" sqref="K27"/>
    </sheetView>
  </sheetViews>
  <sheetFormatPr defaultRowHeight="15" x14ac:dyDescent="0.25"/>
  <cols>
    <col min="1" max="1" width="18.85546875" customWidth="1"/>
    <col min="2" max="2" width="15.5703125" customWidth="1"/>
    <col min="3" max="3" width="18.85546875" customWidth="1"/>
    <col min="4" max="4" width="16.42578125" customWidth="1"/>
    <col min="5" max="5" width="20.140625" customWidth="1"/>
    <col min="6" max="6" width="15.5703125" customWidth="1"/>
    <col min="7" max="7" width="25.85546875" customWidth="1"/>
  </cols>
  <sheetData>
    <row r="1" spans="1:7" x14ac:dyDescent="0.25">
      <c r="A1" t="s">
        <v>242</v>
      </c>
      <c r="B1" t="s">
        <v>243</v>
      </c>
      <c r="C1" t="s">
        <v>244</v>
      </c>
      <c r="D1" t="s">
        <v>355</v>
      </c>
      <c r="E1" t="s">
        <v>356</v>
      </c>
      <c r="F1" t="s">
        <v>246</v>
      </c>
      <c r="G1" t="s">
        <v>248</v>
      </c>
    </row>
    <row r="2" spans="1:7" x14ac:dyDescent="0.25">
      <c r="A2" t="s">
        <v>345</v>
      </c>
      <c r="B2">
        <v>293903.2</v>
      </c>
      <c r="C2">
        <v>5079885.0999999996</v>
      </c>
      <c r="D2">
        <v>796.85</v>
      </c>
      <c r="E2">
        <v>0.62632410000000005</v>
      </c>
      <c r="F2" t="s">
        <v>357</v>
      </c>
      <c r="G2" t="s">
        <v>351</v>
      </c>
    </row>
    <row r="3" spans="1:7" x14ac:dyDescent="0.25">
      <c r="A3" t="s">
        <v>287</v>
      </c>
      <c r="B3">
        <v>293903.2</v>
      </c>
      <c r="C3">
        <v>5079885.0999999996</v>
      </c>
      <c r="D3">
        <v>167.58</v>
      </c>
      <c r="E3">
        <v>0.23628779999999999</v>
      </c>
      <c r="F3" t="s">
        <v>357</v>
      </c>
      <c r="G3" t="s">
        <v>351</v>
      </c>
    </row>
    <row r="4" spans="1:7" x14ac:dyDescent="0.25">
      <c r="A4" t="s">
        <v>290</v>
      </c>
      <c r="B4">
        <v>293903.2</v>
      </c>
      <c r="C4">
        <v>5079885.0999999996</v>
      </c>
      <c r="D4">
        <v>121.20099999999999</v>
      </c>
      <c r="E4">
        <v>0.17089341</v>
      </c>
      <c r="F4" t="s">
        <v>357</v>
      </c>
      <c r="G4" t="s">
        <v>351</v>
      </c>
    </row>
    <row r="5" spans="1:7" x14ac:dyDescent="0.25">
      <c r="A5" t="s">
        <v>283</v>
      </c>
      <c r="B5">
        <v>293903.2</v>
      </c>
      <c r="C5">
        <v>5079885.0999999996</v>
      </c>
      <c r="D5">
        <v>111.676</v>
      </c>
      <c r="E5">
        <v>0.15746315999999999</v>
      </c>
      <c r="F5" t="s">
        <v>357</v>
      </c>
      <c r="G5" t="s">
        <v>351</v>
      </c>
    </row>
    <row r="6" spans="1:7" x14ac:dyDescent="0.25">
      <c r="A6" t="s">
        <v>289</v>
      </c>
      <c r="B6">
        <v>293903.2</v>
      </c>
      <c r="C6">
        <v>5079885.0999999996</v>
      </c>
      <c r="D6">
        <v>108.504</v>
      </c>
      <c r="E6">
        <v>0.15299064000000001</v>
      </c>
      <c r="F6" t="s">
        <v>357</v>
      </c>
      <c r="G6" t="s">
        <v>351</v>
      </c>
    </row>
    <row r="7" spans="1:7" x14ac:dyDescent="0.25">
      <c r="A7" t="s">
        <v>281</v>
      </c>
      <c r="B7">
        <v>293903.2</v>
      </c>
      <c r="C7">
        <v>5079885.0999999996</v>
      </c>
      <c r="D7">
        <v>106.785</v>
      </c>
      <c r="E7">
        <v>0.15056685</v>
      </c>
      <c r="F7" t="s">
        <v>357</v>
      </c>
      <c r="G7" t="s">
        <v>351</v>
      </c>
    </row>
    <row r="8" spans="1:7" x14ac:dyDescent="0.25">
      <c r="A8" t="s">
        <v>292</v>
      </c>
      <c r="B8">
        <v>293903.2</v>
      </c>
      <c r="C8">
        <v>5079885.0999999996</v>
      </c>
      <c r="D8">
        <v>106.036</v>
      </c>
      <c r="E8">
        <v>0.14951075999999999</v>
      </c>
      <c r="F8" t="s">
        <v>357</v>
      </c>
      <c r="G8" t="s">
        <v>351</v>
      </c>
    </row>
    <row r="9" spans="1:7" x14ac:dyDescent="0.25">
      <c r="A9" t="s">
        <v>342</v>
      </c>
      <c r="B9">
        <v>293903.2</v>
      </c>
      <c r="C9">
        <v>5079885.0999999996</v>
      </c>
      <c r="D9">
        <v>230.09399999999999</v>
      </c>
      <c r="E9">
        <v>0.13483508399999999</v>
      </c>
      <c r="F9" t="s">
        <v>357</v>
      </c>
      <c r="G9" t="s">
        <v>351</v>
      </c>
    </row>
    <row r="10" spans="1:7" x14ac:dyDescent="0.25">
      <c r="A10" t="s">
        <v>284</v>
      </c>
      <c r="B10">
        <v>293903.2</v>
      </c>
      <c r="C10">
        <v>5079885.0999999996</v>
      </c>
      <c r="D10">
        <v>94.055199999999999</v>
      </c>
      <c r="E10">
        <v>0.13261783199999999</v>
      </c>
      <c r="F10" t="s">
        <v>357</v>
      </c>
      <c r="G10" t="s">
        <v>351</v>
      </c>
    </row>
    <row r="11" spans="1:7" x14ac:dyDescent="0.25">
      <c r="A11" t="s">
        <v>282</v>
      </c>
      <c r="B11">
        <v>293903.2</v>
      </c>
      <c r="C11">
        <v>5079885.0999999996</v>
      </c>
      <c r="D11">
        <v>93.426400000000001</v>
      </c>
      <c r="E11">
        <v>0.13173122400000001</v>
      </c>
      <c r="F11" t="s">
        <v>357</v>
      </c>
      <c r="G11" t="s">
        <v>351</v>
      </c>
    </row>
    <row r="12" spans="1:7" x14ac:dyDescent="0.25">
      <c r="A12" t="s">
        <v>291</v>
      </c>
      <c r="B12">
        <v>293903.2</v>
      </c>
      <c r="C12">
        <v>5079885.0999999996</v>
      </c>
      <c r="D12">
        <v>92.046400000000006</v>
      </c>
      <c r="E12">
        <v>0.12978542400000001</v>
      </c>
      <c r="F12" t="s">
        <v>357</v>
      </c>
      <c r="G12" t="s">
        <v>351</v>
      </c>
    </row>
    <row r="13" spans="1:7" x14ac:dyDescent="0.25">
      <c r="A13" t="s">
        <v>262</v>
      </c>
      <c r="B13">
        <v>293903.2</v>
      </c>
      <c r="C13">
        <v>5079885.0999999996</v>
      </c>
      <c r="D13">
        <v>65.585700000000003</v>
      </c>
      <c r="E13">
        <v>0.116742546</v>
      </c>
      <c r="F13" t="s">
        <v>357</v>
      </c>
      <c r="G13" t="s">
        <v>351</v>
      </c>
    </row>
    <row r="14" spans="1:7" x14ac:dyDescent="0.25">
      <c r="A14" t="s">
        <v>294</v>
      </c>
      <c r="B14">
        <v>293903.2</v>
      </c>
      <c r="C14">
        <v>5079885.0999999996</v>
      </c>
      <c r="D14">
        <v>82.163399999999996</v>
      </c>
      <c r="E14">
        <v>0.115850394</v>
      </c>
      <c r="F14" t="s">
        <v>357</v>
      </c>
      <c r="G14" t="s">
        <v>351</v>
      </c>
    </row>
    <row r="15" spans="1:7" x14ac:dyDescent="0.25">
      <c r="A15" t="s">
        <v>344</v>
      </c>
      <c r="B15">
        <v>293903.2</v>
      </c>
      <c r="C15">
        <v>5079885.0999999996</v>
      </c>
      <c r="D15">
        <v>191.28</v>
      </c>
      <c r="E15">
        <v>0.11209007999999999</v>
      </c>
      <c r="F15" t="s">
        <v>357</v>
      </c>
      <c r="G15" t="s">
        <v>351</v>
      </c>
    </row>
    <row r="16" spans="1:7" x14ac:dyDescent="0.25">
      <c r="A16" t="s">
        <v>261</v>
      </c>
      <c r="B16">
        <v>293903.2</v>
      </c>
      <c r="C16">
        <v>5079885.0999999996</v>
      </c>
      <c r="D16">
        <v>62.528799999999997</v>
      </c>
      <c r="E16">
        <v>0.111301264</v>
      </c>
      <c r="F16" t="s">
        <v>357</v>
      </c>
      <c r="G16" t="s">
        <v>351</v>
      </c>
    </row>
    <row r="17" spans="1:7" x14ac:dyDescent="0.25">
      <c r="A17" t="s">
        <v>260</v>
      </c>
      <c r="B17">
        <v>293903.2</v>
      </c>
      <c r="C17">
        <v>5079885.0999999996</v>
      </c>
      <c r="D17">
        <v>56.89</v>
      </c>
      <c r="E17">
        <v>0.1012642</v>
      </c>
      <c r="F17" t="s">
        <v>357</v>
      </c>
      <c r="G17" t="s">
        <v>351</v>
      </c>
    </row>
    <row r="18" spans="1:7" x14ac:dyDescent="0.25">
      <c r="A18" t="s">
        <v>293</v>
      </c>
      <c r="B18">
        <v>293903.2</v>
      </c>
      <c r="C18">
        <v>5079885.0999999996</v>
      </c>
      <c r="D18">
        <v>66.817700000000002</v>
      </c>
      <c r="E18">
        <v>9.4212957E-2</v>
      </c>
      <c r="F18" t="s">
        <v>357</v>
      </c>
      <c r="G18" t="s">
        <v>351</v>
      </c>
    </row>
    <row r="19" spans="1:7" x14ac:dyDescent="0.25">
      <c r="A19" t="s">
        <v>286</v>
      </c>
      <c r="B19">
        <v>293903.2</v>
      </c>
      <c r="C19">
        <v>5079885.0999999996</v>
      </c>
      <c r="D19">
        <v>61.677700000000002</v>
      </c>
      <c r="E19">
        <v>8.6965556999999999E-2</v>
      </c>
      <c r="F19" t="s">
        <v>357</v>
      </c>
      <c r="G19" t="s">
        <v>351</v>
      </c>
    </row>
    <row r="20" spans="1:7" x14ac:dyDescent="0.25">
      <c r="A20" t="s">
        <v>264</v>
      </c>
      <c r="B20">
        <v>293903.2</v>
      </c>
      <c r="C20">
        <v>5079885.0999999996</v>
      </c>
      <c r="D20">
        <v>58.333300000000001</v>
      </c>
      <c r="E20">
        <v>8.2249953000000001E-2</v>
      </c>
      <c r="F20" t="s">
        <v>357</v>
      </c>
      <c r="G20" t="s">
        <v>351</v>
      </c>
    </row>
    <row r="21" spans="1:7" x14ac:dyDescent="0.25">
      <c r="A21" t="s">
        <v>295</v>
      </c>
      <c r="B21">
        <v>293903.2</v>
      </c>
      <c r="C21">
        <v>5079885.0999999996</v>
      </c>
      <c r="D21">
        <v>58.019599999999997</v>
      </c>
      <c r="E21">
        <v>8.1807636000000003E-2</v>
      </c>
      <c r="F21" t="s">
        <v>357</v>
      </c>
      <c r="G21" t="s">
        <v>351</v>
      </c>
    </row>
    <row r="22" spans="1:7" x14ac:dyDescent="0.25">
      <c r="A22" t="s">
        <v>265</v>
      </c>
      <c r="B22">
        <v>293903.2</v>
      </c>
      <c r="C22">
        <v>5079885.0999999996</v>
      </c>
      <c r="D22">
        <v>57.7956</v>
      </c>
      <c r="E22">
        <v>8.1491796000000005E-2</v>
      </c>
      <c r="F22" t="s">
        <v>357</v>
      </c>
      <c r="G22" t="s">
        <v>351</v>
      </c>
    </row>
    <row r="23" spans="1:7" x14ac:dyDescent="0.25">
      <c r="A23" t="s">
        <v>288</v>
      </c>
      <c r="B23">
        <v>293903.2</v>
      </c>
      <c r="C23">
        <v>5079885.0999999996</v>
      </c>
      <c r="D23">
        <v>57.784399999999998</v>
      </c>
      <c r="E23">
        <v>8.1476004000000005E-2</v>
      </c>
      <c r="F23" t="s">
        <v>357</v>
      </c>
      <c r="G23" t="s">
        <v>351</v>
      </c>
    </row>
    <row r="24" spans="1:7" x14ac:dyDescent="0.25">
      <c r="A24" t="s">
        <v>266</v>
      </c>
      <c r="B24">
        <v>293903.2</v>
      </c>
      <c r="C24">
        <v>5079885.0999999996</v>
      </c>
      <c r="D24">
        <v>57.390500000000003</v>
      </c>
      <c r="E24">
        <v>8.0920605000000007E-2</v>
      </c>
      <c r="F24" t="s">
        <v>357</v>
      </c>
      <c r="G24" t="s">
        <v>351</v>
      </c>
    </row>
    <row r="25" spans="1:7" x14ac:dyDescent="0.25">
      <c r="A25" t="s">
        <v>263</v>
      </c>
      <c r="B25">
        <v>293903.2</v>
      </c>
      <c r="C25">
        <v>5079885.0999999996</v>
      </c>
      <c r="D25">
        <v>56.612200000000001</v>
      </c>
      <c r="E25">
        <v>7.9823201999999996E-2</v>
      </c>
      <c r="F25" t="s">
        <v>357</v>
      </c>
      <c r="G25" t="s">
        <v>351</v>
      </c>
    </row>
    <row r="26" spans="1:7" x14ac:dyDescent="0.25">
      <c r="A26" t="s">
        <v>340</v>
      </c>
      <c r="B26">
        <v>293903.2</v>
      </c>
      <c r="C26">
        <v>5079885.0999999996</v>
      </c>
      <c r="D26">
        <v>126.578</v>
      </c>
      <c r="E26">
        <v>7.9364405999999998E-2</v>
      </c>
      <c r="F26" t="s">
        <v>357</v>
      </c>
      <c r="G26" t="s">
        <v>351</v>
      </c>
    </row>
    <row r="27" spans="1:7" x14ac:dyDescent="0.25">
      <c r="A27" t="s">
        <v>267</v>
      </c>
      <c r="B27">
        <v>293903.2</v>
      </c>
      <c r="C27">
        <v>5079885.0999999996</v>
      </c>
      <c r="D27">
        <v>54.661200000000001</v>
      </c>
      <c r="E27">
        <v>7.7072292000000001E-2</v>
      </c>
      <c r="F27" t="s">
        <v>357</v>
      </c>
      <c r="G27" t="s">
        <v>351</v>
      </c>
    </row>
    <row r="28" spans="1:7" x14ac:dyDescent="0.25">
      <c r="A28" t="s">
        <v>285</v>
      </c>
      <c r="B28">
        <v>293903.2</v>
      </c>
      <c r="C28">
        <v>5079885.0999999996</v>
      </c>
      <c r="D28">
        <v>52.895699999999998</v>
      </c>
      <c r="E28">
        <v>7.4582937000000002E-2</v>
      </c>
      <c r="F28" t="s">
        <v>357</v>
      </c>
      <c r="G28" t="s">
        <v>351</v>
      </c>
    </row>
    <row r="29" spans="1:7" x14ac:dyDescent="0.25">
      <c r="A29" t="s">
        <v>341</v>
      </c>
      <c r="B29">
        <v>293903.2</v>
      </c>
      <c r="C29">
        <v>5079885.0999999996</v>
      </c>
      <c r="D29">
        <v>111.636</v>
      </c>
      <c r="E29">
        <v>6.9995771999999998E-2</v>
      </c>
      <c r="F29" t="s">
        <v>357</v>
      </c>
      <c r="G29" t="s">
        <v>351</v>
      </c>
    </row>
    <row r="30" spans="1:7" x14ac:dyDescent="0.25">
      <c r="A30" t="s">
        <v>252</v>
      </c>
      <c r="B30">
        <v>293903.2</v>
      </c>
      <c r="C30">
        <v>5079885.0999999996</v>
      </c>
      <c r="D30">
        <v>44.148200000000003</v>
      </c>
      <c r="E30">
        <v>6.7105263999999998E-2</v>
      </c>
      <c r="F30" t="s">
        <v>357</v>
      </c>
      <c r="G30" t="s">
        <v>351</v>
      </c>
    </row>
    <row r="31" spans="1:7" x14ac:dyDescent="0.25">
      <c r="A31" t="s">
        <v>253</v>
      </c>
      <c r="B31">
        <v>293903.2</v>
      </c>
      <c r="C31">
        <v>5079885.0999999996</v>
      </c>
      <c r="D31">
        <v>41.674300000000002</v>
      </c>
      <c r="E31">
        <v>6.3344936000000004E-2</v>
      </c>
      <c r="F31" t="s">
        <v>357</v>
      </c>
      <c r="G31" t="s">
        <v>351</v>
      </c>
    </row>
    <row r="32" spans="1:7" x14ac:dyDescent="0.25">
      <c r="A32" t="s">
        <v>270</v>
      </c>
      <c r="B32">
        <v>293903.2</v>
      </c>
      <c r="C32">
        <v>5079885.0999999996</v>
      </c>
      <c r="D32">
        <v>44.1218</v>
      </c>
      <c r="E32">
        <v>6.2211738000000003E-2</v>
      </c>
      <c r="F32" t="s">
        <v>357</v>
      </c>
      <c r="G32" t="s">
        <v>351</v>
      </c>
    </row>
    <row r="33" spans="1:7" x14ac:dyDescent="0.25">
      <c r="A33" t="s">
        <v>268</v>
      </c>
      <c r="B33">
        <v>293903.2</v>
      </c>
      <c r="C33">
        <v>5079885.0999999996</v>
      </c>
      <c r="D33">
        <v>43.7423</v>
      </c>
      <c r="E33">
        <v>6.1676643000000003E-2</v>
      </c>
      <c r="F33" t="s">
        <v>357</v>
      </c>
      <c r="G33" t="s">
        <v>351</v>
      </c>
    </row>
    <row r="34" spans="1:7" x14ac:dyDescent="0.25">
      <c r="A34" t="s">
        <v>269</v>
      </c>
      <c r="B34">
        <v>293903.2</v>
      </c>
      <c r="C34">
        <v>5079885.0999999996</v>
      </c>
      <c r="D34">
        <v>42.677100000000003</v>
      </c>
      <c r="E34">
        <v>6.0174710999999999E-2</v>
      </c>
      <c r="F34" t="s">
        <v>357</v>
      </c>
      <c r="G34" t="s">
        <v>351</v>
      </c>
    </row>
    <row r="35" spans="1:7" x14ac:dyDescent="0.25">
      <c r="A35" t="s">
        <v>255</v>
      </c>
      <c r="B35">
        <v>293903.2</v>
      </c>
      <c r="C35">
        <v>5079885.0999999996</v>
      </c>
      <c r="D35">
        <v>39.192799999999998</v>
      </c>
      <c r="E35">
        <v>5.9573055999999999E-2</v>
      </c>
      <c r="F35" t="s">
        <v>357</v>
      </c>
      <c r="G35" t="s">
        <v>351</v>
      </c>
    </row>
    <row r="36" spans="1:7" x14ac:dyDescent="0.25">
      <c r="A36" t="s">
        <v>249</v>
      </c>
      <c r="B36">
        <v>293903.2</v>
      </c>
      <c r="C36">
        <v>5079885.0999999996</v>
      </c>
      <c r="D36">
        <v>38.459400000000002</v>
      </c>
      <c r="E36">
        <v>5.8458287999999997E-2</v>
      </c>
      <c r="F36" t="s">
        <v>357</v>
      </c>
      <c r="G36" t="s">
        <v>351</v>
      </c>
    </row>
    <row r="37" spans="1:7" x14ac:dyDescent="0.25">
      <c r="A37" t="s">
        <v>256</v>
      </c>
      <c r="B37">
        <v>293903.2</v>
      </c>
      <c r="C37">
        <v>5079885.0999999996</v>
      </c>
      <c r="D37">
        <v>38.315100000000001</v>
      </c>
      <c r="E37">
        <v>5.8238951999999997E-2</v>
      </c>
      <c r="F37" t="s">
        <v>357</v>
      </c>
      <c r="G37" t="s">
        <v>351</v>
      </c>
    </row>
    <row r="38" spans="1:7" x14ac:dyDescent="0.25">
      <c r="A38" t="s">
        <v>346</v>
      </c>
      <c r="B38">
        <v>293903.2</v>
      </c>
      <c r="C38">
        <v>5079885.0999999996</v>
      </c>
      <c r="D38">
        <v>99.123199999999997</v>
      </c>
      <c r="E38">
        <v>5.8086195200000003E-2</v>
      </c>
      <c r="F38" t="s">
        <v>357</v>
      </c>
      <c r="G38" t="s">
        <v>351</v>
      </c>
    </row>
    <row r="39" spans="1:7" x14ac:dyDescent="0.25">
      <c r="A39" t="s">
        <v>343</v>
      </c>
      <c r="B39">
        <v>293903.2</v>
      </c>
      <c r="C39">
        <v>5079885.0999999996</v>
      </c>
      <c r="D39">
        <v>91.809100000000001</v>
      </c>
      <c r="E39">
        <v>5.7564305699999999E-2</v>
      </c>
      <c r="F39" t="s">
        <v>357</v>
      </c>
      <c r="G39" t="s">
        <v>351</v>
      </c>
    </row>
    <row r="40" spans="1:7" x14ac:dyDescent="0.25">
      <c r="A40" t="s">
        <v>254</v>
      </c>
      <c r="B40">
        <v>293903.2</v>
      </c>
      <c r="C40">
        <v>5079885.0999999996</v>
      </c>
      <c r="D40">
        <v>35.394599999999997</v>
      </c>
      <c r="E40">
        <v>5.3799791999999999E-2</v>
      </c>
      <c r="F40" t="s">
        <v>357</v>
      </c>
      <c r="G40" t="s">
        <v>351</v>
      </c>
    </row>
    <row r="41" spans="1:7" x14ac:dyDescent="0.25">
      <c r="A41" t="s">
        <v>272</v>
      </c>
      <c r="B41">
        <v>293903.2</v>
      </c>
      <c r="C41">
        <v>5079885.0999999996</v>
      </c>
      <c r="D41">
        <v>37.872500000000002</v>
      </c>
      <c r="E41">
        <v>5.3400225000000003E-2</v>
      </c>
      <c r="F41" t="s">
        <v>357</v>
      </c>
      <c r="G41" t="s">
        <v>351</v>
      </c>
    </row>
    <row r="42" spans="1:7" x14ac:dyDescent="0.25">
      <c r="A42" t="s">
        <v>339</v>
      </c>
      <c r="B42">
        <v>293903.2</v>
      </c>
      <c r="C42">
        <v>5079885.0999999996</v>
      </c>
      <c r="D42">
        <v>87.522800000000004</v>
      </c>
      <c r="E42">
        <v>5.1288360800000002E-2</v>
      </c>
      <c r="F42" t="s">
        <v>357</v>
      </c>
      <c r="G42" t="s">
        <v>351</v>
      </c>
    </row>
    <row r="43" spans="1:7" x14ac:dyDescent="0.25">
      <c r="A43" t="s">
        <v>348</v>
      </c>
      <c r="B43">
        <v>293903.2</v>
      </c>
      <c r="C43">
        <v>5079885.0999999996</v>
      </c>
      <c r="D43">
        <v>35.119199999999999</v>
      </c>
      <c r="E43">
        <v>4.9166880000000003E-2</v>
      </c>
      <c r="F43" t="s">
        <v>357</v>
      </c>
      <c r="G43" t="s">
        <v>351</v>
      </c>
    </row>
    <row r="44" spans="1:7" x14ac:dyDescent="0.25">
      <c r="A44" t="s">
        <v>271</v>
      </c>
      <c r="B44">
        <v>293903.2</v>
      </c>
      <c r="C44">
        <v>5079885.0999999996</v>
      </c>
      <c r="D44">
        <v>34.0884</v>
      </c>
      <c r="E44">
        <v>4.8064643999999997E-2</v>
      </c>
      <c r="F44" t="s">
        <v>357</v>
      </c>
      <c r="G44" t="s">
        <v>351</v>
      </c>
    </row>
    <row r="45" spans="1:7" x14ac:dyDescent="0.25">
      <c r="A45" t="s">
        <v>327</v>
      </c>
      <c r="B45">
        <v>293903.2</v>
      </c>
      <c r="C45">
        <v>5079885.0999999996</v>
      </c>
      <c r="D45">
        <v>32.606200000000001</v>
      </c>
      <c r="E45">
        <v>4.5974741999999999E-2</v>
      </c>
      <c r="F45" t="s">
        <v>357</v>
      </c>
      <c r="G45" t="s">
        <v>351</v>
      </c>
    </row>
    <row r="46" spans="1:7" x14ac:dyDescent="0.25">
      <c r="A46" t="s">
        <v>258</v>
      </c>
      <c r="B46">
        <v>293903.2</v>
      </c>
      <c r="C46">
        <v>5079885.0999999996</v>
      </c>
      <c r="D46">
        <v>32.554499999999997</v>
      </c>
      <c r="E46">
        <v>4.5901844999999997E-2</v>
      </c>
      <c r="F46" t="s">
        <v>357</v>
      </c>
      <c r="G46" t="s">
        <v>351</v>
      </c>
    </row>
    <row r="47" spans="1:7" x14ac:dyDescent="0.25">
      <c r="A47" t="s">
        <v>298</v>
      </c>
      <c r="B47">
        <v>293903.2</v>
      </c>
      <c r="C47">
        <v>5079885.0999999996</v>
      </c>
      <c r="D47">
        <v>32.236899999999999</v>
      </c>
      <c r="E47">
        <v>4.5454029E-2</v>
      </c>
      <c r="F47" t="s">
        <v>357</v>
      </c>
      <c r="G47" t="s">
        <v>351</v>
      </c>
    </row>
    <row r="48" spans="1:7" x14ac:dyDescent="0.25">
      <c r="A48" t="s">
        <v>259</v>
      </c>
      <c r="B48">
        <v>293903.2</v>
      </c>
      <c r="C48">
        <v>5079885.0999999996</v>
      </c>
      <c r="D48">
        <v>30.075600000000001</v>
      </c>
      <c r="E48">
        <v>4.2406595999999998E-2</v>
      </c>
      <c r="F48" t="s">
        <v>357</v>
      </c>
      <c r="G48" t="s">
        <v>351</v>
      </c>
    </row>
    <row r="49" spans="1:7" x14ac:dyDescent="0.25">
      <c r="A49" t="s">
        <v>297</v>
      </c>
      <c r="B49">
        <v>293903.2</v>
      </c>
      <c r="C49">
        <v>5079885.0999999996</v>
      </c>
      <c r="D49">
        <v>29.7517</v>
      </c>
      <c r="E49">
        <v>4.1949897E-2</v>
      </c>
      <c r="F49" t="s">
        <v>357</v>
      </c>
      <c r="G49" t="s">
        <v>351</v>
      </c>
    </row>
    <row r="50" spans="1:7" x14ac:dyDescent="0.25">
      <c r="A50" t="s">
        <v>273</v>
      </c>
      <c r="B50">
        <v>293903.2</v>
      </c>
      <c r="C50">
        <v>5079885.0999999996</v>
      </c>
      <c r="D50">
        <v>29.706</v>
      </c>
      <c r="E50">
        <v>4.1885459999999999E-2</v>
      </c>
      <c r="F50" t="s">
        <v>357</v>
      </c>
      <c r="G50" t="s">
        <v>351</v>
      </c>
    </row>
    <row r="51" spans="1:7" x14ac:dyDescent="0.25">
      <c r="A51" t="s">
        <v>276</v>
      </c>
      <c r="B51">
        <v>293903.2</v>
      </c>
      <c r="C51">
        <v>5079885.0999999996</v>
      </c>
      <c r="D51">
        <v>29.665800000000001</v>
      </c>
      <c r="E51">
        <v>4.1828777999999997E-2</v>
      </c>
      <c r="F51" t="s">
        <v>357</v>
      </c>
      <c r="G51" t="s">
        <v>351</v>
      </c>
    </row>
    <row r="52" spans="1:7" x14ac:dyDescent="0.25">
      <c r="A52" t="s">
        <v>275</v>
      </c>
      <c r="B52">
        <v>293903.2</v>
      </c>
      <c r="C52">
        <v>5079885.0999999996</v>
      </c>
      <c r="D52">
        <v>29.250900000000001</v>
      </c>
      <c r="E52">
        <v>4.1243769E-2</v>
      </c>
      <c r="F52" t="s">
        <v>357</v>
      </c>
      <c r="G52" t="s">
        <v>351</v>
      </c>
    </row>
    <row r="53" spans="1:7" x14ac:dyDescent="0.25">
      <c r="A53" t="s">
        <v>274</v>
      </c>
      <c r="B53">
        <v>293903.2</v>
      </c>
      <c r="C53">
        <v>5079885.0999999996</v>
      </c>
      <c r="D53">
        <v>28.991900000000001</v>
      </c>
      <c r="E53">
        <v>4.0878578999999998E-2</v>
      </c>
      <c r="F53" t="s">
        <v>357</v>
      </c>
      <c r="G53" t="s">
        <v>351</v>
      </c>
    </row>
    <row r="54" spans="1:7" x14ac:dyDescent="0.25">
      <c r="A54" t="s">
        <v>277</v>
      </c>
      <c r="B54">
        <v>293903.2</v>
      </c>
      <c r="C54">
        <v>5079885.0999999996</v>
      </c>
      <c r="D54">
        <v>28.034800000000001</v>
      </c>
      <c r="E54">
        <v>3.9529068000000001E-2</v>
      </c>
      <c r="F54" t="s">
        <v>357</v>
      </c>
      <c r="G54" t="s">
        <v>351</v>
      </c>
    </row>
    <row r="55" spans="1:7" x14ac:dyDescent="0.25">
      <c r="A55" t="s">
        <v>296</v>
      </c>
      <c r="B55">
        <v>293903.2</v>
      </c>
      <c r="C55">
        <v>5079885.0999999996</v>
      </c>
      <c r="D55">
        <v>27.791799999999999</v>
      </c>
      <c r="E55">
        <v>3.9186437999999997E-2</v>
      </c>
      <c r="F55" t="s">
        <v>357</v>
      </c>
      <c r="G55" t="s">
        <v>351</v>
      </c>
    </row>
    <row r="56" spans="1:7" x14ac:dyDescent="0.25">
      <c r="A56" t="s">
        <v>257</v>
      </c>
      <c r="B56">
        <v>293903.2</v>
      </c>
      <c r="C56">
        <v>5079885.0999999996</v>
      </c>
      <c r="D56">
        <v>27.651599999999998</v>
      </c>
      <c r="E56">
        <v>3.8988755999999999E-2</v>
      </c>
      <c r="F56" t="s">
        <v>357</v>
      </c>
      <c r="G56" t="s">
        <v>351</v>
      </c>
    </row>
    <row r="57" spans="1:7" x14ac:dyDescent="0.25">
      <c r="A57" t="s">
        <v>280</v>
      </c>
      <c r="B57">
        <v>293903.2</v>
      </c>
      <c r="C57">
        <v>5079885.0999999996</v>
      </c>
      <c r="D57">
        <v>27.331299999999999</v>
      </c>
      <c r="E57">
        <v>3.8537133000000001E-2</v>
      </c>
      <c r="F57" t="s">
        <v>357</v>
      </c>
      <c r="G57" t="s">
        <v>351</v>
      </c>
    </row>
    <row r="58" spans="1:7" x14ac:dyDescent="0.25">
      <c r="A58" t="s">
        <v>329</v>
      </c>
      <c r="B58">
        <v>293903.2</v>
      </c>
      <c r="C58">
        <v>5079885.0999999996</v>
      </c>
      <c r="D58">
        <v>27.174800000000001</v>
      </c>
      <c r="E58">
        <v>3.8316467999999999E-2</v>
      </c>
      <c r="F58" t="s">
        <v>357</v>
      </c>
      <c r="G58" t="s">
        <v>351</v>
      </c>
    </row>
    <row r="59" spans="1:7" x14ac:dyDescent="0.25">
      <c r="A59" t="s">
        <v>328</v>
      </c>
      <c r="B59">
        <v>293903.2</v>
      </c>
      <c r="C59">
        <v>5079885.0999999996</v>
      </c>
      <c r="D59">
        <v>26.714099999999998</v>
      </c>
      <c r="E59">
        <v>3.7666880999999999E-2</v>
      </c>
      <c r="F59" t="s">
        <v>357</v>
      </c>
      <c r="G59" t="s">
        <v>351</v>
      </c>
    </row>
    <row r="60" spans="1:7" x14ac:dyDescent="0.25">
      <c r="A60" t="s">
        <v>325</v>
      </c>
      <c r="B60">
        <v>293903.2</v>
      </c>
      <c r="C60">
        <v>5079885.0999999996</v>
      </c>
      <c r="D60">
        <v>26.4909</v>
      </c>
      <c r="E60">
        <v>3.7352168999999998E-2</v>
      </c>
      <c r="F60" t="s">
        <v>357</v>
      </c>
      <c r="G60" t="s">
        <v>351</v>
      </c>
    </row>
    <row r="61" spans="1:7" x14ac:dyDescent="0.25">
      <c r="A61" t="s">
        <v>278</v>
      </c>
      <c r="B61">
        <v>293903.2</v>
      </c>
      <c r="C61">
        <v>5079885.0999999996</v>
      </c>
      <c r="D61">
        <v>26.474599999999999</v>
      </c>
      <c r="E61">
        <v>3.7329186E-2</v>
      </c>
      <c r="F61" t="s">
        <v>357</v>
      </c>
      <c r="G61" t="s">
        <v>351</v>
      </c>
    </row>
    <row r="62" spans="1:7" x14ac:dyDescent="0.25">
      <c r="A62" t="s">
        <v>300</v>
      </c>
      <c r="B62">
        <v>293903.2</v>
      </c>
      <c r="C62">
        <v>5079885.0999999996</v>
      </c>
      <c r="D62">
        <v>26.358699999999999</v>
      </c>
      <c r="E62">
        <v>3.7165767000000002E-2</v>
      </c>
      <c r="F62" t="s">
        <v>357</v>
      </c>
      <c r="G62" t="s">
        <v>351</v>
      </c>
    </row>
    <row r="63" spans="1:7" x14ac:dyDescent="0.25">
      <c r="A63" t="s">
        <v>326</v>
      </c>
      <c r="B63">
        <v>293903.2</v>
      </c>
      <c r="C63">
        <v>5079885.0999999996</v>
      </c>
      <c r="D63">
        <v>26.213999999999999</v>
      </c>
      <c r="E63">
        <v>3.696174E-2</v>
      </c>
      <c r="F63" t="s">
        <v>357</v>
      </c>
      <c r="G63" t="s">
        <v>351</v>
      </c>
    </row>
    <row r="64" spans="1:7" x14ac:dyDescent="0.25">
      <c r="A64" t="s">
        <v>323</v>
      </c>
      <c r="B64">
        <v>293903.2</v>
      </c>
      <c r="C64">
        <v>5079885.0999999996</v>
      </c>
      <c r="D64">
        <v>25.095300000000002</v>
      </c>
      <c r="E64">
        <v>3.5384372999999997E-2</v>
      </c>
      <c r="F64" t="s">
        <v>357</v>
      </c>
      <c r="G64" t="s">
        <v>351</v>
      </c>
    </row>
    <row r="65" spans="1:7" x14ac:dyDescent="0.25">
      <c r="A65" t="s">
        <v>324</v>
      </c>
      <c r="B65">
        <v>293903.2</v>
      </c>
      <c r="C65">
        <v>5079885.0999999996</v>
      </c>
      <c r="D65">
        <v>22.230599999999999</v>
      </c>
      <c r="E65">
        <v>3.1345145999999997E-2</v>
      </c>
      <c r="F65" t="s">
        <v>357</v>
      </c>
      <c r="G65" t="s">
        <v>351</v>
      </c>
    </row>
    <row r="66" spans="1:7" x14ac:dyDescent="0.25">
      <c r="A66" t="s">
        <v>321</v>
      </c>
      <c r="B66">
        <v>293903.2</v>
      </c>
      <c r="C66">
        <v>5079885.0999999996</v>
      </c>
      <c r="D66">
        <v>21.046399999999998</v>
      </c>
      <c r="E66">
        <v>2.9675423999999999E-2</v>
      </c>
      <c r="F66" t="s">
        <v>357</v>
      </c>
      <c r="G66" t="s">
        <v>351</v>
      </c>
    </row>
    <row r="67" spans="1:7" x14ac:dyDescent="0.25">
      <c r="A67" t="s">
        <v>305</v>
      </c>
      <c r="B67">
        <v>293903.2</v>
      </c>
      <c r="C67">
        <v>5079885.0999999996</v>
      </c>
      <c r="D67">
        <v>20.596299999999999</v>
      </c>
      <c r="E67">
        <v>2.9040783000000001E-2</v>
      </c>
      <c r="F67" t="s">
        <v>357</v>
      </c>
      <c r="G67" t="s">
        <v>351</v>
      </c>
    </row>
    <row r="68" spans="1:7" x14ac:dyDescent="0.25">
      <c r="A68" t="s">
        <v>322</v>
      </c>
      <c r="B68">
        <v>293903.2</v>
      </c>
      <c r="C68">
        <v>5079885.0999999996</v>
      </c>
      <c r="D68">
        <v>20.322900000000001</v>
      </c>
      <c r="E68">
        <v>2.8655289E-2</v>
      </c>
      <c r="F68" t="s">
        <v>357</v>
      </c>
      <c r="G68" t="s">
        <v>351</v>
      </c>
    </row>
    <row r="69" spans="1:7" x14ac:dyDescent="0.25">
      <c r="A69" t="s">
        <v>308</v>
      </c>
      <c r="B69">
        <v>293903.2</v>
      </c>
      <c r="C69">
        <v>5079885.0999999996</v>
      </c>
      <c r="D69">
        <v>20.317599999999999</v>
      </c>
      <c r="E69">
        <v>2.8647816E-2</v>
      </c>
      <c r="F69" t="s">
        <v>357</v>
      </c>
      <c r="G69" t="s">
        <v>351</v>
      </c>
    </row>
    <row r="70" spans="1:7" x14ac:dyDescent="0.25">
      <c r="A70" t="s">
        <v>313</v>
      </c>
      <c r="B70">
        <v>293903.2</v>
      </c>
      <c r="C70">
        <v>5079885.0999999996</v>
      </c>
      <c r="D70">
        <v>20.265799999999999</v>
      </c>
      <c r="E70">
        <v>2.8574777999999999E-2</v>
      </c>
      <c r="F70" t="s">
        <v>357</v>
      </c>
      <c r="G70" t="s">
        <v>351</v>
      </c>
    </row>
    <row r="71" spans="1:7" x14ac:dyDescent="0.25">
      <c r="A71" t="s">
        <v>299</v>
      </c>
      <c r="B71">
        <v>293903.2</v>
      </c>
      <c r="C71">
        <v>5079885.0999999996</v>
      </c>
      <c r="D71">
        <v>20.212800000000001</v>
      </c>
      <c r="E71">
        <v>2.8500048E-2</v>
      </c>
      <c r="F71" t="s">
        <v>357</v>
      </c>
      <c r="G71" t="s">
        <v>351</v>
      </c>
    </row>
    <row r="72" spans="1:7" x14ac:dyDescent="0.25">
      <c r="A72" t="s">
        <v>314</v>
      </c>
      <c r="B72">
        <v>293903.2</v>
      </c>
      <c r="C72">
        <v>5079885.0999999996</v>
      </c>
      <c r="D72">
        <v>20.178799999999999</v>
      </c>
      <c r="E72">
        <v>2.8452108E-2</v>
      </c>
      <c r="F72" t="s">
        <v>357</v>
      </c>
      <c r="G72" t="s">
        <v>351</v>
      </c>
    </row>
    <row r="73" spans="1:7" x14ac:dyDescent="0.25">
      <c r="A73" t="s">
        <v>319</v>
      </c>
      <c r="B73">
        <v>293903.2</v>
      </c>
      <c r="C73">
        <v>5079885.0999999996</v>
      </c>
      <c r="D73">
        <v>19.9696</v>
      </c>
      <c r="E73">
        <v>2.8157135999999999E-2</v>
      </c>
      <c r="F73" t="s">
        <v>357</v>
      </c>
      <c r="G73" t="s">
        <v>351</v>
      </c>
    </row>
    <row r="74" spans="1:7" x14ac:dyDescent="0.25">
      <c r="A74" t="s">
        <v>306</v>
      </c>
      <c r="B74">
        <v>293903.2</v>
      </c>
      <c r="C74">
        <v>5079885.0999999996</v>
      </c>
      <c r="D74">
        <v>19.694600000000001</v>
      </c>
      <c r="E74">
        <v>2.7769386E-2</v>
      </c>
      <c r="F74" t="s">
        <v>357</v>
      </c>
      <c r="G74" t="s">
        <v>351</v>
      </c>
    </row>
    <row r="75" spans="1:7" x14ac:dyDescent="0.25">
      <c r="A75" t="s">
        <v>312</v>
      </c>
      <c r="B75">
        <v>293903.2</v>
      </c>
      <c r="C75">
        <v>5079885.0999999996</v>
      </c>
      <c r="D75">
        <v>19.651900000000001</v>
      </c>
      <c r="E75">
        <v>2.7709179E-2</v>
      </c>
      <c r="F75" t="s">
        <v>357</v>
      </c>
      <c r="G75" t="s">
        <v>351</v>
      </c>
    </row>
    <row r="76" spans="1:7" x14ac:dyDescent="0.25">
      <c r="A76" t="s">
        <v>307</v>
      </c>
      <c r="B76">
        <v>293903.2</v>
      </c>
      <c r="C76">
        <v>5079885.0999999996</v>
      </c>
      <c r="D76">
        <v>18.938800000000001</v>
      </c>
      <c r="E76">
        <v>2.6703708E-2</v>
      </c>
      <c r="F76" t="s">
        <v>357</v>
      </c>
      <c r="G76" t="s">
        <v>351</v>
      </c>
    </row>
    <row r="77" spans="1:7" x14ac:dyDescent="0.25">
      <c r="A77" t="s">
        <v>316</v>
      </c>
      <c r="B77">
        <v>293903.2</v>
      </c>
      <c r="C77">
        <v>5079885.0999999996</v>
      </c>
      <c r="D77">
        <v>18.9358</v>
      </c>
      <c r="E77">
        <v>2.6699477999999999E-2</v>
      </c>
      <c r="F77" t="s">
        <v>357</v>
      </c>
      <c r="G77" t="s">
        <v>351</v>
      </c>
    </row>
    <row r="78" spans="1:7" x14ac:dyDescent="0.25">
      <c r="A78" t="s">
        <v>320</v>
      </c>
      <c r="B78">
        <v>293903.2</v>
      </c>
      <c r="C78">
        <v>5079885.0999999996</v>
      </c>
      <c r="D78">
        <v>18.7959</v>
      </c>
      <c r="E78">
        <v>2.6502219E-2</v>
      </c>
      <c r="F78" t="s">
        <v>357</v>
      </c>
      <c r="G78" t="s">
        <v>351</v>
      </c>
    </row>
    <row r="79" spans="1:7" x14ac:dyDescent="0.25">
      <c r="A79" t="s">
        <v>310</v>
      </c>
      <c r="B79">
        <v>293903.2</v>
      </c>
      <c r="C79">
        <v>5079885.0999999996</v>
      </c>
      <c r="D79">
        <v>18.119800000000001</v>
      </c>
      <c r="E79">
        <v>2.5548918E-2</v>
      </c>
      <c r="F79" t="s">
        <v>357</v>
      </c>
      <c r="G79" t="s">
        <v>351</v>
      </c>
    </row>
    <row r="80" spans="1:7" x14ac:dyDescent="0.25">
      <c r="A80" t="s">
        <v>317</v>
      </c>
      <c r="B80">
        <v>293903.2</v>
      </c>
      <c r="C80">
        <v>5079885.0999999996</v>
      </c>
      <c r="D80">
        <v>18.003699999999998</v>
      </c>
      <c r="E80">
        <v>2.5385217000000002E-2</v>
      </c>
      <c r="F80" t="s">
        <v>357</v>
      </c>
      <c r="G80" t="s">
        <v>351</v>
      </c>
    </row>
    <row r="81" spans="1:7" x14ac:dyDescent="0.25">
      <c r="A81" t="s">
        <v>301</v>
      </c>
      <c r="B81">
        <v>293903.2</v>
      </c>
      <c r="C81">
        <v>5079885.0999999996</v>
      </c>
      <c r="D81">
        <v>17.583600000000001</v>
      </c>
      <c r="E81">
        <v>2.4792875999999998E-2</v>
      </c>
      <c r="F81" t="s">
        <v>357</v>
      </c>
      <c r="G81" t="s">
        <v>351</v>
      </c>
    </row>
    <row r="82" spans="1:7" x14ac:dyDescent="0.25">
      <c r="A82" t="s">
        <v>315</v>
      </c>
      <c r="B82">
        <v>293903.2</v>
      </c>
      <c r="C82">
        <v>5079885.0999999996</v>
      </c>
      <c r="D82">
        <v>17.4452</v>
      </c>
      <c r="E82">
        <v>2.4597732000000001E-2</v>
      </c>
      <c r="F82" t="s">
        <v>357</v>
      </c>
      <c r="G82" t="s">
        <v>351</v>
      </c>
    </row>
    <row r="83" spans="1:7" x14ac:dyDescent="0.25">
      <c r="A83" t="s">
        <v>303</v>
      </c>
      <c r="B83">
        <v>293903.2</v>
      </c>
      <c r="C83">
        <v>5079885.0999999996</v>
      </c>
      <c r="D83">
        <v>17.2498</v>
      </c>
      <c r="E83">
        <v>2.4322218E-2</v>
      </c>
      <c r="F83" t="s">
        <v>357</v>
      </c>
      <c r="G83" t="s">
        <v>351</v>
      </c>
    </row>
    <row r="84" spans="1:7" x14ac:dyDescent="0.25">
      <c r="A84" t="s">
        <v>318</v>
      </c>
      <c r="B84">
        <v>293903.2</v>
      </c>
      <c r="C84">
        <v>5079885.0999999996</v>
      </c>
      <c r="D84">
        <v>17.222300000000001</v>
      </c>
      <c r="E84">
        <v>2.4283442999999998E-2</v>
      </c>
      <c r="F84" t="s">
        <v>357</v>
      </c>
      <c r="G84" t="s">
        <v>351</v>
      </c>
    </row>
    <row r="85" spans="1:7" x14ac:dyDescent="0.25">
      <c r="A85" t="s">
        <v>309</v>
      </c>
      <c r="B85">
        <v>293903.2</v>
      </c>
      <c r="C85">
        <v>5079885.0999999996</v>
      </c>
      <c r="D85">
        <v>17.054300000000001</v>
      </c>
      <c r="E85">
        <v>2.4046563E-2</v>
      </c>
      <c r="F85" t="s">
        <v>357</v>
      </c>
      <c r="G85" t="s">
        <v>351</v>
      </c>
    </row>
    <row r="86" spans="1:7" x14ac:dyDescent="0.25">
      <c r="A86" t="s">
        <v>311</v>
      </c>
      <c r="B86">
        <v>293903.2</v>
      </c>
      <c r="C86">
        <v>5079885.0999999996</v>
      </c>
      <c r="D86">
        <v>16.779499999999999</v>
      </c>
      <c r="E86">
        <v>2.3659095000000002E-2</v>
      </c>
      <c r="F86" t="s">
        <v>357</v>
      </c>
      <c r="G86" t="s">
        <v>351</v>
      </c>
    </row>
    <row r="87" spans="1:7" x14ac:dyDescent="0.25">
      <c r="A87" t="s">
        <v>304</v>
      </c>
      <c r="B87">
        <v>293903.2</v>
      </c>
      <c r="C87">
        <v>5079885.0999999996</v>
      </c>
      <c r="D87">
        <v>15.022600000000001</v>
      </c>
      <c r="E87">
        <v>2.1181866000000001E-2</v>
      </c>
      <c r="F87" t="s">
        <v>357</v>
      </c>
      <c r="G87" t="s">
        <v>351</v>
      </c>
    </row>
    <row r="88" spans="1:7" x14ac:dyDescent="0.25">
      <c r="A88" t="s">
        <v>332</v>
      </c>
      <c r="B88">
        <v>293903.2</v>
      </c>
      <c r="C88">
        <v>5079885.0999999996</v>
      </c>
      <c r="D88">
        <v>14.649800000000001</v>
      </c>
      <c r="E88">
        <v>2.0656218E-2</v>
      </c>
      <c r="F88" t="s">
        <v>357</v>
      </c>
      <c r="G88" t="s">
        <v>351</v>
      </c>
    </row>
    <row r="89" spans="1:7" x14ac:dyDescent="0.25">
      <c r="A89" t="s">
        <v>336</v>
      </c>
      <c r="B89">
        <v>293903.2</v>
      </c>
      <c r="C89">
        <v>5079885.0999999996</v>
      </c>
      <c r="D89">
        <v>14.3148</v>
      </c>
      <c r="E89">
        <v>2.0183868000000001E-2</v>
      </c>
      <c r="F89" t="s">
        <v>357</v>
      </c>
      <c r="G89" t="s">
        <v>351</v>
      </c>
    </row>
    <row r="90" spans="1:7" x14ac:dyDescent="0.25">
      <c r="A90" t="s">
        <v>333</v>
      </c>
      <c r="B90">
        <v>293903.2</v>
      </c>
      <c r="C90">
        <v>5079885.0999999996</v>
      </c>
      <c r="D90">
        <v>13.8041</v>
      </c>
      <c r="E90">
        <v>1.9463780999999999E-2</v>
      </c>
      <c r="F90" t="s">
        <v>357</v>
      </c>
      <c r="G90" t="s">
        <v>351</v>
      </c>
    </row>
    <row r="91" spans="1:7" x14ac:dyDescent="0.25">
      <c r="A91" t="s">
        <v>335</v>
      </c>
      <c r="B91">
        <v>293903.2</v>
      </c>
      <c r="C91">
        <v>5079885.0999999996</v>
      </c>
      <c r="D91">
        <v>13.604799999999999</v>
      </c>
      <c r="E91">
        <v>1.9182767999999999E-2</v>
      </c>
      <c r="F91" t="s">
        <v>357</v>
      </c>
      <c r="G91" t="s">
        <v>351</v>
      </c>
    </row>
    <row r="92" spans="1:7" x14ac:dyDescent="0.25">
      <c r="A92" t="s">
        <v>331</v>
      </c>
      <c r="B92">
        <v>293903.2</v>
      </c>
      <c r="C92">
        <v>5079885.0999999996</v>
      </c>
      <c r="D92">
        <v>13.5985</v>
      </c>
      <c r="E92">
        <v>1.9173885000000002E-2</v>
      </c>
      <c r="F92" t="s">
        <v>357</v>
      </c>
      <c r="G92" t="s">
        <v>351</v>
      </c>
    </row>
    <row r="93" spans="1:7" x14ac:dyDescent="0.25">
      <c r="A93" t="s">
        <v>330</v>
      </c>
      <c r="B93">
        <v>293903.2</v>
      </c>
      <c r="C93">
        <v>5079885.0999999996</v>
      </c>
      <c r="D93">
        <v>13.1774</v>
      </c>
      <c r="E93">
        <v>1.8580134000000002E-2</v>
      </c>
      <c r="F93" t="s">
        <v>357</v>
      </c>
      <c r="G93" t="s">
        <v>351</v>
      </c>
    </row>
    <row r="94" spans="1:7" x14ac:dyDescent="0.25">
      <c r="A94" t="s">
        <v>347</v>
      </c>
      <c r="B94">
        <v>293903.2</v>
      </c>
      <c r="C94">
        <v>5079885.0999999996</v>
      </c>
      <c r="D94">
        <v>15.9611</v>
      </c>
      <c r="E94">
        <v>1.8036043000000002E-2</v>
      </c>
      <c r="F94" t="s">
        <v>357</v>
      </c>
      <c r="G94" t="s">
        <v>351</v>
      </c>
    </row>
    <row r="95" spans="1:7" x14ac:dyDescent="0.25">
      <c r="A95" t="s">
        <v>338</v>
      </c>
      <c r="B95">
        <v>293903.2</v>
      </c>
      <c r="C95">
        <v>5079885.0999999996</v>
      </c>
      <c r="D95">
        <v>12.6861</v>
      </c>
      <c r="E95">
        <v>1.7887401000000001E-2</v>
      </c>
      <c r="F95" t="s">
        <v>357</v>
      </c>
      <c r="G95" t="s">
        <v>351</v>
      </c>
    </row>
    <row r="96" spans="1:7" x14ac:dyDescent="0.25">
      <c r="A96" t="s">
        <v>302</v>
      </c>
      <c r="B96">
        <v>293903.2</v>
      </c>
      <c r="C96">
        <v>5079885.0999999996</v>
      </c>
      <c r="D96">
        <v>12.454499999999999</v>
      </c>
      <c r="E96">
        <v>1.7560844999999999E-2</v>
      </c>
      <c r="F96" t="s">
        <v>357</v>
      </c>
      <c r="G96" t="s">
        <v>351</v>
      </c>
    </row>
    <row r="97" spans="1:7" x14ac:dyDescent="0.25">
      <c r="A97" t="s">
        <v>334</v>
      </c>
      <c r="B97">
        <v>293903.2</v>
      </c>
      <c r="C97">
        <v>5079885.0999999996</v>
      </c>
      <c r="D97">
        <v>12.2737</v>
      </c>
      <c r="E97">
        <v>1.7305917000000001E-2</v>
      </c>
      <c r="F97" t="s">
        <v>357</v>
      </c>
      <c r="G97" t="s">
        <v>351</v>
      </c>
    </row>
    <row r="98" spans="1:7" x14ac:dyDescent="0.25">
      <c r="A98" t="s">
        <v>337</v>
      </c>
      <c r="B98">
        <v>293903.2</v>
      </c>
      <c r="C98">
        <v>5079885.0999999996</v>
      </c>
      <c r="D98">
        <v>11.872400000000001</v>
      </c>
      <c r="E98">
        <v>1.6740083999999999E-2</v>
      </c>
      <c r="F98" t="s">
        <v>357</v>
      </c>
      <c r="G98" t="s">
        <v>351</v>
      </c>
    </row>
    <row r="99" spans="1:7" x14ac:dyDescent="0.25">
      <c r="A99" t="s">
        <v>279</v>
      </c>
      <c r="B99">
        <v>293903.2</v>
      </c>
      <c r="C99">
        <v>5079885.0999999996</v>
      </c>
      <c r="D99">
        <v>11.428699999999999</v>
      </c>
      <c r="E99">
        <v>1.6114467E-2</v>
      </c>
      <c r="F99" t="s">
        <v>357</v>
      </c>
      <c r="G99" t="s">
        <v>351</v>
      </c>
    </row>
  </sheetData>
  <autoFilter ref="A1:G1" xr:uid="{23AD6A2C-7586-4D76-96D1-6E5983B124E2}">
    <sortState xmlns:xlrd2="http://schemas.microsoft.com/office/spreadsheetml/2017/richdata2" ref="A2:G99">
      <sortCondition descending="1" ref="E1"/>
    </sortState>
  </autoFilter>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344C4-35B0-4BEC-8E4C-B9CCD324957B}">
  <sheetPr codeName="Sheet10">
    <tabColor theme="1"/>
  </sheetPr>
  <dimension ref="A1"/>
  <sheetViews>
    <sheetView workbookViewId="0"/>
  </sheetViews>
  <sheetFormatPr defaultRowHeight="15" x14ac:dyDescent="0.2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83D2B-6E28-4F1C-8AE3-2A0CED00EAAC}">
  <sheetPr codeName="Sheet11">
    <pageSetUpPr fitToPage="1"/>
  </sheetPr>
  <dimension ref="A1:M43"/>
  <sheetViews>
    <sheetView view="pageBreakPreview" zoomScaleNormal="100" zoomScaleSheetLayoutView="100" workbookViewId="0">
      <selection activeCell="G38" sqref="G38"/>
    </sheetView>
  </sheetViews>
  <sheetFormatPr defaultColWidth="9.140625" defaultRowHeight="12.75" x14ac:dyDescent="0.2"/>
  <cols>
    <col min="1" max="1" width="3" style="195" customWidth="1"/>
    <col min="2" max="2" width="26.140625" style="195" customWidth="1"/>
    <col min="3" max="3" width="20.7109375" style="195" customWidth="1"/>
    <col min="4" max="4" width="15.85546875" style="195" customWidth="1"/>
    <col min="5" max="5" width="28" style="195" customWidth="1"/>
    <col min="6" max="6" width="22.42578125" style="195" customWidth="1"/>
    <col min="7" max="7" width="14.7109375" style="195" customWidth="1"/>
    <col min="8" max="8" width="16.7109375" style="195" customWidth="1"/>
    <col min="9" max="10" width="17.140625" style="195" customWidth="1"/>
    <col min="11" max="11" width="10" style="195" customWidth="1"/>
    <col min="12" max="12" width="9.140625" style="195"/>
    <col min="13" max="13" width="6.28515625" style="201" customWidth="1"/>
    <col min="14" max="14" width="9.140625" style="195"/>
    <col min="15" max="15" width="7" style="195" customWidth="1"/>
    <col min="16" max="16384" width="9.140625" style="195"/>
  </cols>
  <sheetData>
    <row r="1" spans="1:9" x14ac:dyDescent="0.2">
      <c r="A1" s="446"/>
      <c r="B1" s="446"/>
      <c r="C1" s="446"/>
      <c r="D1" s="446"/>
      <c r="E1" s="446"/>
      <c r="F1" s="446"/>
      <c r="G1" s="446"/>
      <c r="H1" s="446"/>
      <c r="I1" s="446">
        <v>2</v>
      </c>
    </row>
    <row r="2" spans="1:9" x14ac:dyDescent="0.2">
      <c r="A2" s="446"/>
      <c r="B2" s="447" t="s">
        <v>358</v>
      </c>
      <c r="C2" s="446"/>
      <c r="D2" s="446"/>
      <c r="E2" s="446"/>
      <c r="F2" s="446"/>
      <c r="G2" s="446"/>
      <c r="H2" s="446"/>
      <c r="I2" s="446"/>
    </row>
    <row r="3" spans="1:9" ht="12.75" customHeight="1" x14ac:dyDescent="0.2">
      <c r="A3" s="446"/>
      <c r="B3" s="708" t="s">
        <v>359</v>
      </c>
      <c r="C3" s="711" t="s">
        <v>360</v>
      </c>
      <c r="D3" s="714" t="s">
        <v>361</v>
      </c>
      <c r="E3" s="716" t="s">
        <v>362</v>
      </c>
      <c r="F3" s="714" t="s">
        <v>363</v>
      </c>
      <c r="G3" s="705" t="s">
        <v>364</v>
      </c>
      <c r="H3" s="446"/>
      <c r="I3" s="446"/>
    </row>
    <row r="4" spans="1:9" x14ac:dyDescent="0.2">
      <c r="A4" s="446"/>
      <c r="B4" s="709"/>
      <c r="C4" s="712"/>
      <c r="D4" s="715"/>
      <c r="E4" s="717"/>
      <c r="F4" s="715"/>
      <c r="G4" s="706"/>
      <c r="H4" s="446"/>
      <c r="I4" s="446"/>
    </row>
    <row r="5" spans="1:9" ht="14.25" x14ac:dyDescent="0.2">
      <c r="A5" s="446"/>
      <c r="B5" s="710"/>
      <c r="C5" s="713"/>
      <c r="D5" s="448" t="s">
        <v>365</v>
      </c>
      <c r="E5" s="449" t="s">
        <v>366</v>
      </c>
      <c r="F5" s="718"/>
      <c r="G5" s="707"/>
      <c r="H5" s="446"/>
      <c r="I5" s="450" t="s">
        <v>224</v>
      </c>
    </row>
    <row r="6" spans="1:9" ht="15" x14ac:dyDescent="0.25">
      <c r="A6" s="446"/>
      <c r="B6" s="451">
        <v>1</v>
      </c>
      <c r="C6" s="452" t="str">
        <f>INDEX(ResCanF!$A:$A,MATCH(LARGE(ResCanF!$F:$F,'Final Residential Risk'!$B6),ResCanF!$F:$F,0))</f>
        <v>SKILODG1</v>
      </c>
      <c r="D6" s="453">
        <f>INDEX(ResCanF!D:D,MATCH('Final Residential Risk'!$C6,ResCanF!$A:$A,0))</f>
        <v>3.6828500000000002</v>
      </c>
      <c r="E6" s="454" cm="1">
        <f t="array" ref="E6">INDEX('Screening REER'!$D$587:$J$595,MATCH('Final Residential Risk'!I6,'Screening REER'!$N$587:$N$595,0),$I$1)</f>
        <v>3.854179383616057E-3</v>
      </c>
      <c r="F6" s="453">
        <f>INDEX(ResCanF!F:F,MATCH('Final Residential Risk'!$C6,ResCanF!$A:$A,0))</f>
        <v>0.68869294999999997</v>
      </c>
      <c r="G6" s="455">
        <f>D6*E6</f>
        <v>1.4194364542950396E-2</v>
      </c>
      <c r="H6" s="446"/>
      <c r="I6" t="str">
        <f>INDEX('Gen IDs'!$A$2:$C$99,MATCH(C6,'Gen IDs'!$A$2:$A$99,0),2)</f>
        <v>Type H</v>
      </c>
    </row>
    <row r="7" spans="1:9" ht="15" x14ac:dyDescent="0.25">
      <c r="A7" s="446"/>
      <c r="B7" s="456">
        <v>2</v>
      </c>
      <c r="C7" s="457" t="str">
        <f>INDEX(ResCanF!$A:$A,MATCH(LARGE(ResCanF!$F:$F,'Final Residential Risk'!$B7),ResCanF!$F:$F,0))</f>
        <v>B04_G17C</v>
      </c>
      <c r="D7" s="458">
        <f>INDEX(ResCanF!D:D,MATCH('Final Residential Risk'!$C7,ResCanF!$A:$A,0))</f>
        <v>2.12487</v>
      </c>
      <c r="E7" s="454" cm="1">
        <f t="array" ref="E7">INDEX('Screening REER'!$D$587:$J$595,MATCH('Final Residential Risk'!I7,'Screening REER'!$N$587:$N$595,0),$I$1)</f>
        <v>1.6484190412242002E-3</v>
      </c>
      <c r="F7" s="458">
        <f>INDEX(ResCanF!F:F,MATCH('Final Residential Risk'!$C7,ResCanF!$A:$A,0))</f>
        <v>0.14002893299999999</v>
      </c>
      <c r="G7" s="459">
        <f>D7*E7</f>
        <v>3.5026761681260662E-3</v>
      </c>
      <c r="H7" s="446"/>
      <c r="I7" t="str">
        <f>INDEX('Gen IDs'!$A$2:$C$99,MATCH(C7,'Gen IDs'!$A$2:$A$99,0),2)</f>
        <v>Type G</v>
      </c>
    </row>
    <row r="8" spans="1:9" ht="15" x14ac:dyDescent="0.25">
      <c r="A8" s="446"/>
      <c r="B8" s="456">
        <v>3</v>
      </c>
      <c r="C8" s="457" t="str">
        <f>INDEX(ResCanF!$A:$A,MATCH(LARGE(ResCanF!$F:$F,'Final Residential Risk'!$B8),ResCanF!$F:$F,0))</f>
        <v>B04_G17B</v>
      </c>
      <c r="D8" s="458">
        <f>INDEX(ResCanF!D:D,MATCH('Final Residential Risk'!$C8,ResCanF!$A:$A,0))</f>
        <v>2.1017199999999998</v>
      </c>
      <c r="E8" s="454" cm="1">
        <f t="array" ref="E8">INDEX('Screening REER'!$D$587:$J$595,MATCH('Final Residential Risk'!I8,'Screening REER'!$N$587:$N$595,0),$I$1)</f>
        <v>1.6484190412242002E-3</v>
      </c>
      <c r="F8" s="458">
        <f>INDEX(ResCanF!F:F,MATCH('Final Residential Risk'!$C8,ResCanF!$A:$A,0))</f>
        <v>0.138503348</v>
      </c>
      <c r="G8" s="459">
        <f>D8*E8</f>
        <v>3.4645152673217256E-3</v>
      </c>
      <c r="H8" s="446"/>
      <c r="I8" t="str">
        <f>INDEX('Gen IDs'!$A$2:$C$99,MATCH(C8,'Gen IDs'!$A$2:$A$99,0),2)</f>
        <v>Type G</v>
      </c>
    </row>
    <row r="9" spans="1:9" ht="13.5" customHeight="1" thickBot="1" x14ac:dyDescent="0.3">
      <c r="A9" s="446"/>
      <c r="B9" s="456">
        <v>4</v>
      </c>
      <c r="C9" s="457" t="str">
        <f>INDEX(ResCanF!$A:$A,MATCH(LARGE(ResCanF!$F:$F,'Final Residential Risk'!$B9),ResCanF!$F:$F,0))</f>
        <v>B52_G08A</v>
      </c>
      <c r="D9" s="458">
        <f>INDEX(ResCanF!D:D,MATCH('Final Residential Risk'!$C9,ResCanF!$A:$A,0))</f>
        <v>2.6520299999999999</v>
      </c>
      <c r="E9" s="454" cm="1">
        <f t="array" ref="E9">INDEX('Screening REER'!$D$587:$J$595,MATCH('Final Residential Risk'!I9,'Screening REER'!$N$587:$N$595,0),$I$1)</f>
        <v>1.2462082463435724E-3</v>
      </c>
      <c r="F9" s="458">
        <f>INDEX(ResCanF!F:F,MATCH('Final Residential Risk'!$C9,ResCanF!$A:$A,0))</f>
        <v>0.137375154</v>
      </c>
      <c r="G9" s="459">
        <f>D9*E9</f>
        <v>3.3049816555505442E-3</v>
      </c>
      <c r="H9" s="446"/>
      <c r="I9" t="str">
        <f>INDEX('Gen IDs'!$A$2:$C$99,MATCH(C9,'Gen IDs'!$A$2:$A$99,0),2)</f>
        <v>Type F</v>
      </c>
    </row>
    <row r="10" spans="1:9" ht="15" x14ac:dyDescent="0.25">
      <c r="A10" s="446"/>
      <c r="B10" s="695" t="s">
        <v>367</v>
      </c>
      <c r="C10" s="695"/>
      <c r="D10" s="695"/>
      <c r="E10" s="695"/>
      <c r="F10" s="695"/>
      <c r="G10" s="695"/>
      <c r="H10" s="446"/>
      <c r="I10"/>
    </row>
    <row r="11" spans="1:9" ht="15" x14ac:dyDescent="0.25">
      <c r="A11" s="446"/>
      <c r="B11" s="696"/>
      <c r="C11" s="696"/>
      <c r="D11" s="696"/>
      <c r="E11" s="696"/>
      <c r="F11" s="696"/>
      <c r="G11" s="696"/>
      <c r="H11" s="446"/>
      <c r="I11"/>
    </row>
    <row r="12" spans="1:9" ht="15" x14ac:dyDescent="0.25">
      <c r="A12" s="446"/>
      <c r="B12" s="696"/>
      <c r="C12" s="696"/>
      <c r="D12" s="696"/>
      <c r="E12" s="696"/>
      <c r="F12" s="696"/>
      <c r="G12" s="696"/>
      <c r="H12" s="446"/>
      <c r="I12"/>
    </row>
    <row r="13" spans="1:9" ht="15" x14ac:dyDescent="0.25">
      <c r="A13" s="446"/>
      <c r="B13" s="696"/>
      <c r="C13" s="696"/>
      <c r="D13" s="696"/>
      <c r="E13" s="696"/>
      <c r="F13" s="696"/>
      <c r="G13" s="696"/>
      <c r="H13" s="446"/>
      <c r="I13"/>
    </row>
    <row r="14" spans="1:9" x14ac:dyDescent="0.2">
      <c r="A14" s="446"/>
      <c r="B14" s="696"/>
      <c r="C14" s="696"/>
      <c r="D14" s="696"/>
      <c r="E14" s="696"/>
      <c r="F14" s="696"/>
      <c r="G14" s="696"/>
      <c r="H14" s="446"/>
      <c r="I14" s="446"/>
    </row>
    <row r="15" spans="1:9" x14ac:dyDescent="0.2">
      <c r="A15" s="446"/>
      <c r="B15" s="696"/>
      <c r="C15" s="696"/>
      <c r="D15" s="696"/>
      <c r="E15" s="696"/>
      <c r="F15" s="696"/>
      <c r="G15" s="696"/>
      <c r="H15" s="446"/>
      <c r="I15" s="446"/>
    </row>
    <row r="16" spans="1:9" x14ac:dyDescent="0.2">
      <c r="A16" s="446"/>
      <c r="B16" s="696"/>
      <c r="C16" s="696"/>
      <c r="D16" s="696"/>
      <c r="E16" s="696"/>
      <c r="F16" s="696"/>
      <c r="G16" s="696"/>
      <c r="H16" s="446"/>
      <c r="I16" s="446"/>
    </row>
    <row r="17" spans="1:9" x14ac:dyDescent="0.2">
      <c r="A17" s="446"/>
      <c r="B17" s="696"/>
      <c r="C17" s="696"/>
      <c r="D17" s="696"/>
      <c r="E17" s="696"/>
      <c r="F17" s="696"/>
      <c r="G17" s="696"/>
      <c r="H17" s="446"/>
      <c r="I17" s="446"/>
    </row>
    <row r="18" spans="1:9" x14ac:dyDescent="0.2">
      <c r="A18" s="446"/>
      <c r="B18" s="696"/>
      <c r="C18" s="696"/>
      <c r="D18" s="696"/>
      <c r="E18" s="696"/>
      <c r="F18" s="696"/>
      <c r="G18" s="696"/>
      <c r="H18" s="446"/>
      <c r="I18" s="446"/>
    </row>
    <row r="19" spans="1:9" ht="12" customHeight="1" x14ac:dyDescent="0.2">
      <c r="A19" s="446"/>
      <c r="B19" s="696"/>
      <c r="C19" s="696"/>
      <c r="D19" s="696"/>
      <c r="E19" s="696"/>
      <c r="F19" s="696"/>
      <c r="G19" s="696"/>
      <c r="H19" s="446"/>
      <c r="I19" s="446"/>
    </row>
    <row r="20" spans="1:9" x14ac:dyDescent="0.2">
      <c r="A20" s="446"/>
      <c r="B20" s="696"/>
      <c r="C20" s="696"/>
      <c r="D20" s="696"/>
      <c r="E20" s="696"/>
      <c r="F20" s="696"/>
      <c r="G20" s="696"/>
      <c r="H20" s="460"/>
      <c r="I20" s="450" t="s">
        <v>224</v>
      </c>
    </row>
    <row r="21" spans="1:9" x14ac:dyDescent="0.2">
      <c r="A21" s="446"/>
      <c r="B21" s="461" t="s">
        <v>368</v>
      </c>
      <c r="C21" s="446"/>
      <c r="D21" s="446"/>
      <c r="E21" s="460"/>
      <c r="F21" s="460"/>
      <c r="G21" s="460"/>
      <c r="H21" s="446"/>
      <c r="I21" s="446" t="s">
        <v>225</v>
      </c>
    </row>
    <row r="22" spans="1:9" x14ac:dyDescent="0.2">
      <c r="A22" s="446"/>
      <c r="B22" s="462" t="str">
        <f>'Screening Emission Calculations'!B56</f>
        <v>CAT 27 - 750 kW</v>
      </c>
      <c r="C22" s="463">
        <f>'Screening Emission Calculations'!C56</f>
        <v>5360</v>
      </c>
      <c r="D22" s="446" t="s">
        <v>369</v>
      </c>
      <c r="E22" s="446"/>
      <c r="F22" s="446"/>
      <c r="G22" s="446"/>
      <c r="H22" s="446"/>
      <c r="I22" s="446" t="s">
        <v>226</v>
      </c>
    </row>
    <row r="23" spans="1:9" x14ac:dyDescent="0.2">
      <c r="A23" s="446"/>
      <c r="B23" s="462" t="str">
        <f>'Screening Emission Calculations'!B57</f>
        <v>CAT 27 - 800 kW</v>
      </c>
      <c r="C23" s="463">
        <f>'Screening Emission Calculations'!C57</f>
        <v>5730</v>
      </c>
      <c r="D23" s="446" t="s">
        <v>369</v>
      </c>
      <c r="E23" s="446"/>
      <c r="F23" s="446"/>
      <c r="G23" s="446"/>
      <c r="H23" s="446"/>
      <c r="I23" s="446" t="s">
        <v>228</v>
      </c>
    </row>
    <row r="24" spans="1:9" x14ac:dyDescent="0.2">
      <c r="A24" s="446"/>
      <c r="B24" s="462" t="str">
        <f>'Screening Emission Calculations'!B58</f>
        <v>CAT 32 - 1000 kW</v>
      </c>
      <c r="C24" s="463">
        <f>'Screening Emission Calculations'!C58</f>
        <v>7190.0000000000009</v>
      </c>
      <c r="D24" s="446" t="s">
        <v>369</v>
      </c>
      <c r="E24" s="446"/>
      <c r="F24" s="446"/>
      <c r="G24" s="446"/>
      <c r="H24" s="446"/>
      <c r="I24" s="446" t="s">
        <v>230</v>
      </c>
    </row>
    <row r="25" spans="1:9" x14ac:dyDescent="0.2">
      <c r="A25" s="446"/>
      <c r="B25" s="462" t="str">
        <f>'Screening Emission Calculations'!B59</f>
        <v>CAT 3516C Trans - 1825 kW</v>
      </c>
      <c r="C25" s="463">
        <f>'Screening Emission Calculations'!C59</f>
        <v>12840</v>
      </c>
      <c r="D25" s="446" t="s">
        <v>369</v>
      </c>
      <c r="E25" s="446"/>
      <c r="F25" s="446"/>
      <c r="G25" s="446"/>
      <c r="H25" s="446"/>
      <c r="I25" s="446" t="s">
        <v>232</v>
      </c>
    </row>
    <row r="26" spans="1:9" x14ac:dyDescent="0.2">
      <c r="A26" s="446"/>
      <c r="B26" s="462" t="str">
        <f>'Screening Emission Calculations'!B60</f>
        <v>CAT 3516C - 2000 kW</v>
      </c>
      <c r="C26" s="463">
        <f>'Screening Emission Calculations'!C60</f>
        <v>13890</v>
      </c>
      <c r="D26" s="446" t="s">
        <v>369</v>
      </c>
      <c r="E26" s="446"/>
      <c r="F26" s="446"/>
      <c r="G26" s="446"/>
      <c r="H26" s="446"/>
      <c r="I26" s="446" t="s">
        <v>234</v>
      </c>
    </row>
    <row r="27" spans="1:9" x14ac:dyDescent="0.2">
      <c r="A27" s="446"/>
      <c r="B27" s="462" t="str">
        <f>'Screening Emission Calculations'!B61</f>
        <v>CAT 3516C - 2500 kW</v>
      </c>
      <c r="C27" s="463">
        <f>'Screening Emission Calculations'!C61</f>
        <v>17350</v>
      </c>
      <c r="D27" s="446" t="s">
        <v>369</v>
      </c>
      <c r="E27" s="446"/>
      <c r="F27" s="446"/>
      <c r="G27" s="446"/>
      <c r="H27" s="446"/>
      <c r="I27" s="446" t="s">
        <v>236</v>
      </c>
    </row>
    <row r="28" spans="1:9" x14ac:dyDescent="0.2">
      <c r="A28" s="446"/>
      <c r="B28" s="462" t="str">
        <f>'Screening Emission Calculations'!B62</f>
        <v>MTU 2250 - 2250 kW</v>
      </c>
      <c r="C28" s="463">
        <f>'Screening Emission Calculations'!C62</f>
        <v>16300</v>
      </c>
      <c r="D28" s="446" t="s">
        <v>369</v>
      </c>
      <c r="E28" s="446"/>
      <c r="F28" s="446"/>
      <c r="G28" s="446"/>
      <c r="H28" s="446"/>
      <c r="I28" s="446" t="s">
        <v>237</v>
      </c>
    </row>
    <row r="29" spans="1:9" x14ac:dyDescent="0.2">
      <c r="A29" s="446"/>
      <c r="B29" s="462" t="str">
        <f>'Screening Emission Calculations'!B63</f>
        <v>CAT C18 - 750 kW</v>
      </c>
      <c r="C29" s="463">
        <f>'Screening Emission Calculations'!C63</f>
        <v>5360</v>
      </c>
      <c r="D29" s="446" t="s">
        <v>369</v>
      </c>
      <c r="E29" s="446"/>
      <c r="F29" s="446"/>
      <c r="G29" s="446"/>
      <c r="H29" s="446"/>
      <c r="I29" s="446" t="s">
        <v>239</v>
      </c>
    </row>
    <row r="30" spans="1:9" x14ac:dyDescent="0.2">
      <c r="A30" s="446"/>
      <c r="B30" s="462" t="str">
        <f>'Screening Emission Calculations'!B64</f>
        <v>CAT 3512C - 1500 kW</v>
      </c>
      <c r="C30" s="463">
        <f>'Screening Emission Calculations'!C64</f>
        <v>10320</v>
      </c>
      <c r="D30" s="446" t="s">
        <v>369</v>
      </c>
      <c r="E30" s="446"/>
      <c r="F30" s="446"/>
      <c r="G30" s="446"/>
      <c r="H30" s="446"/>
      <c r="I30" s="446"/>
    </row>
    <row r="31" spans="1:9" x14ac:dyDescent="0.2">
      <c r="A31" s="446"/>
      <c r="B31" s="462"/>
      <c r="C31" s="446"/>
      <c r="D31" s="446"/>
      <c r="E31" s="446"/>
      <c r="F31" s="446"/>
      <c r="G31" s="446"/>
      <c r="H31" s="446"/>
      <c r="I31" s="446"/>
    </row>
    <row r="32" spans="1:9" x14ac:dyDescent="0.2">
      <c r="A32" s="446"/>
      <c r="B32" s="447" t="s">
        <v>370</v>
      </c>
      <c r="C32" s="446"/>
      <c r="D32" s="446"/>
      <c r="E32" s="446"/>
      <c r="F32" s="446"/>
      <c r="G32" s="446"/>
      <c r="H32" s="446"/>
      <c r="I32" s="446"/>
    </row>
    <row r="33" spans="1:9" x14ac:dyDescent="0.2">
      <c r="A33" s="446"/>
      <c r="B33" s="697" t="s">
        <v>360</v>
      </c>
      <c r="C33" s="699" t="s">
        <v>371</v>
      </c>
      <c r="D33" s="446"/>
      <c r="E33" s="446"/>
      <c r="F33" s="446"/>
      <c r="G33" s="446"/>
      <c r="H33" s="446"/>
      <c r="I33" s="446"/>
    </row>
    <row r="34" spans="1:9" x14ac:dyDescent="0.2">
      <c r="A34" s="446"/>
      <c r="B34" s="698"/>
      <c r="C34" s="700"/>
      <c r="D34" s="446"/>
      <c r="E34" s="446"/>
      <c r="F34" s="446"/>
      <c r="G34" s="446"/>
      <c r="H34" s="446"/>
      <c r="I34" s="446"/>
    </row>
    <row r="35" spans="1:9" x14ac:dyDescent="0.2">
      <c r="A35" s="446"/>
      <c r="B35" s="464" t="s">
        <v>372</v>
      </c>
      <c r="C35" s="465">
        <f>ROUNDUP('Criteria 39tpy'!J17,0)</f>
        <v>269504</v>
      </c>
      <c r="D35" s="446"/>
      <c r="E35" s="701" t="s">
        <v>373</v>
      </c>
      <c r="F35" s="702"/>
      <c r="G35" s="466">
        <f>ResCanF!B2</f>
        <v>293875</v>
      </c>
      <c r="H35" s="446"/>
      <c r="I35" s="446"/>
    </row>
    <row r="36" spans="1:9" x14ac:dyDescent="0.2">
      <c r="A36" s="446"/>
      <c r="B36" s="467" t="str">
        <f>C6</f>
        <v>SKILODG1</v>
      </c>
      <c r="C36" s="468">
        <f>INDEX($C$22:$C$30,MATCH(I6,$I$21:$I$29,0))</f>
        <v>5360</v>
      </c>
      <c r="D36" s="446"/>
      <c r="E36" s="703" t="s">
        <v>374</v>
      </c>
      <c r="F36" s="704"/>
      <c r="G36" s="469">
        <f>ResCanF!C2</f>
        <v>5079550</v>
      </c>
      <c r="H36" s="446"/>
      <c r="I36" s="446"/>
    </row>
    <row r="37" spans="1:9" x14ac:dyDescent="0.2">
      <c r="A37" s="446"/>
      <c r="B37" s="467" t="str">
        <f>C7</f>
        <v>B04_G17C</v>
      </c>
      <c r="C37" s="468">
        <f>INDEX($C$22:$C$30,MATCH(I7,$I$21:$I$29,0))</f>
        <v>16300</v>
      </c>
      <c r="D37" s="446"/>
      <c r="E37" s="470" t="s">
        <v>375</v>
      </c>
      <c r="F37" s="471"/>
      <c r="G37" s="472">
        <f>C40*F9+SUM(F6:F8)</f>
        <v>2.8005619836095677</v>
      </c>
      <c r="H37" s="446"/>
      <c r="I37" s="446"/>
    </row>
    <row r="38" spans="1:9" x14ac:dyDescent="0.2">
      <c r="A38" s="446"/>
      <c r="B38" s="473" t="str">
        <f>C8</f>
        <v>B04_G17B</v>
      </c>
      <c r="C38" s="468">
        <f>INDEX($C$22:$C$30,MATCH(I8,$I$21:$I$29,0))</f>
        <v>16300</v>
      </c>
      <c r="D38" s="446"/>
      <c r="E38" s="474" t="s">
        <v>376</v>
      </c>
      <c r="F38" s="475"/>
      <c r="G38" s="476">
        <f>C40*G9+SUM(G6:G8)</f>
        <v>6.5268107704784084E-2</v>
      </c>
      <c r="H38" s="446"/>
      <c r="I38" s="446"/>
    </row>
    <row r="39" spans="1:9" x14ac:dyDescent="0.2">
      <c r="A39" s="446"/>
      <c r="B39" s="473" t="str">
        <f>C9</f>
        <v>B52_G08A</v>
      </c>
      <c r="C39" s="468">
        <f>C35-SUM(C36:C38)</f>
        <v>231544</v>
      </c>
      <c r="D39" s="446"/>
      <c r="E39" s="450"/>
      <c r="F39" s="450"/>
      <c r="G39" s="477"/>
      <c r="H39" s="446"/>
      <c r="I39" s="446"/>
    </row>
    <row r="40" spans="1:9" x14ac:dyDescent="0.2">
      <c r="A40" s="446"/>
      <c r="B40" s="478" t="s">
        <v>377</v>
      </c>
      <c r="C40" s="479">
        <f>C39/C27</f>
        <v>13.345475504322767</v>
      </c>
      <c r="D40" s="446"/>
      <c r="E40" s="450"/>
      <c r="F40" s="450"/>
      <c r="G40" s="477"/>
      <c r="H40" s="446"/>
      <c r="I40" s="446"/>
    </row>
    <row r="41" spans="1:9" x14ac:dyDescent="0.2">
      <c r="B41" s="203"/>
      <c r="C41" s="204"/>
      <c r="E41" s="69"/>
      <c r="F41" s="69"/>
      <c r="G41" s="69"/>
    </row>
    <row r="42" spans="1:9" x14ac:dyDescent="0.2">
      <c r="B42" s="203"/>
      <c r="C42" s="204"/>
      <c r="E42" s="69"/>
      <c r="F42" s="69"/>
      <c r="G42" s="69"/>
    </row>
    <row r="43" spans="1:9" x14ac:dyDescent="0.2">
      <c r="B43" s="203"/>
      <c r="C43" s="204"/>
    </row>
  </sheetData>
  <mergeCells count="11">
    <mergeCell ref="G3:G5"/>
    <mergeCell ref="B3:B5"/>
    <mergeCell ref="C3:C5"/>
    <mergeCell ref="D3:D4"/>
    <mergeCell ref="E3:E4"/>
    <mergeCell ref="F3:F5"/>
    <mergeCell ref="B10:G20"/>
    <mergeCell ref="B33:B34"/>
    <mergeCell ref="C33:C34"/>
    <mergeCell ref="E35:F35"/>
    <mergeCell ref="E36:F36"/>
  </mergeCells>
  <pageMargins left="0.7" right="0.7" top="0.75" bottom="0.75" header="0.3" footer="0.3"/>
  <pageSetup scale="95" fitToHeight="0" orientation="landscape"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819C5-68A3-424B-8D78-A2F9DBE23022}">
  <sheetPr codeName="Sheet12">
    <pageSetUpPr fitToPage="1"/>
  </sheetPr>
  <dimension ref="B1:N77"/>
  <sheetViews>
    <sheetView view="pageBreakPreview" topLeftCell="A22" zoomScaleNormal="100" zoomScaleSheetLayoutView="100" workbookViewId="0">
      <selection activeCell="C41" sqref="C41"/>
    </sheetView>
  </sheetViews>
  <sheetFormatPr defaultColWidth="9.140625" defaultRowHeight="12.75" x14ac:dyDescent="0.2"/>
  <cols>
    <col min="1" max="1" width="3" style="195" customWidth="1"/>
    <col min="2" max="2" width="26.140625" style="195" customWidth="1"/>
    <col min="3" max="3" width="20.7109375" style="195" customWidth="1"/>
    <col min="4" max="4" width="15.85546875" style="195" customWidth="1"/>
    <col min="5" max="5" width="28" style="195" customWidth="1"/>
    <col min="6" max="6" width="22.42578125" style="195" customWidth="1"/>
    <col min="7" max="7" width="14.7109375" style="195" customWidth="1"/>
    <col min="8" max="9" width="16.7109375" style="195" customWidth="1"/>
    <col min="10" max="11" width="17.140625" style="195" customWidth="1"/>
    <col min="12" max="12" width="10" style="195" customWidth="1"/>
    <col min="13" max="13" width="9.140625" style="195"/>
    <col min="14" max="14" width="6.28515625" style="201" customWidth="1"/>
    <col min="15" max="15" width="9.140625" style="195"/>
    <col min="16" max="16" width="7" style="195" customWidth="1"/>
    <col min="17" max="16384" width="9.140625" style="195"/>
  </cols>
  <sheetData>
    <row r="1" spans="2:10" x14ac:dyDescent="0.2">
      <c r="B1" s="446"/>
      <c r="C1" s="446"/>
      <c r="D1" s="446"/>
      <c r="E1" s="446"/>
      <c r="F1" s="446"/>
      <c r="G1" s="446"/>
      <c r="H1" s="446"/>
      <c r="I1" s="446"/>
      <c r="J1" s="195">
        <v>4</v>
      </c>
    </row>
    <row r="2" spans="2:10" x14ac:dyDescent="0.2">
      <c r="B2" s="447" t="s">
        <v>378</v>
      </c>
      <c r="C2" s="446"/>
      <c r="D2" s="446"/>
      <c r="E2" s="446"/>
      <c r="F2" s="446"/>
      <c r="G2" s="446"/>
      <c r="H2" s="446"/>
      <c r="I2" s="446"/>
    </row>
    <row r="3" spans="2:10" ht="12.75" customHeight="1" x14ac:dyDescent="0.2">
      <c r="B3" s="708" t="s">
        <v>359</v>
      </c>
      <c r="C3" s="711" t="s">
        <v>360</v>
      </c>
      <c r="D3" s="714" t="s">
        <v>361</v>
      </c>
      <c r="E3" s="716" t="s">
        <v>362</v>
      </c>
      <c r="F3" s="714" t="s">
        <v>363</v>
      </c>
      <c r="G3" s="705" t="s">
        <v>364</v>
      </c>
      <c r="H3" s="446"/>
      <c r="I3" s="446"/>
    </row>
    <row r="4" spans="2:10" x14ac:dyDescent="0.2">
      <c r="B4" s="709"/>
      <c r="C4" s="712"/>
      <c r="D4" s="715"/>
      <c r="E4" s="717"/>
      <c r="F4" s="715"/>
      <c r="G4" s="706"/>
      <c r="H4" s="446"/>
      <c r="I4" s="446"/>
    </row>
    <row r="5" spans="2:10" ht="14.25" x14ac:dyDescent="0.2">
      <c r="B5" s="710"/>
      <c r="C5" s="713"/>
      <c r="D5" s="448" t="s">
        <v>365</v>
      </c>
      <c r="E5" s="449" t="s">
        <v>366</v>
      </c>
      <c r="F5" s="718"/>
      <c r="G5" s="707"/>
      <c r="H5" s="446"/>
      <c r="I5" s="446"/>
      <c r="J5" s="212" t="s">
        <v>224</v>
      </c>
    </row>
    <row r="6" spans="2:10" ht="15" x14ac:dyDescent="0.25">
      <c r="B6" s="451">
        <v>1</v>
      </c>
      <c r="C6" s="452" t="str">
        <f>INDEX(ChiCanF!$A:$A,MATCH(LARGE(ChiCanF!$F:$F,'Final Child Risk'!$B6),ChiCanF!$F:$F,0))</f>
        <v>SKILODG1</v>
      </c>
      <c r="D6" s="480">
        <f>INDEX(ChiCanF!D:D,MATCH('Final Child Risk'!$C6,ChiCanF!$A:$A,0))</f>
        <v>0.20622199999999999</v>
      </c>
      <c r="E6" s="481" cm="1">
        <f t="array" ref="E6">INDEX('Screening REER'!$D$587:$J$595,MATCH('Final Child Risk'!J6,'Screening REER'!$N$587:$N$595,0),$J$1)</f>
        <v>8.5619316583953199E-4</v>
      </c>
      <c r="F6" s="482">
        <f>INDEX(ChiCanF!F:F,MATCH('Final Child Risk'!$C6,ChiCanF!$A:$A,0))</f>
        <v>1.4827361800000001E-3</v>
      </c>
      <c r="G6" s="483">
        <f>D6*E6</f>
        <v>1.7656586704575995E-4</v>
      </c>
      <c r="H6" s="446">
        <f>RANK(F6,F$6:F$25)</f>
        <v>1</v>
      </c>
      <c r="I6" s="446">
        <f>RANK(G6,G$6:G$25)</f>
        <v>1</v>
      </c>
      <c r="J6" s="2" t="str">
        <f>INDEX('Gen IDs'!$A$2:$C$99,MATCH(C6,'Gen IDs'!$A$2:$A$99,0),2)</f>
        <v>Type H</v>
      </c>
    </row>
    <row r="7" spans="2:10" ht="15" x14ac:dyDescent="0.25">
      <c r="B7" s="456">
        <v>2</v>
      </c>
      <c r="C7" s="457" t="str">
        <f>INDEX(ChiCanF!$A:$A,MATCH(LARGE(ChiCanF!$F:$F,'Final Child Risk'!$B7),ChiCanF!$F:$F,0))</f>
        <v>PORTABLE</v>
      </c>
      <c r="D7" s="484">
        <f>INDEX(ChiCanF!D:D,MATCH('Final Child Risk'!$C7,ChiCanF!$A:$A,0))</f>
        <v>8.3465499999999998E-2</v>
      </c>
      <c r="E7" s="454" cm="1">
        <f t="array" ref="E7">INDEX('Screening REER'!$D$587:$J$595,MATCH('Final Child Risk'!J7,'Screening REER'!$N$587:$N$595,0),$J$1)</f>
        <v>2.4778813168666025E-4</v>
      </c>
      <c r="F7" s="485">
        <f>INDEX(ChiCanF!F:F,MATCH('Final Child Risk'!$C7,ChiCanF!$A:$A,0))</f>
        <v>1.6359238E-4</v>
      </c>
      <c r="G7" s="486">
        <f>D7*E7</f>
        <v>2.0681760305292941E-5</v>
      </c>
      <c r="H7" s="446">
        <f t="shared" ref="H7:I25" si="0">RANK(F7,F$6:F$25)</f>
        <v>2</v>
      </c>
      <c r="I7" s="446">
        <f t="shared" si="0"/>
        <v>3</v>
      </c>
      <c r="J7" s="2" t="str">
        <f>INDEX('Gen IDs'!$A$2:$C$99,MATCH(C7,'Gen IDs'!$A$2:$A$99,0),2)</f>
        <v>Type D</v>
      </c>
    </row>
    <row r="8" spans="2:10" ht="15" x14ac:dyDescent="0.25">
      <c r="B8" s="456">
        <v>3</v>
      </c>
      <c r="C8" s="457" t="str">
        <f>INDEX(ChiCanF!$A:$A,MATCH(LARGE(ChiCanF!$F:$F,'Final Child Risk'!$B8),ChiCanF!$F:$F,0))</f>
        <v>P04_GEN2</v>
      </c>
      <c r="D8" s="484">
        <f>INDEX(ChiCanF!D:D,MATCH('Final Child Risk'!$C8,ChiCanF!$A:$A,0))</f>
        <v>0.18708900000000001</v>
      </c>
      <c r="E8" s="454" cm="1">
        <f t="array" ref="E8">INDEX('Screening REER'!$D$587:$J$595,MATCH('Final Child Risk'!J8,'Screening REER'!$N$587:$N$595,0),$J$1)</f>
        <v>1.1057834848633674E-4</v>
      </c>
      <c r="F8" s="485">
        <f>INDEX(ChiCanF!F:F,MATCH('Final Child Risk'!$C8,ChiCanF!$A:$A,0))</f>
        <v>1.6351578600000001E-4</v>
      </c>
      <c r="G8" s="486">
        <f t="shared" ref="G8:G25" si="1">D8*E8</f>
        <v>2.0687992639960253E-5</v>
      </c>
      <c r="H8" s="446">
        <f t="shared" si="0"/>
        <v>3</v>
      </c>
      <c r="I8" s="446">
        <f t="shared" si="0"/>
        <v>2</v>
      </c>
      <c r="J8" s="2" t="str">
        <f>INDEX('Gen IDs'!$A$2:$C$99,MATCH(C8,'Gen IDs'!$A$2:$A$99,0),2)</f>
        <v>Type B</v>
      </c>
    </row>
    <row r="9" spans="2:10" ht="15" x14ac:dyDescent="0.25">
      <c r="B9" s="456">
        <v>4</v>
      </c>
      <c r="C9" s="457" t="str">
        <f>INDEX(ChiCanF!$A:$A,MATCH(LARGE(ChiCanF!$F:$F,'Final Child Risk'!$B9),ChiCanF!$F:$F,0))</f>
        <v>P04_GEN4</v>
      </c>
      <c r="D9" s="484">
        <f>INDEX(ChiCanF!D:D,MATCH('Final Child Risk'!$C9,ChiCanF!$A:$A,0))</f>
        <v>0.19703200000000001</v>
      </c>
      <c r="E9" s="454" cm="1">
        <f t="array" ref="E9">INDEX('Screening REER'!$D$587:$J$595,MATCH('Final Child Risk'!J9,'Screening REER'!$N$587:$N$595,0),$J$1)</f>
        <v>1.034380362804127E-4</v>
      </c>
      <c r="F9" s="485">
        <f>INDEX(ChiCanF!F:F,MATCH('Final Child Risk'!$C9,ChiCanF!$A:$A,0))</f>
        <v>1.6117217600000001E-4</v>
      </c>
      <c r="G9" s="486">
        <f t="shared" si="1"/>
        <v>2.0380603164402276E-5</v>
      </c>
      <c r="H9" s="446">
        <f t="shared" si="0"/>
        <v>4</v>
      </c>
      <c r="I9" s="446">
        <f t="shared" si="0"/>
        <v>4</v>
      </c>
      <c r="J9" s="2" t="str">
        <f>INDEX('Gen IDs'!$A$2:$C$99,MATCH(C9,'Gen IDs'!$A$2:$A$99,0),2)</f>
        <v>Type A</v>
      </c>
    </row>
    <row r="10" spans="2:10" ht="15" x14ac:dyDescent="0.25">
      <c r="B10" s="456">
        <v>5</v>
      </c>
      <c r="C10" s="457" t="str">
        <f>INDEX(ChiCanF!$A:$A,MATCH(LARGE(ChiCanF!$F:$F,'Final Child Risk'!$B10),ChiCanF!$F:$F,0))</f>
        <v>P04_GEN6</v>
      </c>
      <c r="D10" s="484">
        <f>INDEX(ChiCanF!D:D,MATCH('Final Child Risk'!$C10,ChiCanF!$A:$A,0))</f>
        <v>0.19597100000000001</v>
      </c>
      <c r="E10" s="454" cm="1">
        <f t="array" ref="E10">INDEX('Screening REER'!$D$587:$J$595,MATCH('Final Child Risk'!J10,'Screening REER'!$N$587:$N$595,0),$J$1)</f>
        <v>1.034380362804127E-4</v>
      </c>
      <c r="F10" s="485">
        <f>INDEX(ChiCanF!F:F,MATCH('Final Child Risk'!$C10,ChiCanF!$A:$A,0))</f>
        <v>1.60304278E-4</v>
      </c>
      <c r="G10" s="486">
        <f t="shared" si="1"/>
        <v>2.0270855407908756E-5</v>
      </c>
      <c r="H10" s="446">
        <f t="shared" si="0"/>
        <v>5</v>
      </c>
      <c r="I10" s="446">
        <f t="shared" si="0"/>
        <v>5</v>
      </c>
      <c r="J10" s="2" t="str">
        <f>INDEX('Gen IDs'!$A$2:$C$99,MATCH(C10,'Gen IDs'!$A$2:$A$99,0),2)</f>
        <v>Type A</v>
      </c>
    </row>
    <row r="11" spans="2:10" ht="15" x14ac:dyDescent="0.25">
      <c r="B11" s="456">
        <v>6</v>
      </c>
      <c r="C11" s="457" t="str">
        <f>INDEX(ChiCanF!$A:$A,MATCH(LARGE(ChiCanF!$F:$F,'Final Child Risk'!$B11),ChiCanF!$F:$F,0))</f>
        <v>P04_GEN5</v>
      </c>
      <c r="D11" s="484">
        <f>INDEX(ChiCanF!D:D,MATCH('Final Child Risk'!$C11,ChiCanF!$A:$A,0))</f>
        <v>0.177816</v>
      </c>
      <c r="E11" s="454" cm="1">
        <f t="array" ref="E11">INDEX('Screening REER'!$D$587:$J$595,MATCH('Final Child Risk'!J11,'Screening REER'!$N$587:$N$595,0),$J$1)</f>
        <v>1.1057834848633674E-4</v>
      </c>
      <c r="F11" s="485">
        <f>INDEX(ChiCanF!F:F,MATCH('Final Child Risk'!$C11,ChiCanF!$A:$A,0))</f>
        <v>1.5541118399999999E-4</v>
      </c>
      <c r="G11" s="486">
        <f t="shared" si="1"/>
        <v>1.9662599614446453E-5</v>
      </c>
      <c r="H11" s="446">
        <f t="shared" si="0"/>
        <v>6</v>
      </c>
      <c r="I11" s="446">
        <f t="shared" si="0"/>
        <v>6</v>
      </c>
      <c r="J11" s="2" t="str">
        <f>INDEX('Gen IDs'!$A$2:$C$99,MATCH(C11,'Gen IDs'!$A$2:$A$99,0),2)</f>
        <v>Type B</v>
      </c>
    </row>
    <row r="12" spans="2:10" ht="15" x14ac:dyDescent="0.25">
      <c r="B12" s="456">
        <v>7</v>
      </c>
      <c r="C12" s="457" t="str">
        <f>INDEX(ChiCanF!$A:$A,MATCH(LARGE(ChiCanF!$F:$F,'Final Child Risk'!$B12),ChiCanF!$F:$F,0))</f>
        <v>P04_GEN3</v>
      </c>
      <c r="D12" s="484">
        <f>INDEX(ChiCanF!D:D,MATCH('Final Child Risk'!$C12,ChiCanF!$A:$A,0))</f>
        <v>0.17702899999999999</v>
      </c>
      <c r="E12" s="454" cm="1">
        <f t="array" ref="E12">INDEX('Screening REER'!$D$587:$J$595,MATCH('Final Child Risk'!J12,'Screening REER'!$N$587:$N$595,0),$J$1)</f>
        <v>1.1057834848633674E-4</v>
      </c>
      <c r="F12" s="485">
        <f>INDEX(ChiCanF!F:F,MATCH('Final Child Risk'!$C12,ChiCanF!$A:$A,0))</f>
        <v>1.54723346E-4</v>
      </c>
      <c r="G12" s="486">
        <f t="shared" si="1"/>
        <v>1.9575574454187704E-5</v>
      </c>
      <c r="H12" s="446">
        <f t="shared" si="0"/>
        <v>7</v>
      </c>
      <c r="I12" s="446">
        <f t="shared" si="0"/>
        <v>7</v>
      </c>
      <c r="J12" s="2" t="str">
        <f>INDEX('Gen IDs'!$A$2:$C$99,MATCH(C12,'Gen IDs'!$A$2:$A$99,0),2)</f>
        <v>Type B</v>
      </c>
    </row>
    <row r="13" spans="2:10" ht="15" x14ac:dyDescent="0.25">
      <c r="B13" s="456">
        <v>8</v>
      </c>
      <c r="C13" s="457" t="str">
        <f>INDEX(ChiCanF!$A:$A,MATCH(LARGE(ChiCanF!$F:$F,'Final Child Risk'!$B13),ChiCanF!$F:$F,0))</f>
        <v>P04_GEN1</v>
      </c>
      <c r="D13" s="484">
        <f>INDEX(ChiCanF!D:D,MATCH('Final Child Risk'!$C13,ChiCanF!$A:$A,0))</f>
        <v>0.187141</v>
      </c>
      <c r="E13" s="454" cm="1">
        <f t="array" ref="E13">INDEX('Screening REER'!$D$587:$J$595,MATCH('Final Child Risk'!J13,'Screening REER'!$N$587:$N$595,0),$J$1)</f>
        <v>1.034380362804127E-4</v>
      </c>
      <c r="F13" s="485">
        <f>INDEX(ChiCanF!F:F,MATCH('Final Child Risk'!$C13,ChiCanF!$A:$A,0))</f>
        <v>1.5308133800000001E-4</v>
      </c>
      <c r="G13" s="486">
        <f t="shared" si="1"/>
        <v>1.9357497547552713E-5</v>
      </c>
      <c r="H13" s="446">
        <f t="shared" si="0"/>
        <v>8</v>
      </c>
      <c r="I13" s="446">
        <f t="shared" si="0"/>
        <v>8</v>
      </c>
      <c r="J13" s="2" t="str">
        <f>INDEX('Gen IDs'!$A$2:$C$99,MATCH(C13,'Gen IDs'!$A$2:$A$99,0),2)</f>
        <v>Type A</v>
      </c>
    </row>
    <row r="14" spans="2:10" ht="15" x14ac:dyDescent="0.25">
      <c r="B14" s="456">
        <v>9</v>
      </c>
      <c r="C14" s="457" t="str">
        <f>INDEX(ChiCanF!$A:$A,MATCH(LARGE(ChiCanF!$F:$F,'Final Child Risk'!$B14),ChiCanF!$F:$F,0))</f>
        <v>P04_GENC</v>
      </c>
      <c r="D14" s="484">
        <f>INDEX(ChiCanF!D:D,MATCH('Final Child Risk'!$C14,ChiCanF!$A:$A,0))</f>
        <v>0.137771</v>
      </c>
      <c r="E14" s="454" cm="1">
        <f t="array" ref="E14">INDEX('Screening REER'!$D$587:$J$595,MATCH('Final Child Risk'!J14,'Screening REER'!$N$587:$N$595,0),$J$1)</f>
        <v>1.3875363448809095E-4</v>
      </c>
      <c r="F14" s="485">
        <f>INDEX(ChiCanF!F:F,MATCH('Final Child Risk'!$C14,ChiCanF!$A:$A,0))</f>
        <v>1.515481E-4</v>
      </c>
      <c r="G14" s="486">
        <f t="shared" si="1"/>
        <v>1.9116226977058779E-5</v>
      </c>
      <c r="H14" s="446">
        <f t="shared" si="0"/>
        <v>9</v>
      </c>
      <c r="I14" s="446">
        <f t="shared" si="0"/>
        <v>9</v>
      </c>
      <c r="J14" s="2" t="str">
        <f>INDEX('Gen IDs'!$A$2:$C$99,MATCH(C14,'Gen IDs'!$A$2:$A$99,0),2)</f>
        <v>Type C</v>
      </c>
    </row>
    <row r="15" spans="2:10" ht="15" x14ac:dyDescent="0.25">
      <c r="B15" s="456">
        <v>10</v>
      </c>
      <c r="C15" s="457" t="str">
        <f>INDEX(ChiCanF!$A:$A,MATCH(LARGE(ChiCanF!$F:$F,'Final Child Risk'!$B15),ChiCanF!$F:$F,0))</f>
        <v>B04_G15A</v>
      </c>
      <c r="D15" s="484">
        <f>INDEX(ChiCanF!D:D,MATCH('Final Child Risk'!$C15,ChiCanF!$A:$A,0))</f>
        <v>6.7490800000000004E-2</v>
      </c>
      <c r="E15" s="454" cm="1">
        <f t="array" ref="E15">INDEX('Screening REER'!$D$587:$J$595,MATCH('Final Child Risk'!J15,'Screening REER'!$N$587:$N$595,0),$J$1)</f>
        <v>2.6805117983860684E-4</v>
      </c>
      <c r="F15" s="485">
        <f>INDEX(ChiCanF!F:F,MATCH('Final Child Risk'!$C15,ChiCanF!$A:$A,0))</f>
        <v>1.4308049599999999E-4</v>
      </c>
      <c r="G15" s="486">
        <f t="shared" si="1"/>
        <v>1.8090988568251447E-5</v>
      </c>
      <c r="H15" s="446">
        <f t="shared" si="0"/>
        <v>10</v>
      </c>
      <c r="I15" s="446">
        <f t="shared" si="0"/>
        <v>10</v>
      </c>
      <c r="J15" s="2" t="str">
        <f>INDEX('Gen IDs'!$A$2:$C$99,MATCH(C15,'Gen IDs'!$A$2:$A$99,0),2)</f>
        <v>Type E</v>
      </c>
    </row>
    <row r="16" spans="2:10" ht="15" x14ac:dyDescent="0.25">
      <c r="B16" s="456">
        <v>11</v>
      </c>
      <c r="C16" s="457" t="str">
        <f>INDEX(ChiCanF!$A:$A,MATCH(LARGE(ChiCanF!$F:$F,'Final Child Risk'!$B16),ChiCanF!$F:$F,0))</f>
        <v>B04_G15B</v>
      </c>
      <c r="D16" s="484">
        <f>INDEX(ChiCanF!D:D,MATCH('Final Child Risk'!$C16,ChiCanF!$A:$A,0))</f>
        <v>6.7370600000000003E-2</v>
      </c>
      <c r="E16" s="454" cm="1">
        <f t="array" ref="E16">INDEX('Screening REER'!$D$587:$J$595,MATCH('Final Child Risk'!J16,'Screening REER'!$N$587:$N$595,0),$J$1)</f>
        <v>2.6805117983860684E-4</v>
      </c>
      <c r="F16" s="485">
        <f>INDEX(ChiCanF!F:F,MATCH('Final Child Risk'!$C16,ChiCanF!$A:$A,0))</f>
        <v>1.4282567199999999E-4</v>
      </c>
      <c r="G16" s="486">
        <f t="shared" si="1"/>
        <v>1.8058768816434847E-5</v>
      </c>
      <c r="H16" s="446">
        <f t="shared" si="0"/>
        <v>11</v>
      </c>
      <c r="I16" s="446">
        <f t="shared" si="0"/>
        <v>11</v>
      </c>
      <c r="J16" s="2" t="str">
        <f>INDEX('Gen IDs'!$A$2:$C$99,MATCH(C16,'Gen IDs'!$A$2:$A$99,0),2)</f>
        <v>Type E</v>
      </c>
    </row>
    <row r="17" spans="2:10" ht="15" x14ac:dyDescent="0.25">
      <c r="B17" s="456">
        <v>12</v>
      </c>
      <c r="C17" s="457" t="str">
        <f>INDEX(ChiCanF!$A:$A,MATCH(LARGE(ChiCanF!$F:$F,'Final Child Risk'!$B17),ChiCanF!$F:$F,0))</f>
        <v>B04_G14B</v>
      </c>
      <c r="D17" s="484">
        <f>INDEX(ChiCanF!D:D,MATCH('Final Child Risk'!$C17,ChiCanF!$A:$A,0))</f>
        <v>6.7177899999999999E-2</v>
      </c>
      <c r="E17" s="454" cm="1">
        <f t="array" ref="E17">INDEX('Screening REER'!$D$587:$J$595,MATCH('Final Child Risk'!J17,'Screening REER'!$N$587:$N$595,0),$J$1)</f>
        <v>2.6805117983860684E-4</v>
      </c>
      <c r="F17" s="485">
        <f>INDEX(ChiCanF!F:F,MATCH('Final Child Risk'!$C17,ChiCanF!$A:$A,0))</f>
        <v>1.4241714799999999E-4</v>
      </c>
      <c r="G17" s="486">
        <f t="shared" si="1"/>
        <v>1.8007115354079945E-5</v>
      </c>
      <c r="H17" s="446">
        <f t="shared" si="0"/>
        <v>12</v>
      </c>
      <c r="I17" s="446">
        <f t="shared" si="0"/>
        <v>12</v>
      </c>
      <c r="J17" s="2" t="str">
        <f>INDEX('Gen IDs'!$A$2:$C$99,MATCH(C17,'Gen IDs'!$A$2:$A$99,0),2)</f>
        <v>Type E</v>
      </c>
    </row>
    <row r="18" spans="2:10" ht="15" x14ac:dyDescent="0.25">
      <c r="B18" s="456">
        <v>13</v>
      </c>
      <c r="C18" s="457" t="str">
        <f>INDEX(ChiCanF!$A:$A,MATCH(LARGE(ChiCanF!$F:$F,'Final Child Risk'!$B18),ChiCanF!$F:$F,0))</f>
        <v>B04_G14A</v>
      </c>
      <c r="D18" s="484">
        <f>INDEX(ChiCanF!D:D,MATCH('Final Child Risk'!$C18,ChiCanF!$A:$A,0))</f>
        <v>6.7075899999999994E-2</v>
      </c>
      <c r="E18" s="454" cm="1">
        <f t="array" ref="E18">INDEX('Screening REER'!$D$587:$J$595,MATCH('Final Child Risk'!J18,'Screening REER'!$N$587:$N$595,0),$J$1)</f>
        <v>2.6805117983860684E-4</v>
      </c>
      <c r="F18" s="485">
        <f>INDEX(ChiCanF!F:F,MATCH('Final Child Risk'!$C18,ChiCanF!$A:$A,0))</f>
        <v>1.4220090799999999E-4</v>
      </c>
      <c r="G18" s="486">
        <f t="shared" si="1"/>
        <v>1.7979774133736408E-5</v>
      </c>
      <c r="H18" s="446">
        <f t="shared" si="0"/>
        <v>13</v>
      </c>
      <c r="I18" s="446">
        <f t="shared" si="0"/>
        <v>13</v>
      </c>
      <c r="J18" s="2" t="str">
        <f>INDEX('Gen IDs'!$A$2:$C$99,MATCH(C18,'Gen IDs'!$A$2:$A$99,0),2)</f>
        <v>Type E</v>
      </c>
    </row>
    <row r="19" spans="2:10" ht="15" x14ac:dyDescent="0.25">
      <c r="B19" s="456">
        <v>14</v>
      </c>
      <c r="C19" s="457" t="str">
        <f>INDEX(ChiCanF!$A:$A,MATCH(LARGE(ChiCanF!$F:$F,'Final Child Risk'!$B19),ChiCanF!$F:$F,0))</f>
        <v>B04_G13B</v>
      </c>
      <c r="D19" s="484">
        <f>INDEX(ChiCanF!D:D,MATCH('Final Child Risk'!$C19,ChiCanF!$A:$A,0))</f>
        <v>6.7006099999999999E-2</v>
      </c>
      <c r="E19" s="454" cm="1">
        <f t="array" ref="E19">INDEX('Screening REER'!$D$587:$J$595,MATCH('Final Child Risk'!J19,'Screening REER'!$N$587:$N$595,0),$J$1)</f>
        <v>2.6805117983860684E-4</v>
      </c>
      <c r="F19" s="485">
        <f>INDEX(ChiCanF!F:F,MATCH('Final Child Risk'!$C19,ChiCanF!$A:$A,0))</f>
        <v>1.42052932E-4</v>
      </c>
      <c r="G19" s="486">
        <f t="shared" si="1"/>
        <v>1.7961064161383674E-5</v>
      </c>
      <c r="H19" s="446">
        <f t="shared" si="0"/>
        <v>14</v>
      </c>
      <c r="I19" s="446">
        <f t="shared" si="0"/>
        <v>14</v>
      </c>
      <c r="J19" s="2" t="str">
        <f>INDEX('Gen IDs'!$A$2:$C$99,MATCH(C19,'Gen IDs'!$A$2:$A$99,0),2)</f>
        <v>Type E</v>
      </c>
    </row>
    <row r="20" spans="2:10" ht="15" x14ac:dyDescent="0.25">
      <c r="B20" s="456">
        <v>15</v>
      </c>
      <c r="C20" s="457" t="str">
        <f>INDEX(ChiCanF!$A:$A,MATCH(LARGE(ChiCanF!$F:$F,'Final Child Risk'!$B20),ChiCanF!$F:$F,0))</f>
        <v>B04_G13A</v>
      </c>
      <c r="D20" s="484">
        <f>INDEX(ChiCanF!D:D,MATCH('Final Child Risk'!$C20,ChiCanF!$A:$A,0))</f>
        <v>6.6932500000000006E-2</v>
      </c>
      <c r="E20" s="454" cm="1">
        <f t="array" ref="E20">INDEX('Screening REER'!$D$587:$J$595,MATCH('Final Child Risk'!J20,'Screening REER'!$N$587:$N$595,0),$J$1)</f>
        <v>2.6805117983860684E-4</v>
      </c>
      <c r="F20" s="485">
        <f>INDEX(ChiCanF!F:F,MATCH('Final Child Risk'!$C20,ChiCanF!$A:$A,0))</f>
        <v>1.4189690000000001E-4</v>
      </c>
      <c r="G20" s="486">
        <f t="shared" si="1"/>
        <v>1.7941335594547553E-5</v>
      </c>
      <c r="H20" s="446">
        <f t="shared" si="0"/>
        <v>15</v>
      </c>
      <c r="I20" s="446">
        <f t="shared" si="0"/>
        <v>15</v>
      </c>
      <c r="J20" s="2" t="str">
        <f>INDEX('Gen IDs'!$A$2:$C$99,MATCH(C20,'Gen IDs'!$A$2:$A$99,0),2)</f>
        <v>Type E</v>
      </c>
    </row>
    <row r="21" spans="2:10" ht="15" x14ac:dyDescent="0.25">
      <c r="B21" s="456">
        <v>16</v>
      </c>
      <c r="C21" s="457" t="str">
        <f>INDEX(ChiCanF!$A:$A,MATCH(LARGE(ChiCanF!$F:$F,'Final Child Risk'!$B21),ChiCanF!$F:$F,0))</f>
        <v>B04_G17C</v>
      </c>
      <c r="D21" s="484">
        <f>INDEX(ChiCanF!D:D,MATCH('Final Child Risk'!$C21,ChiCanF!$A:$A,0))</f>
        <v>4.9726800000000002E-2</v>
      </c>
      <c r="E21" s="454" cm="1">
        <f t="array" ref="E21">INDEX('Screening REER'!$D$587:$J$595,MATCH('Final Child Risk'!J21,'Screening REER'!$N$587:$N$595,0),$J$1)</f>
        <v>3.1455969988259839E-4</v>
      </c>
      <c r="F21" s="485">
        <f>INDEX(ChiCanF!F:F,MATCH('Final Child Risk'!$C21,ChiCanF!$A:$A,0))</f>
        <v>1.23819732E-4</v>
      </c>
      <c r="G21" s="486">
        <f t="shared" si="1"/>
        <v>1.5642047284121995E-5</v>
      </c>
      <c r="H21" s="446">
        <f t="shared" si="0"/>
        <v>16</v>
      </c>
      <c r="I21" s="446">
        <f t="shared" si="0"/>
        <v>16</v>
      </c>
      <c r="J21" s="2" t="str">
        <f>INDEX('Gen IDs'!$A$2:$C$99,MATCH(C21,'Gen IDs'!$A$2:$A$99,0),2)</f>
        <v>Type G</v>
      </c>
    </row>
    <row r="22" spans="2:10" ht="15" x14ac:dyDescent="0.25">
      <c r="B22" s="456">
        <v>17</v>
      </c>
      <c r="C22" s="457" t="str">
        <f>INDEX(ChiCanF!$A:$A,MATCH(LARGE(ChiCanF!$F:$F,'Final Child Risk'!$B22),ChiCanF!$F:$F,0))</f>
        <v>B04_G17B</v>
      </c>
      <c r="D22" s="484">
        <f>INDEX(ChiCanF!D:D,MATCH('Final Child Risk'!$C22,ChiCanF!$A:$A,0))</f>
        <v>4.9664800000000002E-2</v>
      </c>
      <c r="E22" s="454" cm="1">
        <f t="array" ref="E22">INDEX('Screening REER'!$D$587:$J$595,MATCH('Final Child Risk'!J22,'Screening REER'!$N$587:$N$595,0),$J$1)</f>
        <v>3.1455969988259839E-4</v>
      </c>
      <c r="F22" s="485">
        <f>INDEX(ChiCanF!F:F,MATCH('Final Child Risk'!$C22,ChiCanF!$A:$A,0))</f>
        <v>1.2366535199999999E-4</v>
      </c>
      <c r="G22" s="486">
        <f t="shared" si="1"/>
        <v>1.5622544582729274E-5</v>
      </c>
      <c r="H22" s="446">
        <f t="shared" si="0"/>
        <v>17</v>
      </c>
      <c r="I22" s="446">
        <f t="shared" si="0"/>
        <v>17</v>
      </c>
      <c r="J22" s="2" t="str">
        <f>INDEX('Gen IDs'!$A$2:$C$99,MATCH(C22,'Gen IDs'!$A$2:$A$99,0),2)</f>
        <v>Type G</v>
      </c>
    </row>
    <row r="23" spans="2:10" ht="15" x14ac:dyDescent="0.25">
      <c r="B23" s="456">
        <v>18</v>
      </c>
      <c r="C23" s="457" t="str">
        <f>INDEX(ChiCanF!$A:$A,MATCH(LARGE(ChiCanF!$F:$F,'Final Child Risk'!$B23),ChiCanF!$F:$F,0))</f>
        <v>B04_G17A</v>
      </c>
      <c r="D23" s="484">
        <f>INDEX(ChiCanF!D:D,MATCH('Final Child Risk'!$C23,ChiCanF!$A:$A,0))</f>
        <v>4.9587399999999997E-2</v>
      </c>
      <c r="E23" s="454" cm="1">
        <f t="array" ref="E23">INDEX('Screening REER'!$D$587:$J$595,MATCH('Final Child Risk'!J23,'Screening REER'!$N$587:$N$595,0),$J$1)</f>
        <v>3.1455969988259839E-4</v>
      </c>
      <c r="F23" s="485">
        <f>INDEX(ChiCanF!F:F,MATCH('Final Child Risk'!$C23,ChiCanF!$A:$A,0))</f>
        <v>1.2347262600000001E-4</v>
      </c>
      <c r="G23" s="486">
        <f t="shared" si="1"/>
        <v>1.559819766195836E-5</v>
      </c>
      <c r="H23" s="446">
        <f t="shared" si="0"/>
        <v>18</v>
      </c>
      <c r="I23" s="446">
        <f t="shared" si="0"/>
        <v>18</v>
      </c>
      <c r="J23" s="2" t="str">
        <f>INDEX('Gen IDs'!$A$2:$C$99,MATCH(C23,'Gen IDs'!$A$2:$A$99,0),2)</f>
        <v>Type G</v>
      </c>
    </row>
    <row r="24" spans="2:10" ht="15" x14ac:dyDescent="0.25">
      <c r="B24" s="456">
        <v>19</v>
      </c>
      <c r="C24" s="457" t="str">
        <f>INDEX(ChiCanF!$A:$A,MATCH(LARGE(ChiCanF!$F:$F,'Final Child Risk'!$B24),ChiCanF!$F:$F,0))</f>
        <v>SKILODG2</v>
      </c>
      <c r="D24" s="484">
        <f>INDEX(ChiCanF!D:D,MATCH('Final Child Risk'!$C24,ChiCanF!$A:$A,0))</f>
        <v>7.4885900000000005E-2</v>
      </c>
      <c r="E24" s="454" cm="1">
        <f t="array" ref="E24">INDEX('Screening REER'!$D$587:$J$595,MATCH('Final Child Risk'!J24,'Screening REER'!$N$587:$N$595,0),$J$1)</f>
        <v>1.9915681612198859E-4</v>
      </c>
      <c r="F24" s="485">
        <f>INDEX(ChiCanF!F:F,MATCH('Final Child Risk'!$C24,ChiCanF!$A:$A,0))</f>
        <v>1.1757086299999999E-4</v>
      </c>
      <c r="G24" s="486">
        <f t="shared" si="1"/>
        <v>1.4914037416429626E-5</v>
      </c>
      <c r="H24" s="446">
        <f t="shared" si="0"/>
        <v>19</v>
      </c>
      <c r="I24" s="446">
        <f t="shared" si="0"/>
        <v>19</v>
      </c>
      <c r="J24" s="2" t="str">
        <f>INDEX('Gen IDs'!$A$2:$C$99,MATCH(C24,'Gen IDs'!$A$2:$A$99,0),2)</f>
        <v>Type I</v>
      </c>
    </row>
    <row r="25" spans="2:10" ht="15" x14ac:dyDescent="0.25">
      <c r="B25" s="456">
        <v>20</v>
      </c>
      <c r="C25" s="457" t="str">
        <f>INDEX(ChiCanF!$A:$A,MATCH(LARGE(ChiCanF!$F:$F,'Final Child Risk'!$B25),ChiCanF!$F:$F,0))</f>
        <v>B52_G08A</v>
      </c>
      <c r="D25" s="484">
        <f>INDEX(ChiCanF!D:D,MATCH('Final Child Risk'!$C25,ChiCanF!$A:$A,0))</f>
        <v>5.0165099999999997E-2</v>
      </c>
      <c r="E25" s="454" cm="1">
        <f t="array" ref="E25">INDEX('Screening REER'!$D$587:$J$595,MATCH('Final Child Risk'!J25,'Screening REER'!$N$587:$N$595,0),$J$1)</f>
        <v>2.3854273865953147E-4</v>
      </c>
      <c r="F25" s="485">
        <f>INDEX(ChiCanF!F:F,MATCH('Final Child Risk'!$C25,ChiCanF!$A:$A,0))</f>
        <v>1.00831851E-4</v>
      </c>
      <c r="G25" s="486">
        <f t="shared" si="1"/>
        <v>1.1966520339129262E-5</v>
      </c>
      <c r="H25" s="446">
        <f t="shared" si="0"/>
        <v>20</v>
      </c>
      <c r="I25" s="446">
        <f t="shared" si="0"/>
        <v>20</v>
      </c>
      <c r="J25" s="2" t="str">
        <f>INDEX('Gen IDs'!$A$2:$C$99,MATCH(C25,'Gen IDs'!$A$2:$A$99,0),2)</f>
        <v>Type F</v>
      </c>
    </row>
    <row r="26" spans="2:10" ht="118.5" customHeight="1" x14ac:dyDescent="0.2">
      <c r="B26" s="695" t="s">
        <v>379</v>
      </c>
      <c r="C26" s="695"/>
      <c r="D26" s="695"/>
      <c r="E26" s="695"/>
      <c r="F26" s="695"/>
      <c r="G26" s="695"/>
      <c r="H26" s="446"/>
      <c r="I26" s="446"/>
    </row>
    <row r="27" spans="2:10" x14ac:dyDescent="0.2">
      <c r="B27" s="461" t="s">
        <v>368</v>
      </c>
      <c r="C27" s="446"/>
      <c r="D27" s="446"/>
      <c r="E27" s="460"/>
      <c r="F27" s="460"/>
      <c r="G27" s="460"/>
      <c r="H27" s="460"/>
      <c r="I27" s="460"/>
      <c r="J27" s="212" t="s">
        <v>224</v>
      </c>
    </row>
    <row r="28" spans="2:10" x14ac:dyDescent="0.2">
      <c r="B28" s="462" t="str">
        <f>'Screening Emission Calculations'!B56</f>
        <v>CAT 27 - 750 kW</v>
      </c>
      <c r="C28" s="463">
        <f>'Screening Emission Calculations'!C56</f>
        <v>5360</v>
      </c>
      <c r="D28" s="446" t="s">
        <v>369</v>
      </c>
      <c r="E28" s="446"/>
      <c r="F28" s="446"/>
      <c r="G28" s="446"/>
      <c r="H28" s="446"/>
      <c r="I28" s="446"/>
      <c r="J28" s="195" t="s">
        <v>225</v>
      </c>
    </row>
    <row r="29" spans="2:10" x14ac:dyDescent="0.2">
      <c r="B29" s="462" t="str">
        <f>'Screening Emission Calculations'!B57</f>
        <v>CAT 27 - 800 kW</v>
      </c>
      <c r="C29" s="463">
        <f>'Screening Emission Calculations'!C57</f>
        <v>5730</v>
      </c>
      <c r="D29" s="446" t="s">
        <v>369</v>
      </c>
      <c r="E29" s="446"/>
      <c r="F29" s="446"/>
      <c r="G29" s="446"/>
      <c r="H29" s="446"/>
      <c r="I29" s="446"/>
      <c r="J29" s="195" t="s">
        <v>226</v>
      </c>
    </row>
    <row r="30" spans="2:10" x14ac:dyDescent="0.2">
      <c r="B30" s="462" t="str">
        <f>'Screening Emission Calculations'!B58</f>
        <v>CAT 32 - 1000 kW</v>
      </c>
      <c r="C30" s="463">
        <f>'Screening Emission Calculations'!C58</f>
        <v>7190.0000000000009</v>
      </c>
      <c r="D30" s="446" t="s">
        <v>369</v>
      </c>
      <c r="E30" s="446"/>
      <c r="F30" s="446"/>
      <c r="G30" s="446"/>
      <c r="H30" s="446"/>
      <c r="I30" s="446"/>
      <c r="J30" s="195" t="s">
        <v>228</v>
      </c>
    </row>
    <row r="31" spans="2:10" x14ac:dyDescent="0.2">
      <c r="B31" s="462" t="str">
        <f>'Screening Emission Calculations'!B59</f>
        <v>CAT 3516C Trans - 1825 kW</v>
      </c>
      <c r="C31" s="463">
        <f>'Screening Emission Calculations'!C59</f>
        <v>12840</v>
      </c>
      <c r="D31" s="446" t="s">
        <v>369</v>
      </c>
      <c r="E31" s="446"/>
      <c r="F31" s="446"/>
      <c r="G31" s="446"/>
      <c r="H31" s="446"/>
      <c r="I31" s="446"/>
      <c r="J31" s="195" t="s">
        <v>230</v>
      </c>
    </row>
    <row r="32" spans="2:10" x14ac:dyDescent="0.2">
      <c r="B32" s="462" t="str">
        <f>'Screening Emission Calculations'!B60</f>
        <v>CAT 3516C - 2000 kW</v>
      </c>
      <c r="C32" s="463">
        <f>'Screening Emission Calculations'!C60</f>
        <v>13890</v>
      </c>
      <c r="D32" s="446" t="s">
        <v>369</v>
      </c>
      <c r="E32" s="446"/>
      <c r="F32" s="446"/>
      <c r="G32" s="446"/>
      <c r="H32" s="446"/>
      <c r="I32" s="446"/>
      <c r="J32" s="195" t="s">
        <v>232</v>
      </c>
    </row>
    <row r="33" spans="2:10" x14ac:dyDescent="0.2">
      <c r="B33" s="462" t="str">
        <f>'Screening Emission Calculations'!B61</f>
        <v>CAT 3516C - 2500 kW</v>
      </c>
      <c r="C33" s="463">
        <f>'Screening Emission Calculations'!C61</f>
        <v>17350</v>
      </c>
      <c r="D33" s="446" t="s">
        <v>369</v>
      </c>
      <c r="E33" s="446"/>
      <c r="F33" s="446"/>
      <c r="G33" s="446"/>
      <c r="H33" s="446"/>
      <c r="I33" s="446"/>
      <c r="J33" s="195" t="s">
        <v>234</v>
      </c>
    </row>
    <row r="34" spans="2:10" x14ac:dyDescent="0.2">
      <c r="B34" s="462" t="str">
        <f>'Screening Emission Calculations'!B62</f>
        <v>MTU 2250 - 2250 kW</v>
      </c>
      <c r="C34" s="463">
        <f>'Screening Emission Calculations'!C62</f>
        <v>16300</v>
      </c>
      <c r="D34" s="446" t="s">
        <v>369</v>
      </c>
      <c r="E34" s="446"/>
      <c r="F34" s="446"/>
      <c r="G34" s="446"/>
      <c r="H34" s="446"/>
      <c r="I34" s="446"/>
      <c r="J34" s="195" t="s">
        <v>236</v>
      </c>
    </row>
    <row r="35" spans="2:10" x14ac:dyDescent="0.2">
      <c r="B35" s="462" t="str">
        <f>'Screening Emission Calculations'!B63</f>
        <v>CAT C18 - 750 kW</v>
      </c>
      <c r="C35" s="463">
        <f>'Screening Emission Calculations'!C63</f>
        <v>5360</v>
      </c>
      <c r="D35" s="446" t="s">
        <v>369</v>
      </c>
      <c r="E35" s="446"/>
      <c r="F35" s="446"/>
      <c r="G35" s="446"/>
      <c r="H35" s="446"/>
      <c r="I35" s="446"/>
      <c r="J35" s="195" t="s">
        <v>237</v>
      </c>
    </row>
    <row r="36" spans="2:10" x14ac:dyDescent="0.2">
      <c r="B36" s="462" t="str">
        <f>'Screening Emission Calculations'!B64</f>
        <v>CAT 3512C - 1500 kW</v>
      </c>
      <c r="C36" s="463">
        <f>'Screening Emission Calculations'!C64</f>
        <v>10320</v>
      </c>
      <c r="D36" s="446" t="s">
        <v>369</v>
      </c>
      <c r="E36" s="446"/>
      <c r="F36" s="446"/>
      <c r="G36" s="446"/>
      <c r="H36" s="446"/>
      <c r="I36" s="446"/>
      <c r="J36" s="195" t="s">
        <v>239</v>
      </c>
    </row>
    <row r="37" spans="2:10" x14ac:dyDescent="0.2">
      <c r="B37" s="446"/>
      <c r="C37" s="446"/>
      <c r="D37" s="446"/>
      <c r="E37" s="446"/>
      <c r="F37" s="446"/>
      <c r="G37" s="446"/>
      <c r="H37" s="446"/>
      <c r="I37" s="446"/>
    </row>
    <row r="38" spans="2:10" x14ac:dyDescent="0.2">
      <c r="B38" s="447" t="s">
        <v>380</v>
      </c>
      <c r="C38" s="446"/>
      <c r="D38" s="446"/>
      <c r="E38" s="446"/>
      <c r="F38" s="446"/>
      <c r="G38" s="446"/>
      <c r="H38" s="446"/>
      <c r="I38" s="446"/>
    </row>
    <row r="39" spans="2:10" x14ac:dyDescent="0.2">
      <c r="B39" s="697" t="s">
        <v>360</v>
      </c>
      <c r="C39" s="699" t="s">
        <v>371</v>
      </c>
      <c r="D39" s="446"/>
      <c r="E39" s="446"/>
      <c r="F39" s="446"/>
      <c r="G39" s="446"/>
      <c r="H39" s="446"/>
      <c r="I39" s="446"/>
    </row>
    <row r="40" spans="2:10" x14ac:dyDescent="0.2">
      <c r="B40" s="698"/>
      <c r="C40" s="700"/>
      <c r="D40" s="446"/>
      <c r="E40" s="446"/>
      <c r="F40" s="446"/>
      <c r="G40" s="446"/>
      <c r="H40" s="446"/>
      <c r="I40" s="446"/>
    </row>
    <row r="41" spans="2:10" x14ac:dyDescent="0.2">
      <c r="B41" s="464" t="s">
        <v>372</v>
      </c>
      <c r="C41" s="465">
        <f>ROUNDUP('Criteria 39tpy'!J17,0)</f>
        <v>269504</v>
      </c>
      <c r="D41" s="446"/>
      <c r="E41" s="446"/>
      <c r="F41" s="446"/>
      <c r="G41" s="446"/>
      <c r="H41" s="446"/>
      <c r="I41" s="446"/>
    </row>
    <row r="42" spans="2:10" x14ac:dyDescent="0.2">
      <c r="B42" s="473" t="str">
        <f>C6</f>
        <v>SKILODG1</v>
      </c>
      <c r="C42" s="468">
        <f>INDEX($C$28:$C$36,MATCH(J6,$J$28:$J$36,0))</f>
        <v>5360</v>
      </c>
      <c r="D42" s="446"/>
      <c r="E42" s="446"/>
      <c r="F42" s="446"/>
      <c r="G42" s="446"/>
      <c r="H42" s="446"/>
      <c r="I42" s="446"/>
    </row>
    <row r="43" spans="2:10" x14ac:dyDescent="0.2">
      <c r="B43" s="473" t="str">
        <f t="shared" ref="B43:B61" si="2">C7</f>
        <v>PORTABLE</v>
      </c>
      <c r="C43" s="468">
        <f t="shared" ref="C43:C60" si="3">INDEX($C$28:$C$36,MATCH(J7,$J$28:$J$36,0))</f>
        <v>12840</v>
      </c>
      <c r="D43" s="446"/>
      <c r="E43" s="487"/>
      <c r="F43" s="487"/>
      <c r="G43" s="487"/>
      <c r="H43" s="446"/>
      <c r="I43" s="446"/>
    </row>
    <row r="44" spans="2:10" x14ac:dyDescent="0.2">
      <c r="B44" s="473" t="str">
        <f t="shared" si="2"/>
        <v>P04_GEN2</v>
      </c>
      <c r="C44" s="468">
        <f t="shared" si="3"/>
        <v>5730</v>
      </c>
      <c r="D44" s="446"/>
      <c r="E44" s="487"/>
      <c r="F44" s="487"/>
      <c r="G44" s="487"/>
      <c r="H44" s="446"/>
      <c r="I44" s="446"/>
    </row>
    <row r="45" spans="2:10" x14ac:dyDescent="0.2">
      <c r="B45" s="473" t="str">
        <f t="shared" si="2"/>
        <v>P04_GEN4</v>
      </c>
      <c r="C45" s="468">
        <f t="shared" si="3"/>
        <v>5360</v>
      </c>
      <c r="D45" s="446"/>
      <c r="E45" s="487"/>
      <c r="F45" s="487"/>
      <c r="G45" s="487"/>
      <c r="H45" s="446"/>
      <c r="I45" s="446"/>
    </row>
    <row r="46" spans="2:10" x14ac:dyDescent="0.2">
      <c r="B46" s="473" t="str">
        <f t="shared" si="2"/>
        <v>P04_GEN6</v>
      </c>
      <c r="C46" s="468">
        <f t="shared" si="3"/>
        <v>5360</v>
      </c>
      <c r="D46" s="446"/>
      <c r="E46" s="487"/>
      <c r="F46" s="487"/>
      <c r="G46" s="487"/>
      <c r="H46" s="446"/>
      <c r="I46" s="446"/>
    </row>
    <row r="47" spans="2:10" x14ac:dyDescent="0.2">
      <c r="B47" s="473" t="str">
        <f t="shared" si="2"/>
        <v>P04_GEN5</v>
      </c>
      <c r="C47" s="468">
        <f t="shared" si="3"/>
        <v>5730</v>
      </c>
      <c r="D47" s="446"/>
      <c r="E47" s="487"/>
      <c r="F47" s="487"/>
      <c r="G47" s="487"/>
      <c r="H47" s="446"/>
      <c r="I47" s="446"/>
    </row>
    <row r="48" spans="2:10" x14ac:dyDescent="0.2">
      <c r="B48" s="473" t="str">
        <f t="shared" si="2"/>
        <v>P04_GEN3</v>
      </c>
      <c r="C48" s="468">
        <f t="shared" si="3"/>
        <v>5730</v>
      </c>
      <c r="D48" s="446"/>
      <c r="E48" s="487"/>
      <c r="F48" s="487"/>
      <c r="G48" s="487"/>
      <c r="H48" s="446"/>
      <c r="I48" s="446"/>
    </row>
    <row r="49" spans="2:9" x14ac:dyDescent="0.2">
      <c r="B49" s="473" t="str">
        <f t="shared" si="2"/>
        <v>P04_GEN1</v>
      </c>
      <c r="C49" s="468">
        <f t="shared" si="3"/>
        <v>5360</v>
      </c>
      <c r="D49" s="446"/>
      <c r="E49" s="487"/>
      <c r="F49" s="487"/>
      <c r="G49" s="487"/>
      <c r="H49" s="446"/>
      <c r="I49" s="446"/>
    </row>
    <row r="50" spans="2:9" x14ac:dyDescent="0.2">
      <c r="B50" s="473" t="str">
        <f t="shared" si="2"/>
        <v>P04_GENC</v>
      </c>
      <c r="C50" s="468">
        <f>INDEX($C$28:$C$36,MATCH(J14,$J$28:$J$36,0))</f>
        <v>7190.0000000000009</v>
      </c>
      <c r="D50" s="446"/>
      <c r="E50" s="487"/>
      <c r="F50" s="487"/>
      <c r="G50" s="487"/>
      <c r="H50" s="446"/>
      <c r="I50" s="446"/>
    </row>
    <row r="51" spans="2:9" x14ac:dyDescent="0.2">
      <c r="B51" s="473" t="str">
        <f t="shared" si="2"/>
        <v>B04_G15A</v>
      </c>
      <c r="C51" s="468">
        <f t="shared" si="3"/>
        <v>13890</v>
      </c>
      <c r="D51" s="446"/>
      <c r="E51" s="487"/>
      <c r="F51" s="487"/>
      <c r="G51" s="487"/>
      <c r="H51" s="446"/>
      <c r="I51" s="446"/>
    </row>
    <row r="52" spans="2:9" x14ac:dyDescent="0.2">
      <c r="B52" s="473" t="str">
        <f t="shared" si="2"/>
        <v>B04_G15B</v>
      </c>
      <c r="C52" s="468">
        <f t="shared" si="3"/>
        <v>13890</v>
      </c>
      <c r="D52" s="446"/>
      <c r="E52" s="487"/>
      <c r="F52" s="487"/>
      <c r="G52" s="487"/>
      <c r="H52" s="446"/>
      <c r="I52" s="446"/>
    </row>
    <row r="53" spans="2:9" x14ac:dyDescent="0.2">
      <c r="B53" s="473" t="str">
        <f t="shared" si="2"/>
        <v>B04_G14B</v>
      </c>
      <c r="C53" s="468">
        <f t="shared" si="3"/>
        <v>13890</v>
      </c>
      <c r="D53" s="446"/>
      <c r="E53" s="487"/>
      <c r="F53" s="487"/>
      <c r="G53" s="487"/>
      <c r="H53" s="446"/>
      <c r="I53" s="446"/>
    </row>
    <row r="54" spans="2:9" x14ac:dyDescent="0.2">
      <c r="B54" s="473" t="str">
        <f t="shared" si="2"/>
        <v>B04_G14A</v>
      </c>
      <c r="C54" s="468">
        <f t="shared" si="3"/>
        <v>13890</v>
      </c>
      <c r="D54" s="446"/>
      <c r="E54" s="487"/>
      <c r="F54" s="487"/>
      <c r="G54" s="487"/>
      <c r="H54" s="446"/>
      <c r="I54" s="446"/>
    </row>
    <row r="55" spans="2:9" x14ac:dyDescent="0.2">
      <c r="B55" s="473" t="str">
        <f t="shared" si="2"/>
        <v>B04_G13B</v>
      </c>
      <c r="C55" s="468">
        <f t="shared" si="3"/>
        <v>13890</v>
      </c>
      <c r="D55" s="446"/>
      <c r="E55" s="487"/>
      <c r="F55" s="487"/>
      <c r="G55" s="487"/>
      <c r="H55" s="446"/>
      <c r="I55" s="446"/>
    </row>
    <row r="56" spans="2:9" x14ac:dyDescent="0.2">
      <c r="B56" s="473" t="str">
        <f>C20</f>
        <v>B04_G13A</v>
      </c>
      <c r="C56" s="468">
        <f t="shared" si="3"/>
        <v>13890</v>
      </c>
      <c r="D56" s="446"/>
      <c r="E56" s="487"/>
      <c r="F56" s="487"/>
      <c r="G56" s="487"/>
      <c r="H56" s="446"/>
      <c r="I56" s="446"/>
    </row>
    <row r="57" spans="2:9" x14ac:dyDescent="0.2">
      <c r="B57" s="473" t="str">
        <f t="shared" si="2"/>
        <v>B04_G17C</v>
      </c>
      <c r="C57" s="468">
        <f t="shared" si="3"/>
        <v>16300</v>
      </c>
      <c r="D57" s="446"/>
      <c r="E57" s="487"/>
      <c r="F57" s="487"/>
      <c r="G57" s="487"/>
      <c r="H57" s="446"/>
      <c r="I57" s="446"/>
    </row>
    <row r="58" spans="2:9" x14ac:dyDescent="0.2">
      <c r="B58" s="473" t="str">
        <f t="shared" si="2"/>
        <v>B04_G17B</v>
      </c>
      <c r="C58" s="468">
        <f t="shared" si="3"/>
        <v>16300</v>
      </c>
      <c r="D58" s="446"/>
      <c r="E58" s="487"/>
      <c r="F58" s="487"/>
      <c r="G58" s="487"/>
      <c r="H58" s="446"/>
      <c r="I58" s="446"/>
    </row>
    <row r="59" spans="2:9" x14ac:dyDescent="0.2">
      <c r="B59" s="473" t="str">
        <f t="shared" si="2"/>
        <v>B04_G17A</v>
      </c>
      <c r="C59" s="468">
        <f>INDEX($C$28:$C$36,MATCH(J23,$J$28:$J$36,0))</f>
        <v>16300</v>
      </c>
      <c r="D59" s="446"/>
      <c r="E59" s="701" t="s">
        <v>373</v>
      </c>
      <c r="F59" s="702"/>
      <c r="G59" s="466">
        <f>ChiCanF!B2</f>
        <v>291600</v>
      </c>
      <c r="H59" s="446"/>
      <c r="I59" s="446"/>
    </row>
    <row r="60" spans="2:9" x14ac:dyDescent="0.2">
      <c r="B60" s="473" t="str">
        <f t="shared" si="2"/>
        <v>SKILODG2</v>
      </c>
      <c r="C60" s="468">
        <f t="shared" si="3"/>
        <v>10320</v>
      </c>
      <c r="D60" s="446"/>
      <c r="E60" s="703" t="s">
        <v>374</v>
      </c>
      <c r="F60" s="704"/>
      <c r="G60" s="469">
        <f>ChiCanF!C2</f>
        <v>5080100</v>
      </c>
      <c r="H60" s="446"/>
      <c r="I60" s="446"/>
    </row>
    <row r="61" spans="2:9" x14ac:dyDescent="0.2">
      <c r="B61" s="473" t="str">
        <f t="shared" si="2"/>
        <v>B52_G08A</v>
      </c>
      <c r="C61" s="468">
        <f>C41-SUM(C42:C60)</f>
        <v>68284</v>
      </c>
      <c r="D61" s="446"/>
      <c r="E61" s="470" t="s">
        <v>381</v>
      </c>
      <c r="F61" s="471"/>
      <c r="G61" s="488">
        <f>C62*F25+SUM(F6:F24)</f>
        <v>4.4859290173852456E-3</v>
      </c>
      <c r="H61" s="446"/>
      <c r="I61" s="446"/>
    </row>
    <row r="62" spans="2:9" ht="13.5" thickBot="1" x14ac:dyDescent="0.25">
      <c r="B62" s="202" t="s">
        <v>377</v>
      </c>
      <c r="C62" s="261">
        <f>C61/C33</f>
        <v>3.935677233429395</v>
      </c>
      <c r="E62" s="205" t="s">
        <v>382</v>
      </c>
      <c r="F62" s="206"/>
      <c r="G62" s="213">
        <f>C62*G25+SUM(G6:G24)</f>
        <v>5.5321121239232385E-4</v>
      </c>
    </row>
    <row r="63" spans="2:9" x14ac:dyDescent="0.2">
      <c r="B63" s="203"/>
      <c r="C63" s="204"/>
      <c r="E63" s="69"/>
      <c r="F63" s="69"/>
      <c r="G63" s="69"/>
    </row>
    <row r="64" spans="2:9" x14ac:dyDescent="0.2">
      <c r="E64" s="69"/>
      <c r="F64" s="69"/>
      <c r="G64" s="69"/>
    </row>
    <row r="77" spans="6:6" x14ac:dyDescent="0.2">
      <c r="F77" s="445"/>
    </row>
  </sheetData>
  <mergeCells count="11">
    <mergeCell ref="G3:G5"/>
    <mergeCell ref="B3:B5"/>
    <mergeCell ref="C3:C5"/>
    <mergeCell ref="D3:D4"/>
    <mergeCell ref="E3:E4"/>
    <mergeCell ref="F3:F5"/>
    <mergeCell ref="B26:G26"/>
    <mergeCell ref="B39:B40"/>
    <mergeCell ref="C39:C40"/>
    <mergeCell ref="E59:F59"/>
    <mergeCell ref="E60:F60"/>
  </mergeCells>
  <pageMargins left="0.7" right="0.7" top="0.75" bottom="0.75" header="0.3" footer="0.3"/>
  <pageSetup scale="95" fitToHeight="0" orientation="landscape" horizontalDpi="1200" verticalDpi="1200" r:id="rId1"/>
  <rowBreaks count="2" manualBreakCount="2">
    <brk id="26" min="1" max="6" man="1"/>
    <brk id="63" max="6"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24A323-1D40-4229-A2DE-396E69F721CF}">
  <sheetPr codeName="Sheet13">
    <pageSetUpPr fitToPage="1"/>
  </sheetPr>
  <dimension ref="B1:J38"/>
  <sheetViews>
    <sheetView view="pageBreakPreview" zoomScaleNormal="100" zoomScaleSheetLayoutView="100" workbookViewId="0">
      <selection activeCell="B9" sqref="B9:G16"/>
    </sheetView>
  </sheetViews>
  <sheetFormatPr defaultColWidth="9.140625" defaultRowHeight="12.75" x14ac:dyDescent="0.2"/>
  <cols>
    <col min="1" max="1" width="3.85546875" style="195" customWidth="1"/>
    <col min="2" max="2" width="26.140625" style="195" customWidth="1"/>
    <col min="3" max="3" width="20.7109375" style="195" customWidth="1"/>
    <col min="4" max="4" width="15.85546875" style="195" customWidth="1"/>
    <col min="5" max="5" width="28" style="195" customWidth="1"/>
    <col min="6" max="6" width="22.42578125" style="195" customWidth="1"/>
    <col min="7" max="7" width="14.7109375" style="195" customWidth="1"/>
    <col min="8" max="8" width="10" style="195" customWidth="1"/>
    <col min="9" max="9" width="18.42578125" style="195" bestFit="1" customWidth="1"/>
    <col min="10" max="10" width="6.28515625" style="201" customWidth="1"/>
    <col min="11" max="11" width="9.140625" style="195"/>
    <col min="12" max="12" width="7" style="195" customWidth="1"/>
    <col min="13" max="16384" width="9.140625" style="195"/>
  </cols>
  <sheetData>
    <row r="1" spans="2:9" x14ac:dyDescent="0.2">
      <c r="I1" s="195">
        <v>6</v>
      </c>
    </row>
    <row r="2" spans="2:9" ht="13.5" thickBot="1" x14ac:dyDescent="0.25">
      <c r="B2" s="194" t="s">
        <v>383</v>
      </c>
    </row>
    <row r="3" spans="2:9" x14ac:dyDescent="0.2">
      <c r="B3" s="720" t="s">
        <v>359</v>
      </c>
      <c r="C3" s="711" t="s">
        <v>360</v>
      </c>
      <c r="D3" s="716" t="s">
        <v>361</v>
      </c>
      <c r="E3" s="716" t="s">
        <v>362</v>
      </c>
      <c r="F3" s="724" t="s">
        <v>363</v>
      </c>
      <c r="G3" s="705" t="s">
        <v>364</v>
      </c>
      <c r="H3" s="446"/>
    </row>
    <row r="4" spans="2:9" x14ac:dyDescent="0.2">
      <c r="B4" s="721"/>
      <c r="C4" s="712"/>
      <c r="D4" s="717"/>
      <c r="E4" s="717"/>
      <c r="F4" s="725"/>
      <c r="G4" s="706"/>
      <c r="H4" s="446"/>
    </row>
    <row r="5" spans="2:9" ht="14.25" x14ac:dyDescent="0.2">
      <c r="B5" s="722"/>
      <c r="C5" s="723"/>
      <c r="D5" s="448" t="s">
        <v>365</v>
      </c>
      <c r="E5" s="449" t="s">
        <v>366</v>
      </c>
      <c r="F5" s="726"/>
      <c r="G5" s="719"/>
      <c r="H5" s="446"/>
      <c r="I5" s="212" t="s">
        <v>224</v>
      </c>
    </row>
    <row r="6" spans="2:9" ht="15" x14ac:dyDescent="0.25">
      <c r="B6" s="494">
        <v>1</v>
      </c>
      <c r="C6" s="495" t="str">
        <f>INDEX(WorCanF!$A:$A,MATCH(LARGE(WorCanF!$F:$F,'Final Worker Risk'!$B6),WorCanF!$F:$F,0))</f>
        <v>SKILODG1</v>
      </c>
      <c r="D6" s="496">
        <f>INDEX(WorCanF!D:D,MATCH('Final Worker Risk'!$C6,WorCanF!$A:$A,0))</f>
        <v>11.8263</v>
      </c>
      <c r="E6" s="497" cm="1">
        <f t="array" ref="E6">INDEX('Screening REER'!$D$587:$J$595,MATCH('Final Worker Risk'!I6,'Screening REER'!$N$587:$N$595,0),$I$1)</f>
        <v>8.5619316583953199E-4</v>
      </c>
      <c r="F6" s="498">
        <f>INDEX(WorCanF!F:F,MATCH('Final Worker Risk'!$C6,WorCanF!$A:$A,0))</f>
        <v>0.18330764999999999</v>
      </c>
      <c r="G6" s="499">
        <f>D6*E6</f>
        <v>1.0125597237168058E-2</v>
      </c>
      <c r="H6" s="446"/>
      <c r="I6" s="2" t="str">
        <f>INDEX('Gen IDs'!$A$2:$C$99,MATCH(C6,'Gen IDs'!$A$2:$A$99,0),2)</f>
        <v>Type H</v>
      </c>
    </row>
    <row r="7" spans="2:9" ht="15" x14ac:dyDescent="0.25">
      <c r="B7" s="500">
        <v>2</v>
      </c>
      <c r="C7" s="495" t="str">
        <f>INDEX(WorCanF!$A:$A,MATCH(LARGE(WorCanF!$F:$F,'Final Worker Risk'!$B7),WorCanF!$F:$F,0))</f>
        <v>P04_GENC</v>
      </c>
      <c r="D7" s="496">
        <f>INDEX(WorCanF!D:D,MATCH('Final Worker Risk'!$C7,WorCanF!$A:$A,0))</f>
        <v>44.968800000000002</v>
      </c>
      <c r="E7" s="497" cm="1">
        <f t="array" ref="E7">INDEX('Screening REER'!$D$587:$J$595,MATCH('Final Worker Risk'!I7,'Screening REER'!$N$587:$N$595,0),$I$1)</f>
        <v>1.3875363448809095E-4</v>
      </c>
      <c r="F7" s="498">
        <f>INDEX(WorCanF!F:F,MATCH('Final Worker Risk'!$C7,WorCanF!$A:$A,0))</f>
        <v>0.10522699200000001</v>
      </c>
      <c r="G7" s="499">
        <f t="shared" ref="G7:G8" si="0">D7*E7</f>
        <v>6.239584438568065E-3</v>
      </c>
      <c r="H7" s="446"/>
      <c r="I7" s="2" t="str">
        <f>INDEX('Gen IDs'!$A$2:$C$99,MATCH(C7,'Gen IDs'!$A$2:$A$99,0),2)</f>
        <v>Type C</v>
      </c>
    </row>
    <row r="8" spans="2:9" ht="15" x14ac:dyDescent="0.25">
      <c r="B8" s="500">
        <v>3</v>
      </c>
      <c r="C8" s="495" t="str">
        <f>INDEX(WorCanF!$A:$A,MATCH(LARGE(WorCanF!$F:$F,'Final Worker Risk'!$B8),WorCanF!$F:$F,0))</f>
        <v>B55_G02A</v>
      </c>
      <c r="D8" s="496">
        <f>INDEX(WorCanF!D:D,MATCH('Final Worker Risk'!$C8,WorCanF!$A:$A,0))</f>
        <v>21.152200000000001</v>
      </c>
      <c r="E8" s="497" cm="1">
        <f t="array" ref="E8">INDEX('Screening REER'!$D$587:$J$595,MATCH('Final Worker Risk'!I8,'Screening REER'!$N$587:$N$595,0),$I$1)</f>
        <v>2.3854273865953147E-4</v>
      </c>
      <c r="F8" s="498">
        <f>INDEX(WorCanF!F:F,MATCH('Final Worker Risk'!$C8,WorCanF!$A:$A,0))</f>
        <v>8.5877932000000004E-2</v>
      </c>
      <c r="G8" s="499">
        <f t="shared" si="0"/>
        <v>5.0457037166741414E-3</v>
      </c>
      <c r="H8" s="446"/>
      <c r="I8" s="2" t="str">
        <f>INDEX('Gen IDs'!$A$2:$C$99,MATCH(C8,'Gen IDs'!$A$2:$A$99,0),2)</f>
        <v>Type F</v>
      </c>
    </row>
    <row r="9" spans="2:9" ht="15" x14ac:dyDescent="0.25">
      <c r="B9" s="695" t="s">
        <v>384</v>
      </c>
      <c r="C9" s="695"/>
      <c r="D9" s="695"/>
      <c r="E9" s="695"/>
      <c r="F9" s="695"/>
      <c r="G9" s="695"/>
      <c r="H9" s="446"/>
      <c r="I9" s="2"/>
    </row>
    <row r="10" spans="2:9" ht="15" x14ac:dyDescent="0.25">
      <c r="B10" s="696"/>
      <c r="C10" s="696"/>
      <c r="D10" s="696"/>
      <c r="E10" s="696"/>
      <c r="F10" s="696"/>
      <c r="G10" s="696"/>
      <c r="H10" s="446"/>
      <c r="I10" s="2"/>
    </row>
    <row r="11" spans="2:9" ht="15" x14ac:dyDescent="0.25">
      <c r="B11" s="696"/>
      <c r="C11" s="696"/>
      <c r="D11" s="696"/>
      <c r="E11" s="696"/>
      <c r="F11" s="696"/>
      <c r="G11" s="696"/>
      <c r="H11" s="446"/>
      <c r="I11" s="2"/>
    </row>
    <row r="12" spans="2:9" ht="18.75" customHeight="1" x14ac:dyDescent="0.25">
      <c r="B12" s="696"/>
      <c r="C12" s="696"/>
      <c r="D12" s="696"/>
      <c r="E12" s="696"/>
      <c r="F12" s="696"/>
      <c r="G12" s="696"/>
      <c r="H12" s="446"/>
      <c r="I12" s="2"/>
    </row>
    <row r="13" spans="2:9" ht="15" x14ac:dyDescent="0.25">
      <c r="B13" s="696"/>
      <c r="C13" s="696"/>
      <c r="D13" s="696"/>
      <c r="E13" s="696"/>
      <c r="F13" s="696"/>
      <c r="G13" s="696"/>
      <c r="H13" s="446"/>
      <c r="I13" s="2"/>
    </row>
    <row r="14" spans="2:9" ht="15" x14ac:dyDescent="0.25">
      <c r="B14" s="696"/>
      <c r="C14" s="696"/>
      <c r="D14" s="696"/>
      <c r="E14" s="696"/>
      <c r="F14" s="696"/>
      <c r="G14" s="696"/>
      <c r="H14" s="446"/>
      <c r="I14" s="288"/>
    </row>
    <row r="15" spans="2:9" ht="15" x14ac:dyDescent="0.25">
      <c r="B15" s="696"/>
      <c r="C15" s="696"/>
      <c r="D15" s="696"/>
      <c r="E15" s="696"/>
      <c r="F15" s="696"/>
      <c r="G15" s="696"/>
      <c r="H15" s="446"/>
      <c r="I15" s="2"/>
    </row>
    <row r="16" spans="2:9" ht="15" x14ac:dyDescent="0.25">
      <c r="B16" s="696"/>
      <c r="C16" s="696"/>
      <c r="D16" s="696"/>
      <c r="E16" s="696"/>
      <c r="F16" s="696"/>
      <c r="G16" s="696"/>
      <c r="H16" s="446"/>
      <c r="I16" s="2"/>
    </row>
    <row r="17" spans="2:9" x14ac:dyDescent="0.2">
      <c r="B17" s="197" t="s">
        <v>385</v>
      </c>
      <c r="I17" s="212" t="s">
        <v>224</v>
      </c>
    </row>
    <row r="18" spans="2:9" x14ac:dyDescent="0.2">
      <c r="B18" s="199" t="str">
        <f>'Screening Emission Calculations'!B56</f>
        <v>CAT 27 - 750 kW</v>
      </c>
      <c r="C18" s="200">
        <f>'Screening Emission Calculations'!C56</f>
        <v>5360</v>
      </c>
      <c r="D18" s="195" t="s">
        <v>369</v>
      </c>
      <c r="I18" s="195" t="s">
        <v>225</v>
      </c>
    </row>
    <row r="19" spans="2:9" x14ac:dyDescent="0.2">
      <c r="B19" s="199" t="str">
        <f>'Screening Emission Calculations'!B57</f>
        <v>CAT 27 - 800 kW</v>
      </c>
      <c r="C19" s="200">
        <f>'Screening Emission Calculations'!C57</f>
        <v>5730</v>
      </c>
      <c r="D19" s="195" t="s">
        <v>369</v>
      </c>
      <c r="I19" s="195" t="s">
        <v>226</v>
      </c>
    </row>
    <row r="20" spans="2:9" x14ac:dyDescent="0.2">
      <c r="B20" s="199" t="str">
        <f>'Screening Emission Calculations'!B58</f>
        <v>CAT 32 - 1000 kW</v>
      </c>
      <c r="C20" s="200">
        <f>'Screening Emission Calculations'!C58</f>
        <v>7190.0000000000009</v>
      </c>
      <c r="D20" s="195" t="s">
        <v>369</v>
      </c>
      <c r="I20" s="195" t="s">
        <v>228</v>
      </c>
    </row>
    <row r="21" spans="2:9" x14ac:dyDescent="0.2">
      <c r="B21" s="199" t="str">
        <f>'Screening Emission Calculations'!B59</f>
        <v>CAT 3516C Trans - 1825 kW</v>
      </c>
      <c r="C21" s="200">
        <f>'Screening Emission Calculations'!C59</f>
        <v>12840</v>
      </c>
      <c r="D21" s="195" t="s">
        <v>369</v>
      </c>
      <c r="I21" s="195" t="s">
        <v>230</v>
      </c>
    </row>
    <row r="22" spans="2:9" x14ac:dyDescent="0.2">
      <c r="B22" s="462" t="str">
        <f>'Screening Emission Calculations'!B60</f>
        <v>CAT 3516C - 2000 kW</v>
      </c>
      <c r="C22" s="463">
        <f>'Screening Emission Calculations'!C60</f>
        <v>13890</v>
      </c>
      <c r="D22" s="446" t="s">
        <v>369</v>
      </c>
      <c r="E22" s="446"/>
      <c r="F22" s="446"/>
      <c r="G22" s="446"/>
      <c r="H22" s="446"/>
      <c r="I22" s="195" t="s">
        <v>232</v>
      </c>
    </row>
    <row r="23" spans="2:9" x14ac:dyDescent="0.2">
      <c r="B23" s="462" t="str">
        <f>'Screening Emission Calculations'!B61</f>
        <v>CAT 3516C - 2500 kW</v>
      </c>
      <c r="C23" s="463">
        <f>'Screening Emission Calculations'!C61</f>
        <v>17350</v>
      </c>
      <c r="D23" s="446" t="s">
        <v>369</v>
      </c>
      <c r="E23" s="446"/>
      <c r="F23" s="446"/>
      <c r="G23" s="446"/>
      <c r="H23" s="446"/>
      <c r="I23" s="195" t="s">
        <v>234</v>
      </c>
    </row>
    <row r="24" spans="2:9" x14ac:dyDescent="0.2">
      <c r="B24" s="462" t="str">
        <f>'Screening Emission Calculations'!B62</f>
        <v>MTU 2250 - 2250 kW</v>
      </c>
      <c r="C24" s="463">
        <f>'Screening Emission Calculations'!C62</f>
        <v>16300</v>
      </c>
      <c r="D24" s="446" t="s">
        <v>369</v>
      </c>
      <c r="E24" s="446"/>
      <c r="F24" s="446"/>
      <c r="G24" s="446"/>
      <c r="H24" s="446"/>
      <c r="I24" s="195" t="s">
        <v>236</v>
      </c>
    </row>
    <row r="25" spans="2:9" ht="12.75" customHeight="1" x14ac:dyDescent="0.2">
      <c r="B25" s="462" t="str">
        <f>'Screening Emission Calculations'!B63</f>
        <v>CAT C18 - 750 kW</v>
      </c>
      <c r="C25" s="463">
        <f>'Screening Emission Calculations'!C63</f>
        <v>5360</v>
      </c>
      <c r="D25" s="446" t="s">
        <v>369</v>
      </c>
      <c r="E25" s="446"/>
      <c r="F25" s="446"/>
      <c r="G25" s="446"/>
      <c r="H25" s="446"/>
      <c r="I25" s="195" t="s">
        <v>237</v>
      </c>
    </row>
    <row r="26" spans="2:9" x14ac:dyDescent="0.2">
      <c r="B26" s="462" t="str">
        <f>'Screening Emission Calculations'!B64</f>
        <v>CAT 3512C - 1500 kW</v>
      </c>
      <c r="C26" s="463">
        <f>'Screening Emission Calculations'!C64</f>
        <v>10320</v>
      </c>
      <c r="D26" s="446" t="s">
        <v>369</v>
      </c>
      <c r="E26" s="446"/>
      <c r="F26" s="446"/>
      <c r="G26" s="446"/>
      <c r="H26" s="446"/>
      <c r="I26" s="195" t="s">
        <v>239</v>
      </c>
    </row>
    <row r="27" spans="2:9" x14ac:dyDescent="0.2">
      <c r="B27" s="446"/>
      <c r="C27" s="460"/>
      <c r="D27" s="446"/>
      <c r="E27" s="446"/>
      <c r="F27" s="446"/>
      <c r="G27" s="446"/>
      <c r="H27" s="446"/>
    </row>
    <row r="28" spans="2:9" x14ac:dyDescent="0.2">
      <c r="B28" s="447" t="s">
        <v>386</v>
      </c>
      <c r="C28" s="446"/>
      <c r="D28" s="446"/>
      <c r="E28" s="446"/>
      <c r="F28" s="446"/>
      <c r="G28" s="446"/>
      <c r="H28" s="446"/>
    </row>
    <row r="29" spans="2:9" x14ac:dyDescent="0.2">
      <c r="B29" s="697" t="s">
        <v>360</v>
      </c>
      <c r="C29" s="699" t="s">
        <v>371</v>
      </c>
      <c r="D29" s="446"/>
      <c r="E29" s="446"/>
      <c r="F29" s="446"/>
      <c r="G29" s="446"/>
      <c r="H29" s="487"/>
    </row>
    <row r="30" spans="2:9" x14ac:dyDescent="0.2">
      <c r="B30" s="698"/>
      <c r="C30" s="700"/>
      <c r="D30" s="446"/>
      <c r="E30" s="446"/>
      <c r="F30" s="446"/>
      <c r="G30" s="446"/>
      <c r="H30" s="489"/>
    </row>
    <row r="31" spans="2:9" x14ac:dyDescent="0.2">
      <c r="B31" s="464" t="s">
        <v>372</v>
      </c>
      <c r="C31" s="465">
        <f>ROUNDUP('Criteria 39tpy'!J17,0)</f>
        <v>269504</v>
      </c>
      <c r="D31" s="446"/>
      <c r="E31" s="701" t="s">
        <v>373</v>
      </c>
      <c r="F31" s="702"/>
      <c r="G31" s="466">
        <f>WorCanF!B2</f>
        <v>293903.2</v>
      </c>
      <c r="H31" s="489"/>
    </row>
    <row r="32" spans="2:9" x14ac:dyDescent="0.2">
      <c r="B32" s="473" t="str">
        <f>C6</f>
        <v>SKILODG1</v>
      </c>
      <c r="C32" s="468">
        <f>INDEX($C$18:$C$26,MATCH(I6,$I$18:$I$26,0))</f>
        <v>5360</v>
      </c>
      <c r="D32" s="446"/>
      <c r="E32" s="703" t="s">
        <v>374</v>
      </c>
      <c r="F32" s="704"/>
      <c r="G32" s="469">
        <f>WorCanF!C2</f>
        <v>5079885.0999999996</v>
      </c>
      <c r="H32" s="489"/>
    </row>
    <row r="33" spans="2:8" x14ac:dyDescent="0.2">
      <c r="B33" s="473" t="str">
        <f>C7</f>
        <v>P04_GENC</v>
      </c>
      <c r="C33" s="468">
        <f>INDEX($C$18:$C$26,MATCH(I7,$I$18:$I$26,0))</f>
        <v>7190.0000000000009</v>
      </c>
      <c r="D33" s="446"/>
      <c r="E33" s="490" t="s">
        <v>387</v>
      </c>
      <c r="F33" s="450"/>
      <c r="G33" s="491">
        <f>C35*F8+SUM(F6:F7)</f>
        <v>1.5603892897883576</v>
      </c>
      <c r="H33" s="487"/>
    </row>
    <row r="34" spans="2:8" x14ac:dyDescent="0.2">
      <c r="B34" s="473" t="str">
        <f>C8</f>
        <v>B55_G02A</v>
      </c>
      <c r="C34" s="468">
        <f>C31-SUM(C32:C33)</f>
        <v>256954</v>
      </c>
      <c r="D34" s="446"/>
      <c r="E34" s="474" t="s">
        <v>388</v>
      </c>
      <c r="F34" s="475"/>
      <c r="G34" s="476">
        <f>C35*G8+SUM(G6:G7)</f>
        <v>9.1092199129009177E-2</v>
      </c>
      <c r="H34" s="446"/>
    </row>
    <row r="35" spans="2:8" x14ac:dyDescent="0.2">
      <c r="B35" s="478" t="s">
        <v>377</v>
      </c>
      <c r="C35" s="479">
        <f>C34/C23</f>
        <v>14.810028818443804</v>
      </c>
      <c r="D35" s="446"/>
      <c r="E35" s="446"/>
      <c r="F35" s="446"/>
      <c r="G35" s="446"/>
      <c r="H35" s="446"/>
    </row>
    <row r="36" spans="2:8" x14ac:dyDescent="0.2">
      <c r="B36" s="492"/>
      <c r="C36" s="493"/>
      <c r="D36" s="446"/>
      <c r="E36" s="446"/>
      <c r="F36" s="446"/>
      <c r="G36" s="446"/>
      <c r="H36" s="446"/>
    </row>
    <row r="37" spans="2:8" x14ac:dyDescent="0.2">
      <c r="B37" s="446"/>
      <c r="C37" s="446"/>
      <c r="D37" s="446"/>
      <c r="E37" s="446"/>
      <c r="F37" s="446"/>
      <c r="G37" s="446"/>
      <c r="H37" s="446"/>
    </row>
    <row r="38" spans="2:8" x14ac:dyDescent="0.2">
      <c r="B38" s="446"/>
      <c r="C38" s="446"/>
      <c r="D38" s="446"/>
      <c r="E38" s="446"/>
      <c r="F38" s="446"/>
      <c r="G38" s="446"/>
      <c r="H38" s="446"/>
    </row>
  </sheetData>
  <mergeCells count="11">
    <mergeCell ref="G3:G5"/>
    <mergeCell ref="B3:B5"/>
    <mergeCell ref="C3:C5"/>
    <mergeCell ref="D3:D4"/>
    <mergeCell ref="E3:E4"/>
    <mergeCell ref="F3:F5"/>
    <mergeCell ref="B9:G16"/>
    <mergeCell ref="B29:B30"/>
    <mergeCell ref="C29:C30"/>
    <mergeCell ref="E31:F31"/>
    <mergeCell ref="E32:F32"/>
  </mergeCells>
  <pageMargins left="0.7" right="0.7" top="0.75" bottom="0.75" header="0.3" footer="0.3"/>
  <pageSetup scale="95" fitToHeight="0" orientation="landscape"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F566F1-3D19-4992-AF34-5BD8C235EBA9}">
  <sheetPr codeName="Sheet14">
    <pageSetUpPr fitToPage="1"/>
  </sheetPr>
  <dimension ref="B2:M37"/>
  <sheetViews>
    <sheetView view="pageBreakPreview" zoomScaleNormal="100" zoomScaleSheetLayoutView="100" workbookViewId="0">
      <selection activeCell="B23" sqref="B23:E24"/>
    </sheetView>
  </sheetViews>
  <sheetFormatPr defaultColWidth="9.140625" defaultRowHeight="12.75" x14ac:dyDescent="0.2"/>
  <cols>
    <col min="1" max="1" width="3.42578125" style="195" customWidth="1"/>
    <col min="2" max="2" width="26.5703125" style="195" customWidth="1"/>
    <col min="3" max="3" width="21.5703125" style="195" customWidth="1"/>
    <col min="4" max="4" width="17.85546875" style="195" customWidth="1"/>
    <col min="5" max="6" width="14" style="195" customWidth="1"/>
    <col min="7" max="7" width="14.7109375" style="195" customWidth="1"/>
    <col min="8" max="8" width="16.7109375" style="195" customWidth="1"/>
    <col min="9" max="10" width="16" style="195" customWidth="1"/>
    <col min="11" max="11" width="10" style="195" customWidth="1"/>
    <col min="12" max="12" width="9.140625" style="195"/>
    <col min="13" max="13" width="6.28515625" style="201" customWidth="1"/>
    <col min="14" max="14" width="9.140625" style="195"/>
    <col min="15" max="15" width="7" style="195" customWidth="1"/>
    <col min="16" max="16384" width="9.140625" style="195"/>
  </cols>
  <sheetData>
    <row r="2" spans="2:7" ht="13.5" thickBot="1" x14ac:dyDescent="0.25">
      <c r="B2" s="194" t="s">
        <v>389</v>
      </c>
    </row>
    <row r="3" spans="2:7" x14ac:dyDescent="0.2">
      <c r="B3" s="720" t="s">
        <v>359</v>
      </c>
      <c r="C3" s="711" t="s">
        <v>360</v>
      </c>
      <c r="D3" s="716" t="s">
        <v>364</v>
      </c>
      <c r="E3" s="705" t="s">
        <v>371</v>
      </c>
      <c r="F3" s="446"/>
    </row>
    <row r="4" spans="2:7" x14ac:dyDescent="0.2">
      <c r="B4" s="721"/>
      <c r="C4" s="712"/>
      <c r="D4" s="717"/>
      <c r="E4" s="706"/>
      <c r="F4" s="446"/>
    </row>
    <row r="5" spans="2:7" x14ac:dyDescent="0.2">
      <c r="B5" s="721"/>
      <c r="C5" s="712"/>
      <c r="D5" s="731"/>
      <c r="E5" s="719"/>
      <c r="F5" s="446"/>
      <c r="G5" s="212" t="s">
        <v>224</v>
      </c>
    </row>
    <row r="6" spans="2:7" ht="15" x14ac:dyDescent="0.25">
      <c r="B6" s="494">
        <v>1</v>
      </c>
      <c r="C6" s="495" t="str">
        <f>INDEX(AcuteF!$A:$A,MATCH(LARGE(AcuteF!$E:$E,$B6),AcuteF!$E:$E,0))</f>
        <v>P04_GENC</v>
      </c>
      <c r="D6" s="501">
        <f>INDEX(AcuteF!$E:$E,MATCH($C6,AcuteF!$A:$A,0))</f>
        <v>0.62632410000000005</v>
      </c>
      <c r="E6" s="502">
        <f>INDEX($C$25:$C$33,MATCH(G6,$G$25:$G$33,0))</f>
        <v>1725.6000000000001</v>
      </c>
      <c r="F6" s="446"/>
      <c r="G6" s="2" t="str">
        <f>INDEX('Gen IDs'!$A$2:$C$99,MATCH('Final Acute Risk'!C6,'Gen IDs'!$A$2:$A$99,0),2)</f>
        <v>Type C</v>
      </c>
    </row>
    <row r="7" spans="2:7" ht="15" x14ac:dyDescent="0.25">
      <c r="B7" s="500">
        <v>2</v>
      </c>
      <c r="C7" s="457" t="str">
        <f>INDEX(AcuteF!$A:$A,MATCH(LARGE(AcuteF!$E:$E,$B7),AcuteF!$E:$E,0))</f>
        <v>B55_G01A</v>
      </c>
      <c r="D7" s="503">
        <f>INDEX(AcuteF!$E:$E,MATCH($C7,AcuteF!$A:$A,0))</f>
        <v>0.23628779999999999</v>
      </c>
      <c r="E7" s="468">
        <f>INDEX($C$25:$C$33,MATCH(G7,$G$25:$G$33,0))</f>
        <v>4164</v>
      </c>
      <c r="F7" s="446"/>
      <c r="G7" s="2" t="str">
        <f>INDEX('Gen IDs'!$A$2:$C$99,MATCH('Final Acute Risk'!C7,'Gen IDs'!$A$2:$A$99,0),2)</f>
        <v>Type F</v>
      </c>
    </row>
    <row r="8" spans="2:7" ht="15" x14ac:dyDescent="0.25">
      <c r="B8" s="500">
        <v>3</v>
      </c>
      <c r="C8" s="457" t="str">
        <f>INDEX(AcuteF!$A:$A,MATCH(LARGE(AcuteF!$E:$E,$B8),AcuteF!$E:$E,0))</f>
        <v>B55_G02B</v>
      </c>
      <c r="D8" s="503">
        <f>INDEX(AcuteF!$E:$E,MATCH($C8,AcuteF!$A:$A,0))</f>
        <v>0.17089341</v>
      </c>
      <c r="E8" s="468">
        <f>INDEX($C$25:$C$33,MATCH(G8,$G$25:$G$33,0))</f>
        <v>4164</v>
      </c>
      <c r="F8" s="446"/>
      <c r="G8" s="2" t="str">
        <f>INDEX('Gen IDs'!$A$2:$C$99,MATCH('Final Acute Risk'!C8,'Gen IDs'!$A$2:$A$99,0),2)</f>
        <v>Type F</v>
      </c>
    </row>
    <row r="9" spans="2:7" ht="15" x14ac:dyDescent="0.25">
      <c r="B9" s="500">
        <v>4</v>
      </c>
      <c r="C9" s="457" t="str">
        <f>INDEX(AcuteF!$A:$A,MATCH(LARGE(AcuteF!$E:$E,$B9),AcuteF!$E:$E,0))</f>
        <v>B52_G07A</v>
      </c>
      <c r="D9" s="503">
        <f>INDEX(AcuteF!$E:$E,MATCH($C9,AcuteF!$A:$A,0))</f>
        <v>0.15746315999999999</v>
      </c>
      <c r="E9" s="468">
        <f>INDEX($C$25:$C$33,MATCH(G9,$G$25:$G$33,0))</f>
        <v>4164</v>
      </c>
      <c r="F9" s="446"/>
      <c r="G9" s="2" t="str">
        <f>INDEX('Gen IDs'!$A$2:$C$99,MATCH('Final Acute Risk'!C9,'Gen IDs'!$A$2:$A$99,0),2)</f>
        <v>Type F</v>
      </c>
    </row>
    <row r="10" spans="2:7" ht="15" x14ac:dyDescent="0.25">
      <c r="B10" s="500">
        <v>5</v>
      </c>
      <c r="C10" s="457" t="str">
        <f>INDEX(AcuteF!$A:$A,MATCH(LARGE(AcuteF!$E:$E,$B10),AcuteF!$E:$E,0))</f>
        <v>B55_G02A</v>
      </c>
      <c r="D10" s="503">
        <f>INDEX(AcuteF!$E:$E,MATCH($C10,AcuteF!$A:$A,0))</f>
        <v>0.15299064000000001</v>
      </c>
      <c r="E10" s="468">
        <f>INDEX($C$25:$C$33,MATCH(G10,$G$25:$G$33,0))</f>
        <v>4164</v>
      </c>
      <c r="F10" s="446"/>
      <c r="G10" s="2" t="str">
        <f>INDEX('Gen IDs'!$A$2:$C$99,MATCH('Final Acute Risk'!C10,'Gen IDs'!$A$2:$A$99,0),2)</f>
        <v>Type F</v>
      </c>
    </row>
    <row r="11" spans="2:7" ht="15" x14ac:dyDescent="0.25">
      <c r="B11" s="500">
        <v>6</v>
      </c>
      <c r="C11" s="457" t="str">
        <f>INDEX(AcuteF!$A:$A,MATCH(LARGE(AcuteF!$E:$E,$B11),AcuteF!$E:$E,0))</f>
        <v>B52_G06A</v>
      </c>
      <c r="D11" s="503">
        <f>INDEX(AcuteF!$E:$E,MATCH($C11,AcuteF!$A:$A,0))</f>
        <v>0.15056685</v>
      </c>
      <c r="E11" s="468">
        <f>E12-SUM(E6:E10)</f>
        <v>1618.4000000000015</v>
      </c>
      <c r="F11" s="446"/>
      <c r="G11" s="2" t="str">
        <f>INDEX('Gen IDs'!$A$2:$C$99,MATCH('Final Acute Risk'!C11,'Gen IDs'!$A$2:$A$99,0),2)</f>
        <v>Type F</v>
      </c>
    </row>
    <row r="12" spans="2:7" ht="15" x14ac:dyDescent="0.25">
      <c r="B12" s="732" t="s">
        <v>390</v>
      </c>
      <c r="C12" s="733"/>
      <c r="D12" s="734"/>
      <c r="E12" s="504">
        <v>20000</v>
      </c>
      <c r="F12" s="446"/>
      <c r="G12" s="2"/>
    </row>
    <row r="13" spans="2:7" ht="12.75" customHeight="1" x14ac:dyDescent="0.25">
      <c r="B13" s="695" t="s">
        <v>391</v>
      </c>
      <c r="C13" s="695"/>
      <c r="D13" s="695"/>
      <c r="E13" s="695"/>
      <c r="F13" s="446"/>
      <c r="G13" s="2"/>
    </row>
    <row r="14" spans="2:7" ht="15" x14ac:dyDescent="0.25">
      <c r="B14" s="696"/>
      <c r="C14" s="696"/>
      <c r="D14" s="696"/>
      <c r="E14" s="696"/>
      <c r="F14" s="446"/>
      <c r="G14" s="2"/>
    </row>
    <row r="15" spans="2:7" ht="15" x14ac:dyDescent="0.25">
      <c r="B15" s="696"/>
      <c r="C15" s="696"/>
      <c r="D15" s="696"/>
      <c r="E15" s="696"/>
      <c r="F15" s="446"/>
      <c r="G15" s="2"/>
    </row>
    <row r="16" spans="2:7" x14ac:dyDescent="0.2">
      <c r="B16" s="696"/>
      <c r="C16" s="696"/>
      <c r="D16" s="696"/>
      <c r="E16" s="696"/>
      <c r="F16" s="446"/>
    </row>
    <row r="17" spans="2:7" x14ac:dyDescent="0.2">
      <c r="B17" s="696"/>
      <c r="C17" s="696"/>
      <c r="D17" s="696"/>
      <c r="E17" s="696"/>
      <c r="F17" s="446"/>
    </row>
    <row r="18" spans="2:7" ht="15" customHeight="1" x14ac:dyDescent="0.2">
      <c r="B18" s="696"/>
      <c r="C18" s="696"/>
      <c r="D18" s="696"/>
      <c r="E18" s="696"/>
      <c r="F18" s="446"/>
    </row>
    <row r="19" spans="2:7" ht="15" customHeight="1" x14ac:dyDescent="0.2">
      <c r="B19" s="696"/>
      <c r="C19" s="696"/>
      <c r="D19" s="696"/>
      <c r="E19" s="696"/>
      <c r="F19" s="446"/>
    </row>
    <row r="20" spans="2:7" ht="15" customHeight="1" x14ac:dyDescent="0.2">
      <c r="B20" s="696"/>
      <c r="C20" s="696"/>
      <c r="D20" s="696"/>
      <c r="E20" s="696"/>
      <c r="F20" s="446"/>
    </row>
    <row r="21" spans="2:7" ht="15" customHeight="1" x14ac:dyDescent="0.2">
      <c r="B21" s="696"/>
      <c r="C21" s="696"/>
      <c r="D21" s="696"/>
      <c r="E21" s="696"/>
      <c r="F21" s="446"/>
    </row>
    <row r="22" spans="2:7" ht="23.25" customHeight="1" x14ac:dyDescent="0.2">
      <c r="B22" s="696"/>
      <c r="C22" s="696"/>
      <c r="D22" s="696"/>
      <c r="E22" s="696"/>
      <c r="F22" s="446"/>
    </row>
    <row r="23" spans="2:7" ht="15" customHeight="1" x14ac:dyDescent="0.2">
      <c r="B23" s="696" t="s">
        <v>392</v>
      </c>
      <c r="C23" s="696"/>
      <c r="D23" s="696"/>
      <c r="E23" s="696"/>
      <c r="F23" s="446"/>
    </row>
    <row r="24" spans="2:7" x14ac:dyDescent="0.2">
      <c r="B24" s="696"/>
      <c r="C24" s="696"/>
      <c r="D24" s="696"/>
      <c r="E24" s="696"/>
      <c r="F24" s="446"/>
      <c r="G24" s="212" t="s">
        <v>224</v>
      </c>
    </row>
    <row r="25" spans="2:7" x14ac:dyDescent="0.2">
      <c r="B25" s="207" t="str">
        <f>'Screening Emission Calculations'!B135</f>
        <v>CAT 27 - 750 kW</v>
      </c>
      <c r="C25" s="208">
        <f>'Screening Emission Calculations'!E135</f>
        <v>1286.4000000000001</v>
      </c>
      <c r="D25" s="209" t="s">
        <v>369</v>
      </c>
      <c r="E25" s="196"/>
      <c r="G25" s="195" t="s">
        <v>225</v>
      </c>
    </row>
    <row r="26" spans="2:7" x14ac:dyDescent="0.2">
      <c r="B26" s="207" t="str">
        <f>'Screening Emission Calculations'!B136</f>
        <v>CAT 27 - 800 kW</v>
      </c>
      <c r="C26" s="208">
        <f>'Screening Emission Calculations'!E136</f>
        <v>1375.1999999999998</v>
      </c>
      <c r="D26" s="209" t="s">
        <v>369</v>
      </c>
      <c r="E26" s="196"/>
      <c r="G26" s="195" t="s">
        <v>226</v>
      </c>
    </row>
    <row r="27" spans="2:7" x14ac:dyDescent="0.2">
      <c r="B27" s="207" t="str">
        <f>'Screening Emission Calculations'!B137</f>
        <v>CAT 32 - 1000 kW</v>
      </c>
      <c r="C27" s="208">
        <f>'Screening Emission Calculations'!E137</f>
        <v>1725.6000000000001</v>
      </c>
      <c r="D27" s="209" t="s">
        <v>369</v>
      </c>
      <c r="E27" s="196"/>
      <c r="G27" s="195" t="s">
        <v>228</v>
      </c>
    </row>
    <row r="28" spans="2:7" x14ac:dyDescent="0.2">
      <c r="B28" s="207" t="str">
        <f>'Screening Emission Calculations'!B138</f>
        <v>CAT 3516C Trans - 1825 kW</v>
      </c>
      <c r="C28" s="208">
        <f>'Screening Emission Calculations'!E138</f>
        <v>3081.6000000000004</v>
      </c>
      <c r="D28" s="209" t="s">
        <v>369</v>
      </c>
      <c r="E28" s="196"/>
      <c r="G28" s="195" t="s">
        <v>230</v>
      </c>
    </row>
    <row r="29" spans="2:7" x14ac:dyDescent="0.2">
      <c r="B29" s="207" t="str">
        <f>'Screening Emission Calculations'!B139</f>
        <v>CAT 3516C - 2000 kW</v>
      </c>
      <c r="C29" s="208">
        <f>'Screening Emission Calculations'!E139</f>
        <v>3333.6000000000004</v>
      </c>
      <c r="D29" s="209" t="s">
        <v>369</v>
      </c>
      <c r="E29" s="196"/>
      <c r="G29" s="195" t="s">
        <v>232</v>
      </c>
    </row>
    <row r="30" spans="2:7" x14ac:dyDescent="0.2">
      <c r="B30" s="207" t="str">
        <f>'Screening Emission Calculations'!B140</f>
        <v>CAT 3516C - 2500 kW</v>
      </c>
      <c r="C30" s="208">
        <f>'Screening Emission Calculations'!E140</f>
        <v>4164</v>
      </c>
      <c r="D30" s="209" t="s">
        <v>369</v>
      </c>
      <c r="E30" s="196"/>
      <c r="G30" s="195" t="s">
        <v>234</v>
      </c>
    </row>
    <row r="31" spans="2:7" x14ac:dyDescent="0.2">
      <c r="B31" s="207" t="str">
        <f>'Screening Emission Calculations'!B141</f>
        <v>MTU 2250 - 2250 kW</v>
      </c>
      <c r="C31" s="208">
        <f>'Screening Emission Calculations'!E141</f>
        <v>3912</v>
      </c>
      <c r="D31" s="209" t="s">
        <v>369</v>
      </c>
      <c r="E31" s="196"/>
      <c r="G31" s="195" t="s">
        <v>236</v>
      </c>
    </row>
    <row r="32" spans="2:7" x14ac:dyDescent="0.2">
      <c r="B32" s="207" t="str">
        <f>'Screening Emission Calculations'!B142</f>
        <v>CAT C18 - 750 kW</v>
      </c>
      <c r="C32" s="208">
        <f>'Screening Emission Calculations'!E142</f>
        <v>1286.4000000000001</v>
      </c>
      <c r="D32" s="209" t="s">
        <v>369</v>
      </c>
      <c r="E32" s="196"/>
      <c r="G32" s="195" t="s">
        <v>237</v>
      </c>
    </row>
    <row r="33" spans="2:7" x14ac:dyDescent="0.2">
      <c r="B33" s="207" t="str">
        <f>'Screening Emission Calculations'!B143</f>
        <v>CAT 3512C - 1500 kW</v>
      </c>
      <c r="C33" s="208">
        <f>'Screening Emission Calculations'!E143</f>
        <v>2476.8000000000002</v>
      </c>
      <c r="D33" s="209" t="s">
        <v>369</v>
      </c>
      <c r="E33" s="196"/>
      <c r="G33" s="195" t="s">
        <v>239</v>
      </c>
    </row>
    <row r="34" spans="2:7" ht="15" customHeight="1" thickBot="1" x14ac:dyDescent="0.25">
      <c r="B34" s="198"/>
      <c r="C34" s="198"/>
      <c r="D34" s="198"/>
      <c r="E34" s="198"/>
    </row>
    <row r="35" spans="2:7" x14ac:dyDescent="0.2">
      <c r="B35" s="727" t="s">
        <v>373</v>
      </c>
      <c r="C35" s="728"/>
      <c r="D35" s="262">
        <f>AcuteF!B2</f>
        <v>293903.2</v>
      </c>
    </row>
    <row r="36" spans="2:7" ht="13.5" thickBot="1" x14ac:dyDescent="0.25">
      <c r="B36" s="729" t="s">
        <v>374</v>
      </c>
      <c r="C36" s="730"/>
      <c r="D36" s="263">
        <f>AcuteF!C2</f>
        <v>5079885.0999999996</v>
      </c>
    </row>
    <row r="37" spans="2:7" x14ac:dyDescent="0.2">
      <c r="B37" s="210" t="s">
        <v>393</v>
      </c>
      <c r="C37" s="211"/>
      <c r="D37" s="505">
        <f>SUM(D6:D10)+(E11/C30)*D11</f>
        <v>1.4024791364265132</v>
      </c>
    </row>
  </sheetData>
  <mergeCells count="9">
    <mergeCell ref="B23:E24"/>
    <mergeCell ref="B35:C35"/>
    <mergeCell ref="B36:C36"/>
    <mergeCell ref="B3:B5"/>
    <mergeCell ref="C3:C5"/>
    <mergeCell ref="D3:D5"/>
    <mergeCell ref="E3:E5"/>
    <mergeCell ref="B12:D12"/>
    <mergeCell ref="B13:E22"/>
  </mergeCells>
  <pageMargins left="0.7" right="0.7" top="0.75" bottom="0.75" header="0.3" footer="0.3"/>
  <pageSetup fitToHeight="0" orientation="landscape"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279B8-93C3-4889-BEEF-5F126B7A84A4}">
  <sheetPr codeName="Sheet26">
    <pageSetUpPr fitToPage="1"/>
  </sheetPr>
  <dimension ref="B1:J12"/>
  <sheetViews>
    <sheetView tabSelected="1" view="pageBreakPreview" zoomScaleNormal="100" zoomScaleSheetLayoutView="100" workbookViewId="0">
      <selection activeCell="M17" sqref="M17"/>
    </sheetView>
  </sheetViews>
  <sheetFormatPr defaultColWidth="9.140625" defaultRowHeight="15" x14ac:dyDescent="0.25"/>
  <cols>
    <col min="1" max="1" width="4.140625" style="2" customWidth="1"/>
    <col min="2" max="2" width="38.42578125" style="2" customWidth="1"/>
    <col min="3" max="9" width="11.5703125" style="2" customWidth="1"/>
    <col min="10" max="16384" width="9.140625" style="2"/>
  </cols>
  <sheetData>
    <row r="1" spans="2:10" x14ac:dyDescent="0.25">
      <c r="B1" s="99" t="s">
        <v>1173</v>
      </c>
      <c r="C1" s="487"/>
      <c r="D1" s="487"/>
      <c r="E1" s="487"/>
      <c r="F1" s="487"/>
      <c r="G1" s="487"/>
      <c r="H1" s="487"/>
      <c r="I1" s="487"/>
      <c r="J1"/>
    </row>
    <row r="2" spans="2:10" ht="54.6" customHeight="1" x14ac:dyDescent="0.25">
      <c r="B2" s="507"/>
      <c r="C2" s="508" t="s">
        <v>394</v>
      </c>
      <c r="D2" s="508" t="s">
        <v>395</v>
      </c>
      <c r="E2" s="508" t="s">
        <v>396</v>
      </c>
      <c r="F2" s="508" t="s">
        <v>397</v>
      </c>
      <c r="G2" s="508" t="s">
        <v>398</v>
      </c>
      <c r="H2" s="508" t="s">
        <v>399</v>
      </c>
      <c r="I2" s="508" t="s">
        <v>400</v>
      </c>
      <c r="J2"/>
    </row>
    <row r="3" spans="2:10" ht="26.25" x14ac:dyDescent="0.25">
      <c r="B3" s="509" t="s">
        <v>401</v>
      </c>
      <c r="C3" s="510">
        <f>IF('Final Residential Risk'!G37&lt;0.1,"&lt;0.1",ROUND('Final Residential Risk'!G37,1))</f>
        <v>2.8</v>
      </c>
      <c r="D3" s="604" t="str">
        <f>IF('Final Residential Risk'!G38&lt;0.1,"0.1",ROUND('Final Residential Risk'!G38,1))</f>
        <v>0.1</v>
      </c>
      <c r="E3" s="511" t="str">
        <f>IF('Final Child Risk'!G61&lt;0.1,"&lt;0.1",ROUND('Final Child Risk'!G61,1))</f>
        <v>&lt;0.1</v>
      </c>
      <c r="F3" s="511" t="str">
        <f>IF('Final Child Risk'!G62&lt;0.1,"&lt;0.1",ROUND('Final Child Risk'!G62,1))</f>
        <v>&lt;0.1</v>
      </c>
      <c r="G3" s="510">
        <f>IF('Final Worker Risk'!G33&lt;0.1,"&lt;0.1",ROUND('Final Worker Risk'!G33,1))</f>
        <v>1.6</v>
      </c>
      <c r="H3" s="604" t="str">
        <f>IF('Final Worker Risk'!G34&lt;0.1,"0.1",ROUND('Final Worker Risk'!G34,1))</f>
        <v>0.1</v>
      </c>
      <c r="I3" s="510">
        <f>IF('Final Acute Risk'!D37&lt;0.1,"&lt;0.1",ROUND('Final Acute Risk'!D37,1))</f>
        <v>1.4</v>
      </c>
      <c r="J3"/>
    </row>
    <row r="4" spans="2:10" x14ac:dyDescent="0.25">
      <c r="B4" s="512" t="s">
        <v>402</v>
      </c>
      <c r="C4" s="513">
        <v>5</v>
      </c>
      <c r="D4" s="513">
        <v>0.5</v>
      </c>
      <c r="E4" s="513">
        <v>5</v>
      </c>
      <c r="F4" s="513">
        <v>0.5</v>
      </c>
      <c r="G4" s="513">
        <v>5</v>
      </c>
      <c r="H4" s="513">
        <v>0.5</v>
      </c>
      <c r="I4" s="514">
        <v>0.5</v>
      </c>
      <c r="J4"/>
    </row>
    <row r="5" spans="2:10" x14ac:dyDescent="0.25">
      <c r="B5" s="515" t="s">
        <v>403</v>
      </c>
      <c r="C5" s="516" t="str">
        <f>IF(ISNUMBER(C$3),IF(ROUND(C$3,1)&gt;C4,"Yes","No"),"No")</f>
        <v>No</v>
      </c>
      <c r="D5" s="516" t="str">
        <f t="shared" ref="D5:I5" si="0">IF(ISNUMBER(D$3),IF(ROUND(D$3,1)&gt;D4,"Yes","No"),"No")</f>
        <v>No</v>
      </c>
      <c r="E5" s="516" t="str">
        <f t="shared" si="0"/>
        <v>No</v>
      </c>
      <c r="F5" s="516" t="str">
        <f t="shared" si="0"/>
        <v>No</v>
      </c>
      <c r="G5" s="516" t="str">
        <f t="shared" si="0"/>
        <v>No</v>
      </c>
      <c r="H5" s="516" t="str">
        <f t="shared" si="0"/>
        <v>No</v>
      </c>
      <c r="I5" s="516" t="str">
        <f t="shared" si="0"/>
        <v>Yes</v>
      </c>
      <c r="J5"/>
    </row>
    <row r="6" spans="2:10" x14ac:dyDescent="0.25">
      <c r="B6" s="515" t="s">
        <v>404</v>
      </c>
      <c r="C6" s="516">
        <v>25</v>
      </c>
      <c r="D6" s="516">
        <v>1</v>
      </c>
      <c r="E6" s="516">
        <v>25</v>
      </c>
      <c r="F6" s="516">
        <v>1</v>
      </c>
      <c r="G6" s="516">
        <v>25</v>
      </c>
      <c r="H6" s="516">
        <v>1</v>
      </c>
      <c r="I6" s="517">
        <v>1</v>
      </c>
      <c r="J6"/>
    </row>
    <row r="7" spans="2:10" x14ac:dyDescent="0.25">
      <c r="B7" s="515" t="s">
        <v>405</v>
      </c>
      <c r="C7" s="516" t="str">
        <f>IF(ISNUMBER(C$3),IF(ROUND(C$3,0)&gt;C6,"Yes","No"),"No")</f>
        <v>No</v>
      </c>
      <c r="D7" s="516" t="str">
        <f t="shared" ref="D7:I7" si="1">IF(ISNUMBER(D$3),IF(ROUND(D$3,0)&gt;D6,"Yes","No"),"No")</f>
        <v>No</v>
      </c>
      <c r="E7" s="516" t="str">
        <f t="shared" si="1"/>
        <v>No</v>
      </c>
      <c r="F7" s="516" t="str">
        <f t="shared" si="1"/>
        <v>No</v>
      </c>
      <c r="G7" s="516" t="str">
        <f t="shared" si="1"/>
        <v>No</v>
      </c>
      <c r="H7" s="516" t="str">
        <f t="shared" si="1"/>
        <v>No</v>
      </c>
      <c r="I7" s="516" t="str">
        <f t="shared" si="1"/>
        <v>No</v>
      </c>
      <c r="J7"/>
    </row>
    <row r="8" spans="2:10" x14ac:dyDescent="0.25">
      <c r="B8" s="515" t="s">
        <v>406</v>
      </c>
      <c r="C8" s="516">
        <v>50</v>
      </c>
      <c r="D8" s="516">
        <v>3</v>
      </c>
      <c r="E8" s="516">
        <v>50</v>
      </c>
      <c r="F8" s="516">
        <v>3</v>
      </c>
      <c r="G8" s="516">
        <v>50</v>
      </c>
      <c r="H8" s="516">
        <v>3</v>
      </c>
      <c r="I8" s="517">
        <v>3</v>
      </c>
      <c r="J8"/>
    </row>
    <row r="9" spans="2:10" x14ac:dyDescent="0.25">
      <c r="B9" s="315" t="s">
        <v>407</v>
      </c>
      <c r="C9" s="516" t="str">
        <f>IF(ISNUMBER(C$3),IF(ROUND(C$3,0)&gt;C8,"Yes","No"),"No")</f>
        <v>No</v>
      </c>
      <c r="D9" s="516" t="str">
        <f t="shared" ref="D9" si="2">IF(ISNUMBER(D$3),IF(ROUND(D$3,0)&gt;D8,"Yes","No"),"No")</f>
        <v>No</v>
      </c>
      <c r="E9" s="516" t="str">
        <f t="shared" ref="E9" si="3">IF(ISNUMBER(E$3),IF(ROUND(E$3,0)&gt;E8,"Yes","No"),"No")</f>
        <v>No</v>
      </c>
      <c r="F9" s="516" t="str">
        <f t="shared" ref="F9" si="4">IF(ISNUMBER(F$3),IF(ROUND(F$3,0)&gt;F8,"Yes","No"),"No")</f>
        <v>No</v>
      </c>
      <c r="G9" s="516" t="str">
        <f t="shared" ref="G9" si="5">IF(ISNUMBER(G$3),IF(ROUND(G$3,0)&gt;G8,"Yes","No"),"No")</f>
        <v>No</v>
      </c>
      <c r="H9" s="516" t="str">
        <f t="shared" ref="H9" si="6">IF(ISNUMBER(H$3),IF(ROUND(H$3,0)&gt;H8,"Yes","No"),"No")</f>
        <v>No</v>
      </c>
      <c r="I9" s="516" t="str">
        <f t="shared" ref="I9" si="7">IF(ISNUMBER(I$3),IF(ROUND(I$3,0)&gt;I8,"Yes","No"),"No")</f>
        <v>No</v>
      </c>
      <c r="J9"/>
    </row>
    <row r="10" spans="2:10" x14ac:dyDescent="0.25">
      <c r="B10" s="518" t="s">
        <v>408</v>
      </c>
      <c r="C10"/>
      <c r="D10"/>
      <c r="E10"/>
      <c r="F10"/>
      <c r="G10"/>
      <c r="H10"/>
      <c r="I10"/>
      <c r="J10"/>
    </row>
    <row r="11" spans="2:10" ht="22.5" customHeight="1" x14ac:dyDescent="0.25">
      <c r="B11" s="735" t="s">
        <v>409</v>
      </c>
      <c r="C11" s="736"/>
      <c r="D11" s="736"/>
      <c r="E11" s="736"/>
      <c r="F11" s="736"/>
      <c r="G11" s="736"/>
      <c r="H11" s="736"/>
      <c r="I11" s="736"/>
      <c r="J11"/>
    </row>
    <row r="12" spans="2:10" ht="24.95" customHeight="1" x14ac:dyDescent="0.25">
      <c r="B12" s="737" t="s">
        <v>410</v>
      </c>
      <c r="C12" s="738"/>
      <c r="D12" s="738"/>
      <c r="E12" s="738"/>
      <c r="F12" s="738"/>
      <c r="G12" s="738"/>
      <c r="H12" s="738"/>
      <c r="I12" s="738"/>
      <c r="J12"/>
    </row>
  </sheetData>
  <mergeCells count="2">
    <mergeCell ref="B11:I11"/>
    <mergeCell ref="B12:I12"/>
  </mergeCells>
  <conditionalFormatting sqref="C5:I5 C7:I7 C9:I9">
    <cfRule type="cellIs" dxfId="0" priority="1" operator="equal">
      <formula>"Yes"</formula>
    </cfRule>
  </conditionalFormatting>
  <pageMargins left="0.7" right="0.7" top="0.75" bottom="0.75" header="0.3" footer="0.3"/>
  <pageSetup fitToHeight="0" orientation="landscape"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204BEE-93D0-4453-A8D1-DB1EB4FE22AE}">
  <sheetPr codeName="Sheet15">
    <tabColor theme="1"/>
  </sheetPr>
  <dimension ref="A1"/>
  <sheetViews>
    <sheetView workbookViewId="0"/>
  </sheetViews>
  <sheetFormatPr defaultRowHeight="15" x14ac:dyDescent="0.25"/>
  <sheetData/>
  <pageMargins left="0.7" right="0.7" top="0.75" bottom="0.75" header="0.3" footer="0.3"/>
  <pageSetup paperSize="3"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6">
    <tabColor theme="1"/>
  </sheetPr>
  <dimension ref="A1"/>
  <sheetViews>
    <sheetView workbookViewId="0"/>
  </sheetViews>
  <sheetFormatPr defaultColWidth="9.140625" defaultRowHeight="15" x14ac:dyDescent="0.25"/>
  <cols>
    <col min="1" max="16384" width="9.140625" style="2"/>
  </cols>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7">
    <tabColor rgb="FFFF0000"/>
  </sheetPr>
  <dimension ref="A1:J49"/>
  <sheetViews>
    <sheetView workbookViewId="0"/>
  </sheetViews>
  <sheetFormatPr defaultColWidth="9.140625" defaultRowHeight="13.5" x14ac:dyDescent="0.2"/>
  <cols>
    <col min="1" max="1" width="9.140625" style="1"/>
    <col min="2" max="2" width="1.85546875" style="1" customWidth="1"/>
    <col min="3" max="3" width="26.85546875" style="1" customWidth="1"/>
    <col min="4" max="8" width="21.42578125" style="1" customWidth="1"/>
    <col min="9" max="9" width="22.140625" style="1" customWidth="1"/>
    <col min="10" max="10" width="13.140625" style="1" customWidth="1"/>
    <col min="11" max="16384" width="9.140625" style="1"/>
  </cols>
  <sheetData>
    <row r="1" spans="1:9" x14ac:dyDescent="0.2">
      <c r="A1" s="1" t="s">
        <v>411</v>
      </c>
    </row>
    <row r="2" spans="1:9" ht="14.25" thickBot="1" x14ac:dyDescent="0.25">
      <c r="B2" s="7" t="s">
        <v>412</v>
      </c>
      <c r="C2" s="12"/>
      <c r="D2" s="12"/>
      <c r="E2" s="12"/>
      <c r="F2" s="12"/>
      <c r="G2" s="12"/>
      <c r="H2" s="12"/>
      <c r="I2" s="12"/>
    </row>
    <row r="3" spans="1:9" ht="15.75" x14ac:dyDescent="0.2">
      <c r="B3" s="14"/>
      <c r="C3" s="15"/>
      <c r="D3" s="739" t="s">
        <v>413</v>
      </c>
      <c r="E3" s="740"/>
      <c r="F3" s="740"/>
      <c r="G3" s="740"/>
      <c r="H3" s="741"/>
      <c r="I3" s="742" t="s">
        <v>414</v>
      </c>
    </row>
    <row r="4" spans="1:9" ht="14.25" thickBot="1" x14ac:dyDescent="0.25">
      <c r="B4" s="22" t="s">
        <v>415</v>
      </c>
      <c r="C4" s="23"/>
      <c r="D4" s="16">
        <v>2013</v>
      </c>
      <c r="E4" s="29">
        <v>2014</v>
      </c>
      <c r="F4" s="29">
        <v>2015</v>
      </c>
      <c r="G4" s="29">
        <v>2016</v>
      </c>
      <c r="H4" s="17">
        <v>2017</v>
      </c>
      <c r="I4" s="743"/>
    </row>
    <row r="5" spans="1:9" x14ac:dyDescent="0.2">
      <c r="B5" s="24" t="s">
        <v>416</v>
      </c>
      <c r="C5" s="25"/>
      <c r="D5" s="19">
        <v>3205.46414</v>
      </c>
      <c r="E5" s="30">
        <v>2631.63283</v>
      </c>
      <c r="F5" s="30">
        <v>2701.8009200000001</v>
      </c>
      <c r="G5" s="30">
        <v>2503.42362</v>
      </c>
      <c r="H5" s="35">
        <v>2935.6927700000001</v>
      </c>
      <c r="I5" s="38">
        <f t="shared" ref="I5:I11" si="0">MAX(D5:H5)</f>
        <v>3205.46414</v>
      </c>
    </row>
    <row r="6" spans="1:9" x14ac:dyDescent="0.2">
      <c r="B6" s="24" t="s">
        <v>417</v>
      </c>
      <c r="C6" s="25"/>
      <c r="D6" s="20">
        <v>3019.2683400000001</v>
      </c>
      <c r="E6" s="31">
        <v>2436.4834700000001</v>
      </c>
      <c r="F6" s="31">
        <v>2489.0206899999998</v>
      </c>
      <c r="G6" s="31">
        <v>2334.08619</v>
      </c>
      <c r="H6" s="36">
        <v>2625.8870099999999</v>
      </c>
      <c r="I6" s="39">
        <f t="shared" si="0"/>
        <v>3019.2683400000001</v>
      </c>
    </row>
    <row r="7" spans="1:9" x14ac:dyDescent="0.2">
      <c r="B7" s="24" t="s">
        <v>418</v>
      </c>
      <c r="C7" s="25"/>
      <c r="D7" s="20">
        <v>251.06896</v>
      </c>
      <c r="E7" s="31">
        <v>186.48301000000001</v>
      </c>
      <c r="F7" s="31">
        <v>201.31128000000001</v>
      </c>
      <c r="G7" s="31">
        <v>210.01643999999999</v>
      </c>
      <c r="H7" s="36">
        <v>209.77673999999999</v>
      </c>
      <c r="I7" s="39">
        <f t="shared" si="0"/>
        <v>251.06896</v>
      </c>
    </row>
    <row r="8" spans="1:9" x14ac:dyDescent="0.2">
      <c r="B8" s="24"/>
      <c r="C8" s="25" t="s">
        <v>419</v>
      </c>
      <c r="D8" s="20">
        <v>296.24680000000001</v>
      </c>
      <c r="E8" s="31">
        <v>195.53740999999999</v>
      </c>
      <c r="F8" s="31">
        <v>191.70760999999999</v>
      </c>
      <c r="G8" s="31">
        <v>176.15789000000001</v>
      </c>
      <c r="H8" s="36">
        <v>212.18819999999999</v>
      </c>
      <c r="I8" s="39">
        <f t="shared" si="0"/>
        <v>296.24680000000001</v>
      </c>
    </row>
    <row r="9" spans="1:9" x14ac:dyDescent="0.2">
      <c r="B9" s="24"/>
      <c r="C9" s="25" t="s">
        <v>420</v>
      </c>
      <c r="D9" s="20">
        <v>195.88882000000001</v>
      </c>
      <c r="E9" s="31">
        <v>194.00516999999999</v>
      </c>
      <c r="F9" s="31">
        <v>223.42437000000001</v>
      </c>
      <c r="G9" s="31">
        <v>283.01677999999998</v>
      </c>
      <c r="H9" s="36">
        <v>254.19441</v>
      </c>
      <c r="I9" s="39">
        <f t="shared" si="0"/>
        <v>283.01677999999998</v>
      </c>
    </row>
    <row r="10" spans="1:9" x14ac:dyDescent="0.2">
      <c r="B10" s="24"/>
      <c r="C10" s="25" t="s">
        <v>421</v>
      </c>
      <c r="D10" s="20">
        <v>1056.2766899999999</v>
      </c>
      <c r="E10" s="31">
        <v>949.50489000000005</v>
      </c>
      <c r="F10" s="31">
        <v>607.93469000000005</v>
      </c>
      <c r="G10" s="31">
        <v>1106.1558500000001</v>
      </c>
      <c r="H10" s="36">
        <v>798.82961999999998</v>
      </c>
      <c r="I10" s="39">
        <f t="shared" si="0"/>
        <v>1106.1558500000001</v>
      </c>
    </row>
    <row r="11" spans="1:9" ht="14.25" thickBot="1" x14ac:dyDescent="0.25">
      <c r="B11" s="744" t="s">
        <v>422</v>
      </c>
      <c r="C11" s="745"/>
      <c r="D11" s="21">
        <v>782.78240000000005</v>
      </c>
      <c r="E11" s="32">
        <v>936.36900000000003</v>
      </c>
      <c r="F11" s="32">
        <v>878.54801999999995</v>
      </c>
      <c r="G11" s="32">
        <v>787.00676999999996</v>
      </c>
      <c r="H11" s="37">
        <v>957.81138999999996</v>
      </c>
      <c r="I11" s="40">
        <f t="shared" si="0"/>
        <v>957.81138999999996</v>
      </c>
    </row>
    <row r="12" spans="1:9" ht="14.25" x14ac:dyDescent="0.2">
      <c r="B12" s="41">
        <v>1</v>
      </c>
      <c r="C12" s="746" t="s">
        <v>423</v>
      </c>
      <c r="D12" s="746"/>
      <c r="E12" s="746"/>
      <c r="F12" s="746"/>
      <c r="G12" s="746"/>
      <c r="H12" s="746"/>
      <c r="I12" s="746"/>
    </row>
    <row r="14" spans="1:9" ht="14.25" thickBot="1" x14ac:dyDescent="0.25">
      <c r="B14" s="7" t="s">
        <v>424</v>
      </c>
      <c r="C14" s="12"/>
      <c r="D14" s="12"/>
      <c r="E14" s="12"/>
      <c r="F14" s="12"/>
      <c r="G14" s="12"/>
      <c r="H14" s="12"/>
      <c r="I14" s="12"/>
    </row>
    <row r="15" spans="1:9" ht="15.75" x14ac:dyDescent="0.2">
      <c r="B15" s="14"/>
      <c r="C15" s="15"/>
      <c r="D15" s="739" t="s">
        <v>413</v>
      </c>
      <c r="E15" s="740"/>
      <c r="F15" s="740"/>
      <c r="G15" s="740"/>
      <c r="H15" s="741"/>
      <c r="I15" s="742" t="s">
        <v>414</v>
      </c>
    </row>
    <row r="16" spans="1:9" ht="14.25" thickBot="1" x14ac:dyDescent="0.25">
      <c r="B16" s="22" t="s">
        <v>415</v>
      </c>
      <c r="C16" s="23"/>
      <c r="D16" s="16">
        <v>2013</v>
      </c>
      <c r="E16" s="29">
        <v>2014</v>
      </c>
      <c r="F16" s="29">
        <v>2015</v>
      </c>
      <c r="G16" s="29">
        <v>2016</v>
      </c>
      <c r="H16" s="17">
        <v>2017</v>
      </c>
      <c r="I16" s="743"/>
    </row>
    <row r="17" spans="1:9" x14ac:dyDescent="0.2">
      <c r="B17" s="24" t="s">
        <v>416</v>
      </c>
      <c r="C17" s="25"/>
      <c r="D17" s="26">
        <v>754.06635000000006</v>
      </c>
      <c r="E17" s="30">
        <v>700.22303999999997</v>
      </c>
      <c r="F17" s="33">
        <v>710.39071999999999</v>
      </c>
      <c r="G17" s="33">
        <v>740.91989000000001</v>
      </c>
      <c r="H17" s="35">
        <v>715.95267999999999</v>
      </c>
      <c r="I17" s="38">
        <f t="shared" ref="I17:I23" si="1">MAX(D17:H17)</f>
        <v>754.06635000000006</v>
      </c>
    </row>
    <row r="18" spans="1:9" x14ac:dyDescent="0.2">
      <c r="B18" s="24" t="s">
        <v>417</v>
      </c>
      <c r="C18" s="25"/>
      <c r="D18" s="27">
        <v>684.91507000000001</v>
      </c>
      <c r="E18" s="31">
        <v>643.03732000000002</v>
      </c>
      <c r="F18" s="31">
        <v>651.98639000000003</v>
      </c>
      <c r="G18" s="31">
        <v>680.59036000000003</v>
      </c>
      <c r="H18" s="36">
        <v>655.82755999999995</v>
      </c>
      <c r="I18" s="39">
        <f t="shared" si="1"/>
        <v>684.91507000000001</v>
      </c>
    </row>
    <row r="19" spans="1:9" x14ac:dyDescent="0.2">
      <c r="B19" s="24" t="s">
        <v>418</v>
      </c>
      <c r="C19" s="25"/>
      <c r="D19" s="27">
        <v>45.598379999999999</v>
      </c>
      <c r="E19" s="31">
        <v>45.039439999999999</v>
      </c>
      <c r="F19" s="31">
        <v>38.362479999999998</v>
      </c>
      <c r="G19" s="31">
        <v>40.97289</v>
      </c>
      <c r="H19" s="36">
        <v>36.559849999999997</v>
      </c>
      <c r="I19" s="39">
        <f t="shared" si="1"/>
        <v>45.598379999999999</v>
      </c>
    </row>
    <row r="20" spans="1:9" x14ac:dyDescent="0.2">
      <c r="B20" s="24"/>
      <c r="C20" s="25" t="s">
        <v>419</v>
      </c>
      <c r="D20" s="27">
        <v>38.875100000000003</v>
      </c>
      <c r="E20" s="31">
        <v>37.321109999999997</v>
      </c>
      <c r="F20" s="31">
        <v>38.092880000000001</v>
      </c>
      <c r="G20" s="31">
        <v>39.25761</v>
      </c>
      <c r="H20" s="36">
        <v>37.917540000000002</v>
      </c>
      <c r="I20" s="39">
        <f t="shared" si="1"/>
        <v>39.25761</v>
      </c>
    </row>
    <row r="21" spans="1:9" x14ac:dyDescent="0.2">
      <c r="B21" s="24"/>
      <c r="C21" s="25" t="s">
        <v>420</v>
      </c>
      <c r="D21" s="27">
        <v>28.731539999999999</v>
      </c>
      <c r="E21" s="31">
        <v>30.6066</v>
      </c>
      <c r="F21" s="31">
        <v>31.314800000000002</v>
      </c>
      <c r="G21" s="31">
        <v>30.777470000000001</v>
      </c>
      <c r="H21" s="36">
        <v>31.42334</v>
      </c>
      <c r="I21" s="39">
        <f t="shared" si="1"/>
        <v>31.42334</v>
      </c>
    </row>
    <row r="22" spans="1:9" x14ac:dyDescent="0.2">
      <c r="B22" s="24"/>
      <c r="C22" s="25" t="s">
        <v>421</v>
      </c>
      <c r="D22" s="27">
        <v>54.176259999999999</v>
      </c>
      <c r="E22" s="31">
        <v>52.282130000000002</v>
      </c>
      <c r="F22" s="31">
        <v>55.64114</v>
      </c>
      <c r="G22" s="31">
        <v>53.013500000000001</v>
      </c>
      <c r="H22" s="36">
        <v>45.954859999999996</v>
      </c>
      <c r="I22" s="39">
        <f t="shared" si="1"/>
        <v>55.64114</v>
      </c>
    </row>
    <row r="23" spans="1:9" ht="14.25" thickBot="1" x14ac:dyDescent="0.25">
      <c r="B23" s="744" t="s">
        <v>422</v>
      </c>
      <c r="C23" s="745"/>
      <c r="D23" s="28">
        <v>58.12838</v>
      </c>
      <c r="E23" s="32">
        <v>68.138279999999995</v>
      </c>
      <c r="F23" s="34">
        <v>75.673869999999994</v>
      </c>
      <c r="G23" s="34">
        <v>69.838380000000001</v>
      </c>
      <c r="H23" s="37">
        <v>78.239009999999993</v>
      </c>
      <c r="I23" s="40">
        <f t="shared" si="1"/>
        <v>78.239009999999993</v>
      </c>
    </row>
    <row r="24" spans="1:9" ht="14.25" x14ac:dyDescent="0.2">
      <c r="B24" s="10">
        <v>1</v>
      </c>
      <c r="C24" s="746" t="s">
        <v>423</v>
      </c>
      <c r="D24" s="746"/>
      <c r="E24" s="746"/>
      <c r="F24" s="746"/>
      <c r="G24" s="746"/>
      <c r="H24" s="746"/>
      <c r="I24" s="746"/>
    </row>
    <row r="25" spans="1:9" ht="14.25" x14ac:dyDescent="0.2">
      <c r="B25" s="3"/>
      <c r="C25" s="8"/>
      <c r="D25" s="8"/>
      <c r="E25" s="8"/>
      <c r="F25" s="9"/>
      <c r="G25" s="9"/>
      <c r="H25" s="9"/>
      <c r="I25" s="9"/>
    </row>
    <row r="26" spans="1:9" ht="14.25" x14ac:dyDescent="0.2">
      <c r="A26" s="1" t="s">
        <v>425</v>
      </c>
      <c r="B26" s="10"/>
      <c r="C26" s="6"/>
      <c r="D26" s="11"/>
      <c r="E26" s="11"/>
      <c r="F26" s="8"/>
      <c r="G26" s="8"/>
      <c r="H26" s="8"/>
      <c r="I26" s="8"/>
    </row>
    <row r="27" spans="1:9" ht="14.25" customHeight="1" x14ac:dyDescent="0.2">
      <c r="B27" s="7" t="s">
        <v>412</v>
      </c>
      <c r="C27" s="5"/>
      <c r="D27" s="5"/>
      <c r="E27" s="5"/>
      <c r="F27" s="5"/>
      <c r="G27" s="5"/>
      <c r="H27" s="5"/>
      <c r="I27" s="5"/>
    </row>
    <row r="28" spans="1:9" ht="14.25" customHeight="1" x14ac:dyDescent="0.2">
      <c r="B28" s="53"/>
      <c r="C28" s="54"/>
      <c r="D28" s="739" t="s">
        <v>413</v>
      </c>
      <c r="E28" s="740"/>
      <c r="F28" s="740"/>
      <c r="G28" s="740"/>
      <c r="H28" s="741"/>
      <c r="I28" s="742" t="s">
        <v>414</v>
      </c>
    </row>
    <row r="29" spans="1:9" x14ac:dyDescent="0.2">
      <c r="B29" s="22" t="s">
        <v>415</v>
      </c>
      <c r="C29" s="23"/>
      <c r="D29" s="16">
        <v>2013</v>
      </c>
      <c r="E29" s="29">
        <v>2014</v>
      </c>
      <c r="F29" s="29">
        <v>2015</v>
      </c>
      <c r="G29" s="29">
        <v>2016</v>
      </c>
      <c r="H29" s="17">
        <v>2017</v>
      </c>
      <c r="I29" s="743"/>
    </row>
    <row r="30" spans="1:9" x14ac:dyDescent="0.2">
      <c r="B30" s="24" t="s">
        <v>416</v>
      </c>
      <c r="C30" s="25"/>
      <c r="D30" s="46">
        <v>3727.8471300000001</v>
      </c>
      <c r="E30" s="18">
        <v>3292.8986100000002</v>
      </c>
      <c r="F30" s="48">
        <v>3387.0052599999999</v>
      </c>
      <c r="G30" s="48">
        <v>3122.19778</v>
      </c>
      <c r="H30" s="38">
        <v>3501.9520000000002</v>
      </c>
      <c r="I30" s="38">
        <f t="shared" ref="I30:I36" si="2">MAX(D30:H30)</f>
        <v>3727.8471300000001</v>
      </c>
    </row>
    <row r="31" spans="1:9" x14ac:dyDescent="0.2">
      <c r="B31" s="24" t="s">
        <v>417</v>
      </c>
      <c r="C31" s="25"/>
      <c r="D31" s="47">
        <v>3490.20622</v>
      </c>
      <c r="E31" s="42">
        <v>3059.80215</v>
      </c>
      <c r="F31" s="13">
        <v>3120.2550000000001</v>
      </c>
      <c r="G31" s="13">
        <v>2880.2168799999999</v>
      </c>
      <c r="H31" s="52">
        <v>3137.5453299999999</v>
      </c>
      <c r="I31" s="39">
        <f t="shared" si="2"/>
        <v>3490.20622</v>
      </c>
    </row>
    <row r="32" spans="1:9" ht="14.25" customHeight="1" x14ac:dyDescent="0.2">
      <c r="B32" s="24" t="s">
        <v>418</v>
      </c>
      <c r="C32" s="25"/>
      <c r="D32" s="47">
        <v>251.06896</v>
      </c>
      <c r="E32" s="42">
        <v>186.48301000000001</v>
      </c>
      <c r="F32" s="13">
        <v>201.31128000000001</v>
      </c>
      <c r="G32" s="13">
        <v>210.01643999999999</v>
      </c>
      <c r="H32" s="39">
        <v>209.77673999999999</v>
      </c>
      <c r="I32" s="39">
        <f t="shared" si="2"/>
        <v>251.06896</v>
      </c>
    </row>
    <row r="33" spans="2:10" ht="14.25" customHeight="1" x14ac:dyDescent="0.2">
      <c r="B33" s="24"/>
      <c r="C33" s="25" t="s">
        <v>419</v>
      </c>
      <c r="D33" s="47">
        <v>398.92998999999998</v>
      </c>
      <c r="E33" s="42">
        <v>260.92777999999998</v>
      </c>
      <c r="F33" s="13">
        <v>238.06281999999999</v>
      </c>
      <c r="G33" s="13">
        <v>258.47658999999999</v>
      </c>
      <c r="H33" s="39">
        <v>288.85190999999998</v>
      </c>
      <c r="I33" s="39">
        <f t="shared" si="2"/>
        <v>398.92998999999998</v>
      </c>
      <c r="J33" s="4"/>
    </row>
    <row r="34" spans="2:10" x14ac:dyDescent="0.2">
      <c r="B34" s="24"/>
      <c r="C34" s="25" t="s">
        <v>420</v>
      </c>
      <c r="D34" s="47">
        <v>195.88882000000001</v>
      </c>
      <c r="E34" s="42">
        <v>194.00516999999999</v>
      </c>
      <c r="F34" s="13">
        <v>223.42437000000001</v>
      </c>
      <c r="G34" s="13">
        <v>283.01677999999998</v>
      </c>
      <c r="H34" s="39">
        <v>254.19441</v>
      </c>
      <c r="I34" s="39">
        <f t="shared" si="2"/>
        <v>283.01677999999998</v>
      </c>
      <c r="J34" s="4"/>
    </row>
    <row r="35" spans="2:10" x14ac:dyDescent="0.2">
      <c r="B35" s="24"/>
      <c r="C35" s="25" t="s">
        <v>421</v>
      </c>
      <c r="D35" s="47">
        <v>1056.2766899999999</v>
      </c>
      <c r="E35" s="42">
        <v>949.50489000000005</v>
      </c>
      <c r="F35" s="13">
        <v>607.93469000000005</v>
      </c>
      <c r="G35" s="13">
        <v>1106.1558500000001</v>
      </c>
      <c r="H35" s="39">
        <v>798.82961999999998</v>
      </c>
      <c r="I35" s="39">
        <f t="shared" si="2"/>
        <v>1106.1558500000001</v>
      </c>
      <c r="J35" s="12"/>
    </row>
    <row r="36" spans="2:10" x14ac:dyDescent="0.2">
      <c r="B36" s="744" t="s">
        <v>422</v>
      </c>
      <c r="C36" s="745"/>
      <c r="D36" s="65">
        <v>782.78240000000005</v>
      </c>
      <c r="E36" s="66">
        <v>936.36900000000003</v>
      </c>
      <c r="F36" s="49">
        <v>878.54801999999995</v>
      </c>
      <c r="G36" s="49">
        <v>787.00676999999996</v>
      </c>
      <c r="H36" s="40">
        <v>957.81138999999996</v>
      </c>
      <c r="I36" s="40">
        <f t="shared" si="2"/>
        <v>957.81138999999996</v>
      </c>
      <c r="J36" s="747"/>
    </row>
    <row r="37" spans="2:10" ht="14.25" x14ac:dyDescent="0.2">
      <c r="B37" s="41">
        <v>1</v>
      </c>
      <c r="C37" s="746" t="s">
        <v>423</v>
      </c>
      <c r="D37" s="746"/>
      <c r="E37" s="746"/>
      <c r="F37" s="746"/>
      <c r="G37" s="746"/>
      <c r="H37" s="746"/>
      <c r="I37" s="746"/>
      <c r="J37" s="747"/>
    </row>
    <row r="38" spans="2:10" x14ac:dyDescent="0.2">
      <c r="B38" s="5"/>
      <c r="C38" s="5"/>
      <c r="D38" s="5"/>
      <c r="E38" s="5"/>
      <c r="F38" s="5"/>
      <c r="G38" s="5"/>
      <c r="H38" s="5"/>
      <c r="I38" s="5"/>
      <c r="J38" s="13"/>
    </row>
    <row r="39" spans="2:10" x14ac:dyDescent="0.2">
      <c r="B39" s="7" t="s">
        <v>424</v>
      </c>
      <c r="C39" s="5"/>
      <c r="D39" s="5"/>
      <c r="E39" s="5"/>
      <c r="F39" s="5"/>
      <c r="G39" s="5"/>
      <c r="H39" s="5"/>
      <c r="I39" s="5"/>
      <c r="J39" s="13"/>
    </row>
    <row r="40" spans="2:10" ht="15.75" x14ac:dyDescent="0.2">
      <c r="B40" s="53"/>
      <c r="C40" s="54"/>
      <c r="D40" s="739" t="s">
        <v>413</v>
      </c>
      <c r="E40" s="740"/>
      <c r="F40" s="740"/>
      <c r="G40" s="740"/>
      <c r="H40" s="741"/>
      <c r="I40" s="742" t="s">
        <v>414</v>
      </c>
      <c r="J40" s="13"/>
    </row>
    <row r="41" spans="2:10" ht="14.45" customHeight="1" x14ac:dyDescent="0.2">
      <c r="B41" s="22" t="s">
        <v>415</v>
      </c>
      <c r="C41" s="23"/>
      <c r="D41" s="16">
        <v>2013</v>
      </c>
      <c r="E41" s="29">
        <v>2014</v>
      </c>
      <c r="F41" s="29">
        <v>2015</v>
      </c>
      <c r="G41" s="29">
        <v>2016</v>
      </c>
      <c r="H41" s="17">
        <v>2017</v>
      </c>
      <c r="I41" s="743"/>
      <c r="J41" s="13"/>
    </row>
    <row r="42" spans="2:10" ht="15" customHeight="1" x14ac:dyDescent="0.2">
      <c r="B42" s="24" t="s">
        <v>416</v>
      </c>
      <c r="C42" s="25"/>
      <c r="D42" s="43">
        <v>879.84893999999997</v>
      </c>
      <c r="E42" s="48">
        <v>814.06120999999996</v>
      </c>
      <c r="F42" s="50">
        <v>815.34925999999996</v>
      </c>
      <c r="G42" s="50">
        <v>863.06948</v>
      </c>
      <c r="H42" s="38">
        <v>832.73886000000005</v>
      </c>
      <c r="I42" s="38">
        <f t="shared" ref="I42:I48" si="3">MAX(D42:H42)</f>
        <v>879.84893999999997</v>
      </c>
      <c r="J42" s="13"/>
    </row>
    <row r="43" spans="2:10" ht="14.25" customHeight="1" x14ac:dyDescent="0.2">
      <c r="B43" s="24" t="s">
        <v>417</v>
      </c>
      <c r="C43" s="25"/>
      <c r="D43" s="44">
        <v>800.29007000000001</v>
      </c>
      <c r="E43" s="13">
        <v>736.34623999999997</v>
      </c>
      <c r="F43" s="13">
        <v>748.53898000000004</v>
      </c>
      <c r="G43" s="13">
        <v>785.12382000000002</v>
      </c>
      <c r="H43" s="52">
        <v>756.43415000000005</v>
      </c>
      <c r="I43" s="39">
        <f t="shared" si="3"/>
        <v>800.29007000000001</v>
      </c>
    </row>
    <row r="44" spans="2:10" x14ac:dyDescent="0.2">
      <c r="B44" s="24" t="s">
        <v>418</v>
      </c>
      <c r="C44" s="25"/>
      <c r="D44" s="44">
        <v>45.598379999999999</v>
      </c>
      <c r="E44" s="13">
        <v>45.039439999999999</v>
      </c>
      <c r="F44" s="13">
        <v>38.362479999999998</v>
      </c>
      <c r="G44" s="13">
        <v>40.97289</v>
      </c>
      <c r="H44" s="39">
        <v>36.559849999999997</v>
      </c>
      <c r="I44" s="39">
        <f t="shared" si="3"/>
        <v>45.598379999999999</v>
      </c>
    </row>
    <row r="45" spans="2:10" ht="20.45" customHeight="1" x14ac:dyDescent="0.2">
      <c r="B45" s="24"/>
      <c r="C45" s="25" t="s">
        <v>419</v>
      </c>
      <c r="D45" s="44">
        <v>47.442399999999999</v>
      </c>
      <c r="E45" s="13">
        <v>45.503549999999997</v>
      </c>
      <c r="F45" s="13">
        <v>46.498820000000002</v>
      </c>
      <c r="G45" s="13">
        <v>47.922629999999998</v>
      </c>
      <c r="H45" s="39">
        <v>46.512300000000003</v>
      </c>
      <c r="I45" s="39">
        <f t="shared" si="3"/>
        <v>47.922629999999998</v>
      </c>
    </row>
    <row r="46" spans="2:10" ht="20.100000000000001" customHeight="1" x14ac:dyDescent="0.2">
      <c r="B46" s="24"/>
      <c r="C46" s="25" t="s">
        <v>420</v>
      </c>
      <c r="D46" s="44">
        <v>28.731539999999999</v>
      </c>
      <c r="E46" s="13">
        <v>30.6066</v>
      </c>
      <c r="F46" s="13">
        <v>31.314800000000002</v>
      </c>
      <c r="G46" s="13">
        <v>30.777470000000001</v>
      </c>
      <c r="H46" s="39">
        <v>31.42334</v>
      </c>
      <c r="I46" s="39">
        <f t="shared" si="3"/>
        <v>31.42334</v>
      </c>
    </row>
    <row r="47" spans="2:10" x14ac:dyDescent="0.2">
      <c r="B47" s="24"/>
      <c r="C47" s="25" t="s">
        <v>421</v>
      </c>
      <c r="D47" s="44">
        <v>54.176259999999999</v>
      </c>
      <c r="E47" s="13">
        <v>52.282130000000002</v>
      </c>
      <c r="F47" s="13">
        <v>55.64114</v>
      </c>
      <c r="G47" s="13">
        <v>53.013500000000001</v>
      </c>
      <c r="H47" s="39">
        <v>45.954859999999996</v>
      </c>
      <c r="I47" s="39">
        <f t="shared" si="3"/>
        <v>55.64114</v>
      </c>
    </row>
    <row r="48" spans="2:10" x14ac:dyDescent="0.2">
      <c r="B48" s="744" t="s">
        <v>422</v>
      </c>
      <c r="C48" s="745"/>
      <c r="D48" s="45">
        <v>58.12838</v>
      </c>
      <c r="E48" s="49">
        <v>68.138279999999995</v>
      </c>
      <c r="F48" s="51">
        <v>75.673869999999994</v>
      </c>
      <c r="G48" s="51">
        <v>69.838380000000001</v>
      </c>
      <c r="H48" s="40">
        <v>78.239009999999993</v>
      </c>
      <c r="I48" s="40">
        <f t="shared" si="3"/>
        <v>78.239009999999993</v>
      </c>
    </row>
    <row r="49" spans="2:9" ht="14.25" x14ac:dyDescent="0.2">
      <c r="B49" s="41">
        <v>1</v>
      </c>
      <c r="C49" s="746" t="s">
        <v>423</v>
      </c>
      <c r="D49" s="746"/>
      <c r="E49" s="746"/>
      <c r="F49" s="746"/>
      <c r="G49" s="746"/>
      <c r="H49" s="746"/>
      <c r="I49" s="746"/>
    </row>
  </sheetData>
  <mergeCells count="17">
    <mergeCell ref="D3:H3"/>
    <mergeCell ref="I3:I4"/>
    <mergeCell ref="B11:C11"/>
    <mergeCell ref="C12:I12"/>
    <mergeCell ref="I15:I16"/>
    <mergeCell ref="D15:H15"/>
    <mergeCell ref="C24:I24"/>
    <mergeCell ref="B23:C23"/>
    <mergeCell ref="D28:H28"/>
    <mergeCell ref="I28:I29"/>
    <mergeCell ref="B36:C36"/>
    <mergeCell ref="D40:H40"/>
    <mergeCell ref="I40:I41"/>
    <mergeCell ref="B48:C48"/>
    <mergeCell ref="C49:I49"/>
    <mergeCell ref="J36:J37"/>
    <mergeCell ref="C37:I37"/>
  </mergeCells>
  <phoneticPr fontId="12" type="noConversion"/>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18F909-7B2D-46ED-A169-91230ECB8F2D}">
  <sheetPr codeName="Sheet2">
    <pageSetUpPr fitToPage="1"/>
  </sheetPr>
  <dimension ref="A1:U70"/>
  <sheetViews>
    <sheetView topLeftCell="A3" zoomScaleNormal="100" workbookViewId="0">
      <selection activeCell="F526" sqref="F526:L526"/>
    </sheetView>
  </sheetViews>
  <sheetFormatPr defaultColWidth="9.140625" defaultRowHeight="13.5" x14ac:dyDescent="0.2"/>
  <cols>
    <col min="1" max="1" width="1.85546875" style="160" bestFit="1" customWidth="1"/>
    <col min="2" max="2" width="27.42578125" style="59" customWidth="1"/>
    <col min="3" max="3" width="11.5703125" style="59" customWidth="1"/>
    <col min="4" max="4" width="17" style="59" customWidth="1"/>
    <col min="5" max="12" width="14.85546875" style="59" customWidth="1"/>
    <col min="13" max="13" width="17" style="158" customWidth="1"/>
    <col min="14" max="14" width="17.7109375" style="59" customWidth="1"/>
    <col min="15" max="15" width="13.140625" style="59" customWidth="1"/>
    <col min="16" max="16" width="14.42578125" style="59" customWidth="1"/>
    <col min="17" max="17" width="12.85546875" style="59" customWidth="1"/>
    <col min="18" max="18" width="17.140625" style="59" customWidth="1"/>
    <col min="19" max="19" width="12.5703125" style="59" customWidth="1"/>
    <col min="20" max="20" width="14.140625" style="59" customWidth="1"/>
    <col min="21" max="21" width="9.140625" style="59"/>
    <col min="22" max="22" width="10.140625" style="59" bestFit="1" customWidth="1"/>
    <col min="23" max="23" width="9.140625" style="59" bestFit="1" customWidth="1"/>
    <col min="24" max="16384" width="9.140625" style="59"/>
  </cols>
  <sheetData>
    <row r="1" spans="1:9" ht="14.25" thickBot="1" x14ac:dyDescent="0.25">
      <c r="A1" s="159"/>
      <c r="B1" s="99" t="s">
        <v>0</v>
      </c>
      <c r="C1" s="69"/>
      <c r="D1" s="69"/>
      <c r="E1" s="69"/>
      <c r="F1" s="69"/>
      <c r="G1" s="69"/>
      <c r="H1" s="69"/>
      <c r="I1" s="69"/>
    </row>
    <row r="2" spans="1:9" ht="13.5" customHeight="1" thickBot="1" x14ac:dyDescent="0.25">
      <c r="A2" s="159"/>
      <c r="B2" s="620" t="s">
        <v>1</v>
      </c>
      <c r="C2" s="611" t="s">
        <v>2</v>
      </c>
      <c r="D2" s="618" t="s">
        <v>3</v>
      </c>
      <c r="E2" s="619"/>
      <c r="F2" s="619"/>
      <c r="G2" s="619"/>
      <c r="H2" s="619"/>
      <c r="I2" s="435"/>
    </row>
    <row r="3" spans="1:9" ht="14.45" customHeight="1" x14ac:dyDescent="0.2">
      <c r="A3" s="159"/>
      <c r="B3" s="621"/>
      <c r="C3" s="612"/>
      <c r="D3" s="629" t="s">
        <v>1174</v>
      </c>
      <c r="E3" s="626" t="s">
        <v>1175</v>
      </c>
      <c r="F3" s="623" t="s">
        <v>1176</v>
      </c>
      <c r="G3" s="613" t="s">
        <v>1177</v>
      </c>
      <c r="H3" s="611" t="s">
        <v>1178</v>
      </c>
      <c r="I3" s="436"/>
    </row>
    <row r="4" spans="1:9" ht="14.45" customHeight="1" x14ac:dyDescent="0.2">
      <c r="A4" s="159"/>
      <c r="B4" s="621"/>
      <c r="C4" s="612"/>
      <c r="D4" s="630"/>
      <c r="E4" s="627"/>
      <c r="F4" s="624"/>
      <c r="G4" s="614"/>
      <c r="H4" s="612"/>
      <c r="I4" s="574"/>
    </row>
    <row r="5" spans="1:9" ht="15" customHeight="1" thickBot="1" x14ac:dyDescent="0.25">
      <c r="A5" s="159"/>
      <c r="B5" s="621"/>
      <c r="C5" s="612"/>
      <c r="D5" s="631"/>
      <c r="E5" s="628"/>
      <c r="F5" s="625"/>
      <c r="G5" s="614"/>
      <c r="H5" s="612"/>
      <c r="I5" s="574"/>
    </row>
    <row r="6" spans="1:9" x14ac:dyDescent="0.2">
      <c r="A6" s="159"/>
      <c r="B6" s="427" t="s">
        <v>4</v>
      </c>
      <c r="C6" s="88" t="s">
        <v>5</v>
      </c>
      <c r="D6" s="575">
        <v>0.21740000000000001</v>
      </c>
      <c r="E6" s="576">
        <v>0</v>
      </c>
      <c r="F6" s="248" t="s">
        <v>6</v>
      </c>
      <c r="G6" s="577">
        <v>0</v>
      </c>
      <c r="H6" s="437">
        <v>0.21740000000000001</v>
      </c>
      <c r="I6" s="578"/>
    </row>
    <row r="7" spans="1:9" x14ac:dyDescent="0.2">
      <c r="A7" s="159"/>
      <c r="B7" s="102" t="s">
        <v>7</v>
      </c>
      <c r="C7" s="91" t="s">
        <v>8</v>
      </c>
      <c r="D7" s="579">
        <v>7.3461430796324472E-4</v>
      </c>
      <c r="E7" s="92"/>
      <c r="F7" s="580">
        <v>5.6962178760930761E-4</v>
      </c>
      <c r="G7" s="581">
        <v>5.6962178760930761E-4</v>
      </c>
      <c r="H7" s="438">
        <v>7.3461430796324472E-4</v>
      </c>
      <c r="I7" s="578"/>
    </row>
    <row r="8" spans="1:9" x14ac:dyDescent="0.2">
      <c r="A8" s="159"/>
      <c r="B8" s="104" t="s">
        <v>9</v>
      </c>
      <c r="C8" s="91" t="s">
        <v>10</v>
      </c>
      <c r="D8" s="579">
        <v>8.0981637303101373E-4</v>
      </c>
      <c r="E8" s="92"/>
      <c r="F8" s="580">
        <v>6.7800899015043681E-4</v>
      </c>
      <c r="G8" s="581">
        <v>6.7800899015043681E-4</v>
      </c>
      <c r="H8" s="438">
        <v>8.0981637303101373E-4</v>
      </c>
      <c r="I8" s="578"/>
    </row>
    <row r="9" spans="1:9" x14ac:dyDescent="0.2">
      <c r="A9" s="159"/>
      <c r="B9" s="104" t="s">
        <v>11</v>
      </c>
      <c r="C9" s="91" t="s">
        <v>12</v>
      </c>
      <c r="D9" s="579">
        <v>0.7833</v>
      </c>
      <c r="E9" s="582">
        <v>0</v>
      </c>
      <c r="F9" s="580" t="s">
        <v>6</v>
      </c>
      <c r="G9" s="581">
        <v>0</v>
      </c>
      <c r="H9" s="438">
        <v>0.7833</v>
      </c>
      <c r="I9" s="578"/>
    </row>
    <row r="10" spans="1:9" x14ac:dyDescent="0.2">
      <c r="A10" s="159"/>
      <c r="B10" s="104" t="s">
        <v>13</v>
      </c>
      <c r="C10" s="91" t="s">
        <v>14</v>
      </c>
      <c r="D10" s="579">
        <v>3.39E-2</v>
      </c>
      <c r="E10" s="92"/>
      <c r="F10" s="580" t="s">
        <v>6</v>
      </c>
      <c r="G10" s="581">
        <v>3.39E-2</v>
      </c>
      <c r="H10" s="438">
        <v>3.39E-2</v>
      </c>
      <c r="I10" s="578"/>
    </row>
    <row r="11" spans="1:9" x14ac:dyDescent="0.2">
      <c r="A11" s="159"/>
      <c r="B11" s="104" t="s">
        <v>15</v>
      </c>
      <c r="C11" s="91" t="s">
        <v>16</v>
      </c>
      <c r="D11" s="579">
        <v>0.8</v>
      </c>
      <c r="E11" s="92"/>
      <c r="F11" s="580" t="s">
        <v>6</v>
      </c>
      <c r="G11" s="581">
        <v>0.8</v>
      </c>
      <c r="H11" s="438">
        <v>0.8</v>
      </c>
      <c r="I11" s="578"/>
    </row>
    <row r="12" spans="1:9" x14ac:dyDescent="0.2">
      <c r="A12" s="159"/>
      <c r="B12" s="104" t="s">
        <v>17</v>
      </c>
      <c r="C12" s="91" t="s">
        <v>18</v>
      </c>
      <c r="D12" s="579">
        <v>4.5209000937094504E-4</v>
      </c>
      <c r="E12" s="92"/>
      <c r="F12" s="580">
        <v>3.1408566187174087E-4</v>
      </c>
      <c r="G12" s="581">
        <v>3.1408566187174087E-4</v>
      </c>
      <c r="H12" s="439">
        <v>4.5209000937094504E-4</v>
      </c>
      <c r="I12" s="578"/>
    </row>
    <row r="13" spans="1:9" x14ac:dyDescent="0.2">
      <c r="A13" s="159"/>
      <c r="B13" s="104" t="s">
        <v>19</v>
      </c>
      <c r="C13" s="91" t="s">
        <v>20</v>
      </c>
      <c r="D13" s="579">
        <v>3.1818727304855452E-4</v>
      </c>
      <c r="E13" s="92"/>
      <c r="F13" s="580">
        <v>2.5438551917593741E-4</v>
      </c>
      <c r="G13" s="581">
        <v>2.5438551917593741E-4</v>
      </c>
      <c r="H13" s="438">
        <v>3.1818727304855452E-4</v>
      </c>
      <c r="I13" s="578"/>
    </row>
    <row r="14" spans="1:9" x14ac:dyDescent="0.2">
      <c r="A14" s="159"/>
      <c r="B14" s="104" t="s">
        <v>21</v>
      </c>
      <c r="C14" s="91" t="s">
        <v>22</v>
      </c>
      <c r="D14" s="579">
        <v>2.7685267838269253E-4</v>
      </c>
      <c r="E14" s="92"/>
      <c r="F14" s="580">
        <v>1.94E-4</v>
      </c>
      <c r="G14" s="581">
        <v>1.94E-4</v>
      </c>
      <c r="H14" s="438">
        <v>2.7685267838269253E-4</v>
      </c>
      <c r="I14" s="578"/>
    </row>
    <row r="15" spans="1:9" x14ac:dyDescent="0.2">
      <c r="A15" s="159"/>
      <c r="B15" s="104" t="s">
        <v>23</v>
      </c>
      <c r="C15" s="91" t="s">
        <v>24</v>
      </c>
      <c r="D15" s="579">
        <v>3.7389334939055331E-4</v>
      </c>
      <c r="E15" s="92"/>
      <c r="F15" s="580">
        <v>6.9106525010020859E-4</v>
      </c>
      <c r="G15" s="581">
        <v>6.9106525010020859E-4</v>
      </c>
      <c r="H15" s="438">
        <v>3.7389334939055331E-4</v>
      </c>
      <c r="I15" s="578"/>
    </row>
    <row r="16" spans="1:9" x14ac:dyDescent="0.2">
      <c r="A16" s="159"/>
      <c r="B16" s="104" t="s">
        <v>25</v>
      </c>
      <c r="C16" s="91" t="s">
        <v>26</v>
      </c>
      <c r="D16" s="579">
        <v>4.8541323701614526E-5</v>
      </c>
      <c r="E16" s="92"/>
      <c r="F16" s="580">
        <v>4.0027344972717779E-5</v>
      </c>
      <c r="G16" s="581">
        <v>4.0027344972717779E-5</v>
      </c>
      <c r="H16" s="438">
        <v>4.8541323701614526E-5</v>
      </c>
      <c r="I16" s="578"/>
    </row>
    <row r="17" spans="1:9" x14ac:dyDescent="0.2">
      <c r="A17" s="159"/>
      <c r="B17" s="104" t="s">
        <v>27</v>
      </c>
      <c r="C17" s="91" t="s">
        <v>28</v>
      </c>
      <c r="D17" s="579">
        <v>0.18629999999999999</v>
      </c>
      <c r="E17" s="582">
        <v>0</v>
      </c>
      <c r="F17" s="580" t="s">
        <v>6</v>
      </c>
      <c r="G17" s="581">
        <v>0</v>
      </c>
      <c r="H17" s="438">
        <v>0.18629999999999999</v>
      </c>
      <c r="I17" s="578"/>
    </row>
    <row r="18" spans="1:9" x14ac:dyDescent="0.2">
      <c r="A18" s="159"/>
      <c r="B18" s="104" t="s">
        <v>29</v>
      </c>
      <c r="C18" s="91" t="s">
        <v>30</v>
      </c>
      <c r="D18" s="579">
        <v>1.4385237354722992E-5</v>
      </c>
      <c r="E18" s="92"/>
      <c r="F18" s="580">
        <v>1.2752988058351304E-5</v>
      </c>
      <c r="G18" s="581">
        <v>1.2752988058351304E-5</v>
      </c>
      <c r="H18" s="438">
        <v>1.4385237354722992E-5</v>
      </c>
      <c r="I18" s="578"/>
    </row>
    <row r="19" spans="1:9" x14ac:dyDescent="0.2">
      <c r="A19" s="159"/>
      <c r="B19" s="104" t="s">
        <v>31</v>
      </c>
      <c r="C19" s="91" t="s">
        <v>32</v>
      </c>
      <c r="D19" s="579">
        <v>4.4353578135943152E-5</v>
      </c>
      <c r="E19" s="92"/>
      <c r="F19" s="580">
        <v>3.3872299611087984E-5</v>
      </c>
      <c r="G19" s="581">
        <v>3.3872299611087984E-5</v>
      </c>
      <c r="H19" s="438">
        <v>4.4353578135943152E-5</v>
      </c>
      <c r="I19" s="578"/>
    </row>
    <row r="20" spans="1:9" x14ac:dyDescent="0.2">
      <c r="A20" s="159"/>
      <c r="B20" s="104" t="s">
        <v>33</v>
      </c>
      <c r="C20" s="91" t="s">
        <v>34</v>
      </c>
      <c r="D20" s="579">
        <v>3.2868294417433586E-5</v>
      </c>
      <c r="E20" s="92"/>
      <c r="F20" s="580">
        <v>2.5584205591332544E-5</v>
      </c>
      <c r="G20" s="581">
        <v>2.5584205591332544E-5</v>
      </c>
      <c r="H20" s="438">
        <v>3.2868294417433586E-5</v>
      </c>
      <c r="I20" s="578"/>
    </row>
    <row r="21" spans="1:9" x14ac:dyDescent="0.2">
      <c r="A21" s="159"/>
      <c r="B21" s="104" t="s">
        <v>35</v>
      </c>
      <c r="C21" s="91" t="s">
        <v>36</v>
      </c>
      <c r="D21" s="579">
        <v>2.187429870630113E-5</v>
      </c>
      <c r="E21" s="92"/>
      <c r="F21" s="580">
        <v>1.9127982166549183E-5</v>
      </c>
      <c r="G21" s="581">
        <v>1.9127982166549183E-5</v>
      </c>
      <c r="H21" s="438">
        <v>2.187429870630113E-5</v>
      </c>
      <c r="I21" s="578"/>
    </row>
    <row r="22" spans="1:9" x14ac:dyDescent="0.2">
      <c r="A22" s="159"/>
      <c r="B22" s="104" t="s">
        <v>37</v>
      </c>
      <c r="C22" s="91" t="s">
        <v>38</v>
      </c>
      <c r="D22" s="579">
        <v>1.3054358967800315E-5</v>
      </c>
      <c r="E22" s="92"/>
      <c r="F22" s="580">
        <v>1.0142221399786054E-5</v>
      </c>
      <c r="G22" s="581">
        <v>1.0142221399786054E-5</v>
      </c>
      <c r="H22" s="440">
        <v>1.3054358967800315E-5</v>
      </c>
      <c r="I22" s="578"/>
    </row>
    <row r="23" spans="1:9" x14ac:dyDescent="0.2">
      <c r="A23" s="159"/>
      <c r="B23" s="104" t="s">
        <v>39</v>
      </c>
      <c r="C23" s="91" t="s">
        <v>40</v>
      </c>
      <c r="D23" s="579">
        <v>4.7708462766464961E-6</v>
      </c>
      <c r="E23" s="583"/>
      <c r="F23" s="580">
        <v>0</v>
      </c>
      <c r="G23" s="581">
        <v>0</v>
      </c>
      <c r="H23" s="440">
        <v>4.7708462766464961E-6</v>
      </c>
      <c r="I23" s="578"/>
    </row>
    <row r="24" spans="1:9" x14ac:dyDescent="0.2">
      <c r="A24" s="159"/>
      <c r="B24" s="104" t="s">
        <v>41</v>
      </c>
      <c r="C24" s="91" t="s">
        <v>42</v>
      </c>
      <c r="D24" s="579">
        <v>8.0778295781549296E-5</v>
      </c>
      <c r="E24" s="584"/>
      <c r="F24" s="580">
        <v>0</v>
      </c>
      <c r="G24" s="581">
        <v>0</v>
      </c>
      <c r="H24" s="440">
        <v>8.0778295781549296E-5</v>
      </c>
      <c r="I24" s="578"/>
    </row>
    <row r="25" spans="1:9" x14ac:dyDescent="0.2">
      <c r="A25" s="159"/>
      <c r="B25" s="104" t="s">
        <v>43</v>
      </c>
      <c r="C25" s="91" t="s">
        <v>44</v>
      </c>
      <c r="D25" s="579">
        <v>2.0000000000000001E-4</v>
      </c>
      <c r="E25" s="92"/>
      <c r="F25" s="580" t="s">
        <v>6</v>
      </c>
      <c r="G25" s="581">
        <v>2.0000000000000001E-4</v>
      </c>
      <c r="H25" s="440">
        <v>2.0000000000000001E-4</v>
      </c>
      <c r="I25" s="578"/>
    </row>
    <row r="26" spans="1:9" x14ac:dyDescent="0.2">
      <c r="A26" s="159"/>
      <c r="B26" s="156" t="s">
        <v>45</v>
      </c>
      <c r="C26" s="91" t="s">
        <v>46</v>
      </c>
      <c r="D26" s="579">
        <v>6.6999913157770699E-5</v>
      </c>
      <c r="E26" s="92"/>
      <c r="F26" s="580">
        <v>6.3538695835792307E-5</v>
      </c>
      <c r="G26" s="581">
        <v>6.3538695835792307E-5</v>
      </c>
      <c r="H26" s="440">
        <v>6.6999913157770699E-5</v>
      </c>
      <c r="I26" s="578"/>
    </row>
    <row r="27" spans="1:9" x14ac:dyDescent="0.2">
      <c r="A27" s="159"/>
      <c r="B27" s="104" t="s">
        <v>47</v>
      </c>
      <c r="C27" s="91" t="s">
        <v>48</v>
      </c>
      <c r="D27" s="579">
        <v>1.5751137782235815E-5</v>
      </c>
      <c r="E27" s="583"/>
      <c r="F27" s="580">
        <v>0</v>
      </c>
      <c r="G27" s="581">
        <v>0</v>
      </c>
      <c r="H27" s="440">
        <v>1.5751137782235815E-5</v>
      </c>
      <c r="I27" s="578"/>
    </row>
    <row r="28" spans="1:9" x14ac:dyDescent="0.2">
      <c r="A28" s="159"/>
      <c r="B28" s="104" t="s">
        <v>49</v>
      </c>
      <c r="C28" s="91" t="s">
        <v>50</v>
      </c>
      <c r="D28" s="579">
        <v>5.0213520825554141E-4</v>
      </c>
      <c r="E28" s="583"/>
      <c r="F28" s="580">
        <v>0</v>
      </c>
      <c r="G28" s="581">
        <v>0</v>
      </c>
      <c r="H28" s="440">
        <v>5.0213520825554141E-4</v>
      </c>
      <c r="I28" s="578"/>
    </row>
    <row r="29" spans="1:9" x14ac:dyDescent="0.2">
      <c r="A29" s="159"/>
      <c r="B29" s="106" t="s">
        <v>51</v>
      </c>
      <c r="C29" s="94" t="s">
        <v>52</v>
      </c>
      <c r="D29" s="579">
        <v>1.0369866679621714E-6</v>
      </c>
      <c r="E29" s="92"/>
      <c r="F29" s="580">
        <v>2.67E-7</v>
      </c>
      <c r="G29" s="581">
        <v>2.67E-7</v>
      </c>
      <c r="H29" s="440">
        <v>1.0369866679621714E-6</v>
      </c>
      <c r="I29" s="578"/>
    </row>
    <row r="30" spans="1:9" x14ac:dyDescent="0.2">
      <c r="A30" s="159"/>
      <c r="B30" s="104" t="s">
        <v>53</v>
      </c>
      <c r="C30" s="91" t="s">
        <v>54</v>
      </c>
      <c r="D30" s="579">
        <v>1.09E-2</v>
      </c>
      <c r="E30" s="582">
        <v>0</v>
      </c>
      <c r="F30" s="580" t="s">
        <v>6</v>
      </c>
      <c r="G30" s="581">
        <v>0</v>
      </c>
      <c r="H30" s="440">
        <v>1.09E-2</v>
      </c>
      <c r="I30" s="578"/>
    </row>
    <row r="31" spans="1:9" x14ac:dyDescent="0.2">
      <c r="A31" s="159"/>
      <c r="B31" s="107" t="s">
        <v>55</v>
      </c>
      <c r="C31" s="95" t="s">
        <v>56</v>
      </c>
      <c r="D31" s="579">
        <v>3.6995325890908364E-4</v>
      </c>
      <c r="E31" s="92"/>
      <c r="F31" s="580">
        <v>2.6724490926773254E-4</v>
      </c>
      <c r="G31" s="581">
        <v>2.6724490926773254E-4</v>
      </c>
      <c r="H31" s="440">
        <v>3.6995325890908364E-4</v>
      </c>
      <c r="I31" s="578"/>
    </row>
    <row r="32" spans="1:9" x14ac:dyDescent="0.2">
      <c r="A32" s="159"/>
      <c r="B32" s="107" t="s">
        <v>57</v>
      </c>
      <c r="C32" s="95" t="s">
        <v>58</v>
      </c>
      <c r="D32" s="579">
        <v>2.1843972782305239E-3</v>
      </c>
      <c r="E32" s="92"/>
      <c r="F32" s="580">
        <v>1.5661590000854678E-3</v>
      </c>
      <c r="G32" s="581">
        <v>1.5661590000854678E-3</v>
      </c>
      <c r="H32" s="440">
        <v>2.1843972782305239E-3</v>
      </c>
      <c r="I32" s="578"/>
    </row>
    <row r="33" spans="1:9" x14ac:dyDescent="0.2">
      <c r="A33" s="159"/>
      <c r="B33" s="104" t="s">
        <v>59</v>
      </c>
      <c r="C33" s="91" t="s">
        <v>60</v>
      </c>
      <c r="D33" s="579">
        <v>2.7130627655139485</v>
      </c>
      <c r="E33" s="93">
        <v>2.2862876488680866</v>
      </c>
      <c r="F33" s="580" t="s">
        <v>6</v>
      </c>
      <c r="G33" s="581">
        <v>2.2862876488680866</v>
      </c>
      <c r="H33" s="440">
        <v>2.7130627655139485</v>
      </c>
      <c r="I33" s="578"/>
    </row>
    <row r="34" spans="1:9" x14ac:dyDescent="0.2">
      <c r="A34" s="159"/>
      <c r="B34" s="104" t="s">
        <v>61</v>
      </c>
      <c r="C34" s="91" t="s">
        <v>62</v>
      </c>
      <c r="D34" s="579">
        <v>2.69E-2</v>
      </c>
      <c r="E34" s="582">
        <v>0</v>
      </c>
      <c r="F34" s="580" t="s">
        <v>6</v>
      </c>
      <c r="G34" s="581">
        <v>0</v>
      </c>
      <c r="H34" s="440">
        <v>2.69E-2</v>
      </c>
      <c r="I34" s="578"/>
    </row>
    <row r="35" spans="1:9" ht="14.25" x14ac:dyDescent="0.2">
      <c r="A35" s="159"/>
      <c r="B35" s="104" t="s">
        <v>1179</v>
      </c>
      <c r="C35" s="91" t="s">
        <v>63</v>
      </c>
      <c r="D35" s="579">
        <v>6.3144459628541096E-5</v>
      </c>
      <c r="E35" s="92"/>
      <c r="F35" s="580">
        <v>3.3121750461745375E-4</v>
      </c>
      <c r="G35" s="581">
        <v>3.3121750461745375E-4</v>
      </c>
      <c r="H35" s="440">
        <v>6.3144459628541096E-5</v>
      </c>
      <c r="I35" s="578"/>
    </row>
    <row r="36" spans="1:9" x14ac:dyDescent="0.2">
      <c r="A36" s="159"/>
      <c r="B36" s="104" t="s">
        <v>64</v>
      </c>
      <c r="C36" s="91" t="s">
        <v>65</v>
      </c>
      <c r="D36" s="579">
        <v>0.18629999999999999</v>
      </c>
      <c r="E36" s="92"/>
      <c r="F36" s="580" t="s">
        <v>6</v>
      </c>
      <c r="G36" s="581">
        <v>0.18629999999999999</v>
      </c>
      <c r="H36" s="440">
        <v>0.18629999999999999</v>
      </c>
      <c r="I36" s="578"/>
    </row>
    <row r="37" spans="1:9" x14ac:dyDescent="0.2">
      <c r="A37" s="159"/>
      <c r="B37" s="107" t="s">
        <v>66</v>
      </c>
      <c r="C37" s="95" t="s">
        <v>67</v>
      </c>
      <c r="D37" s="579">
        <v>1.0710973550430282E-5</v>
      </c>
      <c r="E37" s="92"/>
      <c r="F37" s="580">
        <v>7.8508249140718087E-6</v>
      </c>
      <c r="G37" s="581">
        <v>7.8508249140718087E-6</v>
      </c>
      <c r="H37" s="440">
        <v>1.0710973550430282E-5</v>
      </c>
      <c r="I37" s="578"/>
    </row>
    <row r="38" spans="1:9" x14ac:dyDescent="0.2">
      <c r="A38" s="159"/>
      <c r="B38" s="104" t="s">
        <v>68</v>
      </c>
      <c r="C38" s="91" t="s">
        <v>69</v>
      </c>
      <c r="D38" s="579">
        <v>3.636715317945822E-4</v>
      </c>
      <c r="E38" s="92"/>
      <c r="F38" s="580">
        <v>2.3800000000000001E-4</v>
      </c>
      <c r="G38" s="581">
        <v>2.3800000000000001E-4</v>
      </c>
      <c r="H38" s="440">
        <v>3.636715317945822E-4</v>
      </c>
      <c r="I38" s="578"/>
    </row>
    <row r="39" spans="1:9" x14ac:dyDescent="0.2">
      <c r="A39" s="159"/>
      <c r="B39" s="104" t="s">
        <v>70</v>
      </c>
      <c r="C39" s="91" t="s">
        <v>71</v>
      </c>
      <c r="D39" s="579">
        <v>4.1991264918956304E-4</v>
      </c>
      <c r="E39" s="92"/>
      <c r="F39" s="580">
        <v>2.0766701363005984E-4</v>
      </c>
      <c r="G39" s="581">
        <v>2.0766701363005984E-4</v>
      </c>
      <c r="H39" s="440">
        <v>4.1991264918956304E-4</v>
      </c>
      <c r="I39" s="578"/>
    </row>
    <row r="40" spans="1:9" x14ac:dyDescent="0.2">
      <c r="A40" s="159"/>
      <c r="B40" s="104" t="s">
        <v>72</v>
      </c>
      <c r="C40" s="91" t="s">
        <v>73</v>
      </c>
      <c r="D40" s="579">
        <v>1.5107336534301277E-5</v>
      </c>
      <c r="E40" s="92"/>
      <c r="F40" s="580">
        <v>1.2799999999999999E-5</v>
      </c>
      <c r="G40" s="581">
        <v>1.2799999999999999E-5</v>
      </c>
      <c r="H40" s="440">
        <v>1.5107336534301277E-5</v>
      </c>
      <c r="I40" s="578"/>
    </row>
    <row r="41" spans="1:9" x14ac:dyDescent="0.2">
      <c r="A41" s="159"/>
      <c r="B41" s="104" t="s">
        <v>74</v>
      </c>
      <c r="C41" s="91" t="s">
        <v>75</v>
      </c>
      <c r="D41" s="579">
        <v>1.2297907414592798E-2</v>
      </c>
      <c r="E41" s="92"/>
      <c r="F41" s="580">
        <v>8.7983635166299576E-3</v>
      </c>
      <c r="G41" s="581">
        <v>8.7983635166299576E-3</v>
      </c>
      <c r="H41" s="440">
        <v>1.2297907414592798E-2</v>
      </c>
      <c r="I41" s="578"/>
    </row>
    <row r="42" spans="1:9" x14ac:dyDescent="0.2">
      <c r="A42" s="159"/>
      <c r="B42" s="104" t="s">
        <v>76</v>
      </c>
      <c r="C42" s="91" t="s">
        <v>77</v>
      </c>
      <c r="D42" s="579">
        <v>2.6352391113998751E-2</v>
      </c>
      <c r="E42" s="92"/>
      <c r="F42" s="580">
        <v>1.700151410945722E-2</v>
      </c>
      <c r="G42" s="581">
        <v>1.700151410945722E-2</v>
      </c>
      <c r="H42" s="440">
        <v>2.6352391113998751E-2</v>
      </c>
      <c r="I42" s="578"/>
    </row>
    <row r="43" spans="1:9" x14ac:dyDescent="0.2">
      <c r="A43" s="159"/>
      <c r="B43" s="104" t="s">
        <v>78</v>
      </c>
      <c r="C43" s="91">
        <v>365</v>
      </c>
      <c r="D43" s="579">
        <v>1.8222934133210207E-4</v>
      </c>
      <c r="E43" s="92"/>
      <c r="F43" s="580">
        <v>1.8612332131529827E-4</v>
      </c>
      <c r="G43" s="581">
        <v>1.8612332131529827E-4</v>
      </c>
      <c r="H43" s="440">
        <v>1.8222934133210207E-4</v>
      </c>
      <c r="I43" s="578"/>
    </row>
    <row r="44" spans="1:9" x14ac:dyDescent="0.2">
      <c r="A44" s="159"/>
      <c r="B44" s="104" t="s">
        <v>79</v>
      </c>
      <c r="C44" s="91" t="s">
        <v>80</v>
      </c>
      <c r="D44" s="579">
        <v>1.1782465534251089E-6</v>
      </c>
      <c r="E44" s="92"/>
      <c r="F44" s="580">
        <v>3.5100000000000001E-7</v>
      </c>
      <c r="G44" s="581">
        <v>3.5100000000000001E-7</v>
      </c>
      <c r="H44" s="440">
        <v>1.1782465534251089E-6</v>
      </c>
      <c r="I44" s="578"/>
    </row>
    <row r="45" spans="1:9" x14ac:dyDescent="0.2">
      <c r="A45" s="159"/>
      <c r="B45" s="104" t="s">
        <v>81</v>
      </c>
      <c r="C45" s="91" t="s">
        <v>82</v>
      </c>
      <c r="D45" s="579">
        <v>4.5419465326501894E-3</v>
      </c>
      <c r="E45" s="92"/>
      <c r="F45" s="580">
        <v>3.8313626985114983E-3</v>
      </c>
      <c r="G45" s="581">
        <v>3.8313626985114983E-3</v>
      </c>
      <c r="H45" s="440">
        <v>4.5419465326501894E-3</v>
      </c>
      <c r="I45" s="578"/>
    </row>
    <row r="46" spans="1:9" x14ac:dyDescent="0.2">
      <c r="A46" s="159"/>
      <c r="B46" s="104" t="s">
        <v>83</v>
      </c>
      <c r="C46" s="91">
        <v>504</v>
      </c>
      <c r="D46" s="579">
        <v>8.4039857312420349E-3</v>
      </c>
      <c r="E46" s="92"/>
      <c r="F46" s="580">
        <v>5.4900370355130046E-3</v>
      </c>
      <c r="G46" s="581">
        <v>5.4900370355130046E-3</v>
      </c>
      <c r="H46" s="440">
        <v>8.4039857312420349E-3</v>
      </c>
      <c r="I46" s="578"/>
    </row>
    <row r="47" spans="1:9" x14ac:dyDescent="0.2">
      <c r="A47" s="159"/>
      <c r="B47" s="104" t="s">
        <v>84</v>
      </c>
      <c r="C47" s="91" t="s">
        <v>85</v>
      </c>
      <c r="D47" s="579">
        <v>0.47</v>
      </c>
      <c r="E47" s="92"/>
      <c r="F47" s="580" t="s">
        <v>6</v>
      </c>
      <c r="G47" s="581">
        <v>0.47</v>
      </c>
      <c r="H47" s="440">
        <v>0.47</v>
      </c>
      <c r="I47" s="578"/>
    </row>
    <row r="48" spans="1:9" x14ac:dyDescent="0.2">
      <c r="A48" s="159"/>
      <c r="B48" s="104" t="s">
        <v>86</v>
      </c>
      <c r="C48" s="91" t="s">
        <v>87</v>
      </c>
      <c r="D48" s="579">
        <v>1.25E-3</v>
      </c>
      <c r="E48" s="92"/>
      <c r="F48" s="580">
        <v>9.4043863333495407E-4</v>
      </c>
      <c r="G48" s="581">
        <v>9.4043863333495407E-4</v>
      </c>
      <c r="H48" s="440">
        <v>1.25E-3</v>
      </c>
      <c r="I48" s="578"/>
    </row>
    <row r="49" spans="1:21" ht="14.25" x14ac:dyDescent="0.2">
      <c r="A49" s="159"/>
      <c r="B49" s="104" t="s">
        <v>1180</v>
      </c>
      <c r="C49" s="91">
        <v>401</v>
      </c>
      <c r="D49" s="579" t="s">
        <v>6</v>
      </c>
      <c r="E49" s="92"/>
      <c r="F49" s="580" t="s">
        <v>6</v>
      </c>
      <c r="G49" s="581" t="s">
        <v>88</v>
      </c>
      <c r="H49" s="440" t="s">
        <v>88</v>
      </c>
      <c r="I49" s="585"/>
    </row>
    <row r="50" spans="1:21" x14ac:dyDescent="0.2">
      <c r="A50" s="159"/>
      <c r="B50" s="104" t="s">
        <v>89</v>
      </c>
      <c r="C50" s="91" t="s">
        <v>90</v>
      </c>
      <c r="D50" s="579">
        <v>3.7638267956703413E-4</v>
      </c>
      <c r="E50" s="583"/>
      <c r="F50" s="580">
        <v>0</v>
      </c>
      <c r="G50" s="581">
        <v>0</v>
      </c>
      <c r="H50" s="440">
        <v>3.7638267956703413E-4</v>
      </c>
      <c r="I50" s="578"/>
    </row>
    <row r="51" spans="1:21" x14ac:dyDescent="0.2">
      <c r="A51" s="159"/>
      <c r="B51" s="106" t="s">
        <v>91</v>
      </c>
      <c r="C51" s="94" t="s">
        <v>92</v>
      </c>
      <c r="D51" s="579">
        <v>4.8013014217323475E-5</v>
      </c>
      <c r="E51" s="583"/>
      <c r="F51" s="580">
        <v>0</v>
      </c>
      <c r="G51" s="581">
        <v>0</v>
      </c>
      <c r="H51" s="440">
        <v>4.8013014217323475E-5</v>
      </c>
      <c r="I51" s="578"/>
    </row>
    <row r="52" spans="1:21" x14ac:dyDescent="0.2">
      <c r="A52" s="159"/>
      <c r="B52" s="106" t="s">
        <v>93</v>
      </c>
      <c r="C52" s="94" t="s">
        <v>94</v>
      </c>
      <c r="D52" s="579">
        <v>2.4009368143584827E-4</v>
      </c>
      <c r="E52" s="583"/>
      <c r="F52" s="580">
        <v>0</v>
      </c>
      <c r="G52" s="581">
        <v>0</v>
      </c>
      <c r="H52" s="440">
        <v>2.4009368143584827E-4</v>
      </c>
      <c r="I52" s="578"/>
    </row>
    <row r="53" spans="1:21" x14ac:dyDescent="0.2">
      <c r="A53" s="159"/>
      <c r="B53" s="104" t="s">
        <v>95</v>
      </c>
      <c r="C53" s="91" t="s">
        <v>96</v>
      </c>
      <c r="D53" s="579">
        <v>0.10539999999999999</v>
      </c>
      <c r="E53" s="92"/>
      <c r="F53" s="580" t="s">
        <v>6</v>
      </c>
      <c r="G53" s="581">
        <v>0.10539999999999999</v>
      </c>
      <c r="H53" s="440">
        <v>0.10539999999999999</v>
      </c>
      <c r="I53" s="578"/>
    </row>
    <row r="54" spans="1:21" x14ac:dyDescent="0.2">
      <c r="A54" s="159"/>
      <c r="B54" s="104" t="s">
        <v>97</v>
      </c>
      <c r="C54" s="91" t="s">
        <v>98</v>
      </c>
      <c r="D54" s="579">
        <v>4.24E-2</v>
      </c>
      <c r="E54" s="92"/>
      <c r="F54" s="580" t="s">
        <v>6</v>
      </c>
      <c r="G54" s="581">
        <v>4.24E-2</v>
      </c>
      <c r="H54" s="440">
        <v>4.24E-2</v>
      </c>
      <c r="I54" s="578"/>
    </row>
    <row r="55" spans="1:21" ht="14.25" thickBot="1" x14ac:dyDescent="0.25">
      <c r="A55" s="159"/>
      <c r="B55" s="108" t="s">
        <v>99</v>
      </c>
      <c r="C55" s="96" t="s">
        <v>100</v>
      </c>
      <c r="D55" s="586">
        <v>5.2261769021193245E-3</v>
      </c>
      <c r="E55" s="587"/>
      <c r="F55" s="588">
        <v>5.0308329997330661E-3</v>
      </c>
      <c r="G55" s="589">
        <v>5.0308329997330661E-3</v>
      </c>
      <c r="H55" s="441">
        <v>5.2261769021193245E-3</v>
      </c>
      <c r="I55" s="578"/>
    </row>
    <row r="56" spans="1:21" ht="25.5" customHeight="1" x14ac:dyDescent="0.2">
      <c r="A56" s="159"/>
      <c r="B56" s="622" t="s">
        <v>1181</v>
      </c>
      <c r="C56" s="622"/>
      <c r="D56" s="622"/>
      <c r="E56" s="622"/>
      <c r="F56" s="622"/>
      <c r="G56" s="622"/>
      <c r="H56" s="622"/>
      <c r="I56" s="605"/>
    </row>
    <row r="57" spans="1:21" ht="41.25" customHeight="1" x14ac:dyDescent="0.2">
      <c r="A57" s="159"/>
      <c r="B57" s="605" t="s">
        <v>101</v>
      </c>
      <c r="C57" s="605"/>
      <c r="D57" s="605"/>
      <c r="E57" s="605"/>
      <c r="F57" s="605"/>
      <c r="G57" s="605"/>
      <c r="H57" s="605"/>
      <c r="I57" s="605"/>
      <c r="J57" s="71"/>
      <c r="K57" s="71"/>
    </row>
    <row r="58" spans="1:21" ht="33" customHeight="1" x14ac:dyDescent="0.2">
      <c r="A58" s="159"/>
      <c r="B58" s="605" t="s">
        <v>1182</v>
      </c>
      <c r="C58" s="605"/>
      <c r="D58" s="605"/>
      <c r="E58" s="605"/>
      <c r="F58" s="605"/>
      <c r="G58" s="605"/>
      <c r="H58" s="605"/>
      <c r="I58" s="605"/>
    </row>
    <row r="59" spans="1:21" ht="26.25" customHeight="1" x14ac:dyDescent="0.2">
      <c r="A59" s="159"/>
      <c r="B59" s="605" t="s">
        <v>1183</v>
      </c>
      <c r="C59" s="605"/>
      <c r="D59" s="605"/>
      <c r="E59" s="605"/>
      <c r="F59" s="605"/>
      <c r="G59" s="605"/>
      <c r="H59" s="605"/>
      <c r="I59" s="605"/>
    </row>
    <row r="60" spans="1:21" x14ac:dyDescent="0.2">
      <c r="A60" s="159"/>
      <c r="B60" s="605" t="s">
        <v>1184</v>
      </c>
      <c r="C60" s="605"/>
      <c r="D60" s="605"/>
      <c r="E60" s="605"/>
      <c r="F60" s="605"/>
      <c r="G60" s="605"/>
      <c r="H60" s="605"/>
      <c r="I60" s="605"/>
    </row>
    <row r="61" spans="1:21" ht="27.75" customHeight="1" x14ac:dyDescent="0.2">
      <c r="A61" s="159"/>
      <c r="B61" s="605" t="s">
        <v>1185</v>
      </c>
      <c r="C61" s="605"/>
      <c r="D61" s="605"/>
      <c r="E61" s="605"/>
      <c r="F61" s="605"/>
      <c r="G61" s="605"/>
      <c r="H61" s="605"/>
      <c r="I61" s="605"/>
    </row>
    <row r="62" spans="1:21" x14ac:dyDescent="0.2">
      <c r="A62" s="159"/>
      <c r="J62" s="71"/>
      <c r="K62" s="71"/>
    </row>
    <row r="63" spans="1:21" x14ac:dyDescent="0.2">
      <c r="A63" s="147"/>
      <c r="B63" s="70"/>
      <c r="C63" s="70"/>
      <c r="D63" s="70"/>
      <c r="E63" s="70"/>
      <c r="F63" s="70"/>
      <c r="G63" s="70"/>
      <c r="H63" s="70"/>
      <c r="I63" s="70"/>
      <c r="K63" s="67"/>
      <c r="L63" s="67"/>
    </row>
    <row r="64" spans="1:21" ht="16.5" customHeight="1" thickBot="1" x14ac:dyDescent="0.25">
      <c r="A64" s="82"/>
      <c r="B64" s="606" t="s">
        <v>102</v>
      </c>
      <c r="C64" s="606"/>
      <c r="D64" s="606"/>
      <c r="E64" s="606"/>
      <c r="F64" s="606"/>
      <c r="G64" s="606"/>
      <c r="H64" s="606"/>
      <c r="I64" s="606"/>
      <c r="J64" s="606"/>
      <c r="K64" s="67"/>
      <c r="L64" s="67"/>
      <c r="M64" s="80"/>
      <c r="N64" s="67"/>
      <c r="O64" s="67"/>
      <c r="P64" s="67"/>
      <c r="Q64" s="67"/>
      <c r="R64" s="67"/>
      <c r="S64" s="67"/>
      <c r="T64" s="67"/>
      <c r="U64" s="67"/>
    </row>
    <row r="65" spans="1:21" ht="16.5" customHeight="1" thickBot="1" x14ac:dyDescent="0.25">
      <c r="A65" s="82"/>
      <c r="B65" s="607" t="s">
        <v>1</v>
      </c>
      <c r="C65" s="609" t="s">
        <v>2</v>
      </c>
      <c r="D65" s="615" t="s">
        <v>103</v>
      </c>
      <c r="E65" s="616"/>
      <c r="F65" s="616"/>
      <c r="G65" s="616"/>
      <c r="H65" s="616"/>
      <c r="I65" s="616"/>
      <c r="J65" s="616"/>
      <c r="K65" s="616"/>
      <c r="L65" s="617"/>
      <c r="M65" s="67"/>
      <c r="N65" s="67"/>
      <c r="O65" s="67"/>
      <c r="P65" s="67"/>
      <c r="Q65" s="67"/>
      <c r="R65" s="67"/>
      <c r="S65" s="67"/>
      <c r="T65" s="67"/>
      <c r="U65" s="67"/>
    </row>
    <row r="66" spans="1:21" ht="41.25" customHeight="1" thickBot="1" x14ac:dyDescent="0.25">
      <c r="B66" s="608"/>
      <c r="C66" s="610"/>
      <c r="D66" s="186" t="s">
        <v>104</v>
      </c>
      <c r="E66" s="236" t="s">
        <v>105</v>
      </c>
      <c r="F66" s="590" t="s">
        <v>106</v>
      </c>
      <c r="G66" s="236" t="s">
        <v>107</v>
      </c>
      <c r="H66" s="236" t="s">
        <v>108</v>
      </c>
      <c r="I66" s="236" t="s">
        <v>109</v>
      </c>
      <c r="J66" s="442" t="s">
        <v>110</v>
      </c>
      <c r="K66" s="236" t="s">
        <v>111</v>
      </c>
      <c r="L66" s="214" t="s">
        <v>112</v>
      </c>
      <c r="M66" s="59"/>
      <c r="N66" s="233"/>
      <c r="O66" s="234"/>
    </row>
    <row r="67" spans="1:21" ht="18" customHeight="1" thickBot="1" x14ac:dyDescent="0.25">
      <c r="B67" s="157" t="s">
        <v>113</v>
      </c>
      <c r="C67" s="222">
        <v>200</v>
      </c>
      <c r="D67" s="591">
        <f>'[10]Criteria 39tpy'!$I7*1000</f>
        <v>23.380000000000003</v>
      </c>
      <c r="E67" s="184">
        <f>'[10]Criteria 39tpy'!$I8*1000</f>
        <v>23.38</v>
      </c>
      <c r="F67" s="592">
        <f>'[10]Criteria 39tpy'!$I9*1000</f>
        <v>23.380000000000003</v>
      </c>
      <c r="G67" s="184">
        <f>'[10]Criteria 39tpy'!$I10*1000</f>
        <v>23.38</v>
      </c>
      <c r="H67" s="184">
        <f>'[10]Criteria 39tpy'!$I11*1000</f>
        <v>23.380000000000003</v>
      </c>
      <c r="I67" s="184">
        <f>'[10]Criteria 39tpy'!$I12*1000</f>
        <v>16.9752457004105</v>
      </c>
      <c r="J67" s="443">
        <f>'[10]Criteria 39tpy'!$I13*1000</f>
        <v>23.380000000000003</v>
      </c>
      <c r="K67" s="184">
        <f>'[10]Criteria 39tpy'!$I14*1000</f>
        <v>234.73684210526315</v>
      </c>
      <c r="L67" s="223">
        <f>'[10]Criteria 39tpy'!$I15*1000</f>
        <v>23.38</v>
      </c>
      <c r="M67" s="59"/>
      <c r="N67" s="233"/>
      <c r="O67" s="234"/>
    </row>
    <row r="68" spans="1:21" s="61" customFormat="1" ht="31.5" customHeight="1" x14ac:dyDescent="0.15">
      <c r="A68" s="147">
        <v>1</v>
      </c>
      <c r="B68" s="605" t="s">
        <v>114</v>
      </c>
      <c r="C68" s="605"/>
      <c r="D68" s="605"/>
      <c r="E68" s="605"/>
      <c r="F68" s="605"/>
      <c r="G68" s="605"/>
      <c r="H68" s="605"/>
      <c r="I68" s="605"/>
      <c r="J68" s="605"/>
      <c r="K68" s="605"/>
      <c r="L68" s="605"/>
      <c r="M68" s="60"/>
      <c r="N68" s="233"/>
      <c r="O68" s="234"/>
    </row>
    <row r="69" spans="1:21" s="61" customFormat="1" ht="32.1" customHeight="1" x14ac:dyDescent="0.15">
      <c r="A69" s="147">
        <v>2</v>
      </c>
      <c r="B69" s="605" t="s">
        <v>115</v>
      </c>
      <c r="C69" s="605"/>
      <c r="D69" s="605"/>
      <c r="E69" s="605"/>
      <c r="F69" s="605"/>
      <c r="G69" s="605"/>
      <c r="H69" s="605"/>
      <c r="I69" s="605"/>
      <c r="J69" s="605"/>
      <c r="K69" s="605"/>
      <c r="L69" s="605"/>
      <c r="M69" s="60"/>
      <c r="N69" s="233"/>
      <c r="O69" s="234"/>
    </row>
    <row r="70" spans="1:21" x14ac:dyDescent="0.2">
      <c r="G70" s="97"/>
      <c r="N70" s="162"/>
      <c r="O70" s="162"/>
    </row>
  </sheetData>
  <mergeCells count="20">
    <mergeCell ref="H3:H5"/>
    <mergeCell ref="G3:G5"/>
    <mergeCell ref="D65:L65"/>
    <mergeCell ref="D2:H2"/>
    <mergeCell ref="B58:I58"/>
    <mergeCell ref="B59:I59"/>
    <mergeCell ref="B60:I60"/>
    <mergeCell ref="B61:I61"/>
    <mergeCell ref="B2:B5"/>
    <mergeCell ref="C2:C5"/>
    <mergeCell ref="B56:I56"/>
    <mergeCell ref="B57:I57"/>
    <mergeCell ref="F3:F5"/>
    <mergeCell ref="E3:E5"/>
    <mergeCell ref="D3:D5"/>
    <mergeCell ref="B68:L68"/>
    <mergeCell ref="B69:L69"/>
    <mergeCell ref="B64:J64"/>
    <mergeCell ref="B65:B66"/>
    <mergeCell ref="C65:C66"/>
  </mergeCells>
  <conditionalFormatting sqref="D67:L67">
    <cfRule type="cellIs" dxfId="5" priority="1" operator="lessThan">
      <formula>0.015</formula>
    </cfRule>
    <cfRule type="expression" priority="2" stopIfTrue="1">
      <formula>IF(D67="",TRUE)</formula>
    </cfRule>
  </conditionalFormatting>
  <pageMargins left="0.7" right="0.7" top="0.75" bottom="0.75" header="0.3" footer="0.3"/>
  <pageSetup paperSize="3" scale="70" fitToHeight="0" orientation="portrait" horizontalDpi="1200" verticalDpi="1200" r:id="rId1"/>
  <rowBreaks count="1" manualBreakCount="1">
    <brk id="63" max="12"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91628A-C04A-46D1-9250-E906FFBB21EA}">
  <sheetPr codeName="Sheet18">
    <pageSetUpPr fitToPage="1"/>
  </sheetPr>
  <dimension ref="A1:S21"/>
  <sheetViews>
    <sheetView topLeftCell="A4" zoomScale="85" zoomScaleNormal="85" workbookViewId="0">
      <selection activeCell="B11" sqref="B11"/>
    </sheetView>
  </sheetViews>
  <sheetFormatPr defaultColWidth="9" defaultRowHeight="12.75" x14ac:dyDescent="0.2"/>
  <cols>
    <col min="1" max="1" width="9.5703125" style="69" customWidth="1"/>
    <col min="2" max="2" width="8.5703125" style="69" bestFit="1" customWidth="1"/>
    <col min="3" max="3" width="12.42578125" style="69" bestFit="1" customWidth="1"/>
    <col min="4" max="4" width="21.5703125" style="69" customWidth="1"/>
    <col min="5" max="5" width="12.5703125" style="69" bestFit="1" customWidth="1"/>
    <col min="6" max="6" width="11.42578125" style="69" customWidth="1"/>
    <col min="7" max="7" width="10" style="69" customWidth="1"/>
    <col min="8" max="8" width="9.85546875" style="69" customWidth="1"/>
    <col min="9" max="9" width="9.42578125" style="69" customWidth="1"/>
    <col min="10" max="10" width="16.42578125" style="69" customWidth="1"/>
    <col min="11" max="14" width="8.5703125" style="69" customWidth="1"/>
    <col min="15" max="16" width="9.5703125" style="69" customWidth="1"/>
    <col min="17" max="17" width="21.140625" style="69" bestFit="1" customWidth="1"/>
    <col min="18" max="18" width="9.5703125" style="69" customWidth="1"/>
    <col min="19" max="29" width="6.140625" style="69" customWidth="1"/>
    <col min="30" max="30" width="14" style="69" customWidth="1"/>
    <col min="31" max="31" width="10.140625" style="69" bestFit="1" customWidth="1"/>
    <col min="32" max="16384" width="9" style="69"/>
  </cols>
  <sheetData>
    <row r="1" spans="1:19" s="57" customFormat="1" ht="29.25" customHeight="1" x14ac:dyDescent="0.2"/>
    <row r="2" spans="1:19" s="57" customFormat="1" ht="15" x14ac:dyDescent="0.2">
      <c r="A2" s="231" t="s">
        <v>426</v>
      </c>
      <c r="H2" s="164"/>
    </row>
    <row r="3" spans="1:19" ht="13.5" thickBot="1" x14ac:dyDescent="0.25">
      <c r="A3" s="181" t="s">
        <v>427</v>
      </c>
      <c r="B3" s="165"/>
      <c r="C3" s="165"/>
      <c r="D3" s="165"/>
      <c r="E3" s="165"/>
      <c r="F3" s="165"/>
      <c r="G3" s="165"/>
      <c r="H3" s="165"/>
      <c r="I3" s="165"/>
      <c r="J3" s="165"/>
      <c r="K3" s="165"/>
      <c r="L3" s="165"/>
      <c r="M3" s="165"/>
      <c r="N3" s="165"/>
    </row>
    <row r="4" spans="1:19" ht="25.5" customHeight="1" x14ac:dyDescent="0.2">
      <c r="A4" s="519"/>
      <c r="B4" s="520"/>
      <c r="C4" s="752" t="s">
        <v>428</v>
      </c>
      <c r="D4" s="521" t="s">
        <v>429</v>
      </c>
      <c r="E4" s="522" t="s">
        <v>430</v>
      </c>
      <c r="F4" s="754" t="s">
        <v>431</v>
      </c>
      <c r="G4" s="752"/>
      <c r="H4" s="752"/>
      <c r="I4" s="755"/>
      <c r="J4" s="756" t="s">
        <v>432</v>
      </c>
      <c r="K4" s="754" t="s">
        <v>433</v>
      </c>
      <c r="L4" s="752"/>
      <c r="M4" s="752"/>
      <c r="N4" s="755"/>
      <c r="O4" s="487"/>
      <c r="Q4" s="748" t="s">
        <v>224</v>
      </c>
      <c r="R4" s="748"/>
    </row>
    <row r="5" spans="1:19" x14ac:dyDescent="0.2">
      <c r="A5" s="523" t="s">
        <v>217</v>
      </c>
      <c r="B5" s="524" t="s">
        <v>434</v>
      </c>
      <c r="C5" s="753"/>
      <c r="D5" s="525" t="s">
        <v>435</v>
      </c>
      <c r="E5" s="526" t="s">
        <v>436</v>
      </c>
      <c r="F5" s="527" t="s">
        <v>437</v>
      </c>
      <c r="G5" s="527" t="s">
        <v>438</v>
      </c>
      <c r="H5" s="527" t="s">
        <v>439</v>
      </c>
      <c r="I5" s="527" t="s">
        <v>440</v>
      </c>
      <c r="J5" s="757"/>
      <c r="K5" s="528" t="s">
        <v>437</v>
      </c>
      <c r="L5" s="527" t="s">
        <v>438</v>
      </c>
      <c r="M5" s="527" t="s">
        <v>439</v>
      </c>
      <c r="N5" s="529" t="s">
        <v>440</v>
      </c>
      <c r="O5" s="487"/>
      <c r="Q5" s="69" t="s">
        <v>441</v>
      </c>
      <c r="R5" s="69" t="s">
        <v>442</v>
      </c>
    </row>
    <row r="6" spans="1:19" ht="6.6" customHeight="1" x14ac:dyDescent="0.2">
      <c r="A6" s="530"/>
      <c r="B6" s="487"/>
      <c r="C6" s="531"/>
      <c r="D6" s="531"/>
      <c r="E6" s="532"/>
      <c r="F6" s="533"/>
      <c r="G6" s="533"/>
      <c r="H6" s="533"/>
      <c r="I6" s="533"/>
      <c r="J6" s="534"/>
      <c r="K6" s="535"/>
      <c r="L6" s="533"/>
      <c r="M6" s="533"/>
      <c r="N6" s="536"/>
      <c r="O6" s="487"/>
    </row>
    <row r="7" spans="1:19" x14ac:dyDescent="0.2">
      <c r="A7" s="530" t="s">
        <v>225</v>
      </c>
      <c r="B7" s="531">
        <v>3</v>
      </c>
      <c r="C7" s="537">
        <v>2</v>
      </c>
      <c r="D7" s="538">
        <v>17.145389063033416</v>
      </c>
      <c r="E7" s="539">
        <v>53.6</v>
      </c>
      <c r="F7" s="540">
        <v>0.29533582089552241</v>
      </c>
      <c r="G7" s="540">
        <v>0.10517241379310345</v>
      </c>
      <c r="H7" s="541">
        <v>1.896551724137931E-2</v>
      </c>
      <c r="I7" s="541">
        <v>2.3380000000000001E-2</v>
      </c>
      <c r="J7" s="542">
        <v>2756.9785613357731</v>
      </c>
      <c r="K7" s="543">
        <v>0.40711726330172843</v>
      </c>
      <c r="L7" s="540">
        <v>0.14497904503576048</v>
      </c>
      <c r="M7" s="540">
        <v>2.6143762219563365E-2</v>
      </c>
      <c r="N7" s="539">
        <v>3.2229079382015184E-2</v>
      </c>
      <c r="O7" s="544"/>
      <c r="Q7" s="233" t="s">
        <v>443</v>
      </c>
      <c r="R7" s="234">
        <v>750</v>
      </c>
      <c r="S7" s="235" t="s">
        <v>444</v>
      </c>
    </row>
    <row r="8" spans="1:19" x14ac:dyDescent="0.2">
      <c r="A8" s="530" t="s">
        <v>226</v>
      </c>
      <c r="B8" s="531">
        <v>3</v>
      </c>
      <c r="C8" s="537">
        <v>2</v>
      </c>
      <c r="D8" s="538">
        <v>17.145389063033416</v>
      </c>
      <c r="E8" s="539">
        <v>57.3</v>
      </c>
      <c r="F8" s="540">
        <v>0.29022687609075043</v>
      </c>
      <c r="G8" s="540">
        <v>0.10416666666666667</v>
      </c>
      <c r="H8" s="541">
        <v>1.5833333333333335E-2</v>
      </c>
      <c r="I8" s="541">
        <v>2.3379999999999998E-2</v>
      </c>
      <c r="J8" s="542">
        <v>2947.2923799354439</v>
      </c>
      <c r="K8" s="543">
        <v>0.4276917301773685</v>
      </c>
      <c r="L8" s="540">
        <v>0.15350481145497105</v>
      </c>
      <c r="M8" s="540">
        <v>2.3332731341155599E-2</v>
      </c>
      <c r="N8" s="539">
        <v>3.4453847921445339E-2</v>
      </c>
      <c r="O8" s="544"/>
      <c r="P8" s="167"/>
      <c r="Q8" s="233" t="s">
        <v>443</v>
      </c>
      <c r="R8" s="234">
        <v>800</v>
      </c>
      <c r="S8" s="235" t="s">
        <v>444</v>
      </c>
    </row>
    <row r="9" spans="1:19" x14ac:dyDescent="0.2">
      <c r="A9" s="530" t="s">
        <v>228</v>
      </c>
      <c r="B9" s="531">
        <v>1</v>
      </c>
      <c r="C9" s="537">
        <v>2</v>
      </c>
      <c r="D9" s="538">
        <v>17.145389063033416</v>
      </c>
      <c r="E9" s="539">
        <v>71.900000000000006</v>
      </c>
      <c r="F9" s="540">
        <v>0.26759388038942972</v>
      </c>
      <c r="G9" s="540">
        <v>0.22239999999999999</v>
      </c>
      <c r="H9" s="541">
        <v>2.7200000000000002E-2</v>
      </c>
      <c r="I9" s="541">
        <v>2.3380000000000001E-2</v>
      </c>
      <c r="J9" s="542">
        <v>1232.7534736321027</v>
      </c>
      <c r="K9" s="543">
        <v>0.16493864278638146</v>
      </c>
      <c r="L9" s="540">
        <v>0.13708218626788979</v>
      </c>
      <c r="M9" s="540">
        <v>1.6765447241396596E-2</v>
      </c>
      <c r="N9" s="539">
        <v>1.441088810675928E-2</v>
      </c>
      <c r="O9" s="544"/>
      <c r="P9" s="167"/>
      <c r="Q9" s="233" t="s">
        <v>445</v>
      </c>
      <c r="R9" s="234">
        <v>1000</v>
      </c>
      <c r="S9" s="235" t="s">
        <v>444</v>
      </c>
    </row>
    <row r="10" spans="1:19" x14ac:dyDescent="0.2">
      <c r="A10" s="530" t="s">
        <v>230</v>
      </c>
      <c r="B10" s="531">
        <v>1</v>
      </c>
      <c r="C10" s="537">
        <v>2</v>
      </c>
      <c r="D10" s="538">
        <v>17.145389063033416</v>
      </c>
      <c r="E10" s="539">
        <v>128.4</v>
      </c>
      <c r="F10" s="540">
        <v>0.2783489096573209</v>
      </c>
      <c r="G10" s="540">
        <v>0.15131086142322098</v>
      </c>
      <c r="H10" s="541">
        <v>3.707865168539326E-2</v>
      </c>
      <c r="I10" s="541">
        <v>2.3379999999999998E-2</v>
      </c>
      <c r="J10" s="542">
        <v>2201.4679556934907</v>
      </c>
      <c r="K10" s="543">
        <v>0.30638810255640719</v>
      </c>
      <c r="L10" s="540">
        <v>0.16655300638579967</v>
      </c>
      <c r="M10" s="540">
        <v>4.0813731762856853E-2</v>
      </c>
      <c r="N10" s="539">
        <v>2.5735160402056905E-2</v>
      </c>
      <c r="O10" s="544"/>
      <c r="Q10" s="233" t="s">
        <v>446</v>
      </c>
      <c r="R10" s="234">
        <v>1825</v>
      </c>
      <c r="S10" s="235" t="s">
        <v>447</v>
      </c>
    </row>
    <row r="11" spans="1:19" x14ac:dyDescent="0.2">
      <c r="A11" s="530" t="s">
        <v>232</v>
      </c>
      <c r="B11" s="531">
        <v>6</v>
      </c>
      <c r="C11" s="537">
        <v>2</v>
      </c>
      <c r="D11" s="538">
        <v>17.145389063033416</v>
      </c>
      <c r="E11" s="539">
        <v>138.9</v>
      </c>
      <c r="F11" s="540">
        <v>0.25118790496760257</v>
      </c>
      <c r="G11" s="541">
        <v>8.5227272727272735E-2</v>
      </c>
      <c r="H11" s="541">
        <v>2.8409090909090912E-2</v>
      </c>
      <c r="I11" s="541">
        <v>2.3380000000000001E-2</v>
      </c>
      <c r="J11" s="542">
        <v>14288.967245132049</v>
      </c>
      <c r="K11" s="543">
        <v>1.7946078732277075</v>
      </c>
      <c r="L11" s="540">
        <v>0.60890485419596807</v>
      </c>
      <c r="M11" s="540">
        <v>0.20296828473198933</v>
      </c>
      <c r="N11" s="539">
        <v>0.16703802709559365</v>
      </c>
      <c r="O11" s="544"/>
      <c r="P11" s="167"/>
      <c r="Q11" s="233" t="s">
        <v>448</v>
      </c>
      <c r="R11" s="234">
        <v>2000</v>
      </c>
      <c r="S11" s="235" t="s">
        <v>444</v>
      </c>
    </row>
    <row r="12" spans="1:19" x14ac:dyDescent="0.2">
      <c r="A12" s="530" t="s">
        <v>234</v>
      </c>
      <c r="B12" s="531">
        <v>79</v>
      </c>
      <c r="C12" s="537">
        <v>2</v>
      </c>
      <c r="D12" s="538">
        <v>17.145389063033416</v>
      </c>
      <c r="E12" s="539">
        <v>173.5</v>
      </c>
      <c r="F12" s="540">
        <v>0.29158501440922191</v>
      </c>
      <c r="G12" s="540">
        <v>0.14760383386581469</v>
      </c>
      <c r="H12" s="541">
        <v>3.0670926517571882E-2</v>
      </c>
      <c r="I12" s="541">
        <v>1.69752457004105E-2</v>
      </c>
      <c r="J12" s="542">
        <v>235003.27519246752</v>
      </c>
      <c r="K12" s="543">
        <v>34.261716691604988</v>
      </c>
      <c r="L12" s="540">
        <v>17.343692194715651</v>
      </c>
      <c r="M12" s="540">
        <v>3.6038840924084474</v>
      </c>
      <c r="N12" s="539">
        <v>1.9946191683966599</v>
      </c>
      <c r="O12" s="544"/>
      <c r="P12" s="167"/>
      <c r="Q12" s="233" t="s">
        <v>448</v>
      </c>
      <c r="R12" s="234">
        <v>2500</v>
      </c>
      <c r="S12" s="235" t="s">
        <v>449</v>
      </c>
    </row>
    <row r="13" spans="1:19" x14ac:dyDescent="0.2">
      <c r="A13" s="530" t="s">
        <v>236</v>
      </c>
      <c r="B13" s="531">
        <v>3</v>
      </c>
      <c r="C13" s="537">
        <v>2</v>
      </c>
      <c r="D13" s="538">
        <v>17.145389063033416</v>
      </c>
      <c r="E13" s="539">
        <v>163</v>
      </c>
      <c r="F13" s="540">
        <v>0.29405743440736681</v>
      </c>
      <c r="G13" s="540">
        <v>4.0559646125154038E-2</v>
      </c>
      <c r="H13" s="541">
        <v>5.4079528166872054E-3</v>
      </c>
      <c r="I13" s="541">
        <v>2.3380000000000001E-2</v>
      </c>
      <c r="J13" s="542">
        <v>8384.0952518233407</v>
      </c>
      <c r="K13" s="543">
        <v>1.2327027697890787</v>
      </c>
      <c r="L13" s="540">
        <v>0.17002796824676947</v>
      </c>
      <c r="M13" s="540">
        <v>2.2670395766235932E-2</v>
      </c>
      <c r="N13" s="539">
        <v>9.8010073493814853E-2</v>
      </c>
      <c r="O13" s="544"/>
      <c r="P13" s="167"/>
      <c r="Q13" s="162" t="s">
        <v>450</v>
      </c>
      <c r="R13" s="182">
        <v>2250</v>
      </c>
      <c r="S13" s="163" t="s">
        <v>444</v>
      </c>
    </row>
    <row r="14" spans="1:19" x14ac:dyDescent="0.2">
      <c r="A14" s="530" t="s">
        <v>237</v>
      </c>
      <c r="B14" s="531">
        <v>1</v>
      </c>
      <c r="C14" s="537">
        <v>2</v>
      </c>
      <c r="D14" s="538">
        <v>17.145389063033416</v>
      </c>
      <c r="E14" s="539">
        <v>53.6</v>
      </c>
      <c r="F14" s="540">
        <v>0.26492537313432835</v>
      </c>
      <c r="G14" s="540">
        <v>0.49789473684210533</v>
      </c>
      <c r="H14" s="540">
        <v>0.20105263157894737</v>
      </c>
      <c r="I14" s="540">
        <v>0.23473684210526316</v>
      </c>
      <c r="J14" s="542">
        <v>918.9928537785911</v>
      </c>
      <c r="K14" s="543">
        <v>0.12173226234753724</v>
      </c>
      <c r="L14" s="540">
        <v>0.2287808525459335</v>
      </c>
      <c r="M14" s="540">
        <v>9.2382965827216265E-2</v>
      </c>
      <c r="N14" s="539">
        <v>0.10786074020664516</v>
      </c>
      <c r="O14" s="544"/>
      <c r="Q14" s="162" t="s">
        <v>451</v>
      </c>
      <c r="R14" s="162">
        <v>750</v>
      </c>
      <c r="S14" s="163" t="s">
        <v>452</v>
      </c>
    </row>
    <row r="15" spans="1:19" x14ac:dyDescent="0.2">
      <c r="A15" s="530" t="s">
        <v>239</v>
      </c>
      <c r="B15" s="531">
        <v>1</v>
      </c>
      <c r="C15" s="537">
        <v>2</v>
      </c>
      <c r="D15" s="538">
        <v>17.145389063033416</v>
      </c>
      <c r="E15" s="539">
        <v>103.2</v>
      </c>
      <c r="F15" s="540">
        <v>0.32</v>
      </c>
      <c r="G15" s="540">
        <v>0.21435897435897436</v>
      </c>
      <c r="H15" s="541">
        <v>3.7435897435897432E-2</v>
      </c>
      <c r="I15" s="541">
        <v>2.3379999999999998E-2</v>
      </c>
      <c r="J15" s="542">
        <v>1769.4041513050486</v>
      </c>
      <c r="K15" s="543">
        <v>0.28310466420880775</v>
      </c>
      <c r="L15" s="540">
        <v>0.18964382955013084</v>
      </c>
      <c r="M15" s="540">
        <v>3.3119616165453475E-2</v>
      </c>
      <c r="N15" s="539">
        <v>2.0684334528756013E-2</v>
      </c>
      <c r="O15" s="544"/>
      <c r="Q15" s="162" t="s">
        <v>453</v>
      </c>
      <c r="R15" s="182">
        <v>1500</v>
      </c>
      <c r="S15" s="163" t="s">
        <v>452</v>
      </c>
    </row>
    <row r="16" spans="1:19" ht="5.85" customHeight="1" x14ac:dyDescent="0.2">
      <c r="A16" s="545"/>
      <c r="B16" s="546"/>
      <c r="C16" s="547"/>
      <c r="D16" s="547"/>
      <c r="E16" s="548"/>
      <c r="F16" s="547"/>
      <c r="G16" s="549"/>
      <c r="H16" s="549"/>
      <c r="I16" s="549"/>
      <c r="J16" s="550"/>
      <c r="K16" s="551"/>
      <c r="L16" s="549"/>
      <c r="M16" s="552"/>
      <c r="N16" s="553"/>
      <c r="O16" s="487"/>
    </row>
    <row r="17" spans="1:16" ht="14.85" customHeight="1" x14ac:dyDescent="0.2">
      <c r="A17" s="487"/>
      <c r="B17" s="487"/>
      <c r="C17" s="506"/>
      <c r="D17" s="506"/>
      <c r="E17" s="554"/>
      <c r="F17" s="554"/>
      <c r="G17" s="487"/>
      <c r="H17" s="758" t="s">
        <v>454</v>
      </c>
      <c r="I17" s="759"/>
      <c r="J17" s="555">
        <f>ROUNDUP(SUM(J6:J16),0)</f>
        <v>269504</v>
      </c>
      <c r="K17" s="556">
        <f t="shared" ref="K17:N17" si="0">SUM(K6:K16)</f>
        <v>39</v>
      </c>
      <c r="L17" s="556">
        <f t="shared" si="0"/>
        <v>19.143168748398878</v>
      </c>
      <c r="M17" s="556">
        <f t="shared" si="0"/>
        <v>4.0620810274643153</v>
      </c>
      <c r="N17" s="557">
        <f t="shared" si="0"/>
        <v>2.4950413195337466</v>
      </c>
      <c r="O17" s="487"/>
    </row>
    <row r="18" spans="1:16" x14ac:dyDescent="0.2">
      <c r="A18" s="487"/>
      <c r="B18" s="487"/>
      <c r="C18" s="506"/>
      <c r="D18" s="506"/>
      <c r="E18" s="554"/>
      <c r="F18" s="554"/>
      <c r="G18" s="487"/>
      <c r="H18" s="558"/>
      <c r="I18" s="558"/>
      <c r="J18" s="554"/>
      <c r="K18" s="559"/>
      <c r="L18" s="559"/>
      <c r="M18" s="559"/>
      <c r="N18" s="559"/>
      <c r="O18" s="487"/>
    </row>
    <row r="19" spans="1:16" ht="24.6" customHeight="1" x14ac:dyDescent="0.2">
      <c r="A19" s="749" t="s">
        <v>455</v>
      </c>
      <c r="B19" s="749"/>
      <c r="C19" s="749"/>
      <c r="D19" s="749"/>
      <c r="E19" s="749"/>
      <c r="F19" s="749"/>
      <c r="G19" s="749"/>
      <c r="H19" s="749"/>
      <c r="I19" s="749"/>
      <c r="J19" s="749"/>
      <c r="K19" s="749"/>
      <c r="L19" s="749"/>
      <c r="M19" s="749"/>
      <c r="N19" s="749"/>
      <c r="O19" s="560"/>
      <c r="P19" s="168"/>
    </row>
    <row r="20" spans="1:16" ht="152.44999999999999" customHeight="1" x14ac:dyDescent="0.2">
      <c r="A20" s="750" t="s">
        <v>456</v>
      </c>
      <c r="B20" s="750"/>
      <c r="C20" s="750"/>
      <c r="D20" s="750"/>
      <c r="E20" s="750"/>
      <c r="F20" s="750"/>
      <c r="G20" s="750"/>
      <c r="H20" s="750"/>
      <c r="I20" s="750"/>
      <c r="J20" s="750"/>
      <c r="K20" s="750"/>
      <c r="L20" s="750"/>
      <c r="M20" s="750"/>
      <c r="N20" s="750"/>
      <c r="O20" s="169"/>
      <c r="P20" s="169"/>
    </row>
    <row r="21" spans="1:16" ht="14.25" customHeight="1" x14ac:dyDescent="0.2">
      <c r="A21" s="751" t="s">
        <v>457</v>
      </c>
      <c r="B21" s="751"/>
      <c r="C21" s="751"/>
      <c r="D21" s="751"/>
      <c r="E21" s="751"/>
      <c r="F21" s="751"/>
      <c r="G21" s="751"/>
      <c r="H21" s="751"/>
      <c r="I21" s="751"/>
      <c r="J21" s="751"/>
      <c r="K21" s="751"/>
      <c r="L21" s="751"/>
      <c r="M21" s="751"/>
      <c r="N21" s="751"/>
      <c r="O21" s="170"/>
      <c r="P21" s="170"/>
    </row>
  </sheetData>
  <mergeCells count="9">
    <mergeCell ref="Q4:R4"/>
    <mergeCell ref="A19:N19"/>
    <mergeCell ref="A20:N20"/>
    <mergeCell ref="A21:N21"/>
    <mergeCell ref="C4:C5"/>
    <mergeCell ref="F4:I4"/>
    <mergeCell ref="J4:J5"/>
    <mergeCell ref="K4:N4"/>
    <mergeCell ref="H17:I17"/>
  </mergeCells>
  <pageMargins left="0.7" right="0.7" top="0.75" bottom="0.75" header="0.3" footer="0.3"/>
  <pageSetup scale="77" fitToHeight="0"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0F0B1-5A5A-43FF-8BB8-17DC5B0228F8}">
  <dimension ref="A1:M99"/>
  <sheetViews>
    <sheetView topLeftCell="A73" workbookViewId="0">
      <selection activeCell="C99" sqref="C99"/>
    </sheetView>
  </sheetViews>
  <sheetFormatPr defaultColWidth="8.85546875" defaultRowHeight="15" x14ac:dyDescent="0.25"/>
  <cols>
    <col min="1" max="1" width="10.42578125" style="2" bestFit="1" customWidth="1"/>
    <col min="2" max="2" width="8.85546875" style="2"/>
    <col min="3" max="3" width="28" style="2" bestFit="1" customWidth="1"/>
    <col min="4" max="9" width="8.85546875" style="2"/>
    <col min="10" max="10" width="21.5703125" style="2" bestFit="1" customWidth="1"/>
    <col min="11" max="11" width="8.85546875" style="2"/>
    <col min="12" max="12" width="20.28515625" style="2" customWidth="1"/>
    <col min="13" max="16384" width="8.85546875" style="2"/>
  </cols>
  <sheetData>
    <row r="1" spans="1:13" x14ac:dyDescent="0.25">
      <c r="A1" s="2" t="s">
        <v>458</v>
      </c>
      <c r="B1" s="2" t="s">
        <v>217</v>
      </c>
      <c r="C1" s="2" t="s">
        <v>459</v>
      </c>
      <c r="E1" s="433"/>
      <c r="J1" s="760" t="s">
        <v>460</v>
      </c>
      <c r="K1" s="760"/>
      <c r="L1" s="69"/>
    </row>
    <row r="2" spans="1:13" x14ac:dyDescent="0.25">
      <c r="A2" s="2" t="s">
        <v>249</v>
      </c>
      <c r="B2" s="342" t="s">
        <v>232</v>
      </c>
      <c r="C2" s="2" t="str">
        <f t="shared" ref="C2:C7" si="0">CONCATENATE($J$8, " ", $K$8,"kW",$L$8)</f>
        <v>CAT 3516C 2000kW</v>
      </c>
      <c r="E2" s="570"/>
      <c r="L2" s="69"/>
    </row>
    <row r="3" spans="1:13" x14ac:dyDescent="0.25">
      <c r="A3" s="2" t="s">
        <v>252</v>
      </c>
      <c r="B3" s="342" t="s">
        <v>232</v>
      </c>
      <c r="C3" s="2" t="str">
        <f t="shared" si="0"/>
        <v>CAT 3516C 2000kW</v>
      </c>
      <c r="E3" s="570"/>
      <c r="I3" s="2" t="s">
        <v>461</v>
      </c>
      <c r="J3" s="69" t="s">
        <v>441</v>
      </c>
      <c r="K3" s="69" t="s">
        <v>442</v>
      </c>
      <c r="L3" s="69"/>
    </row>
    <row r="4" spans="1:13" x14ac:dyDescent="0.25">
      <c r="A4" s="2" t="s">
        <v>253</v>
      </c>
      <c r="B4" s="342" t="s">
        <v>232</v>
      </c>
      <c r="C4" s="2" t="str">
        <f t="shared" si="0"/>
        <v>CAT 3516C 2000kW</v>
      </c>
      <c r="E4" s="433"/>
      <c r="H4" s="433">
        <f>COUNTIF($B$2:$B$99,M4)</f>
        <v>3</v>
      </c>
      <c r="I4" s="259">
        <v>3</v>
      </c>
      <c r="J4" s="235" t="s">
        <v>443</v>
      </c>
      <c r="K4" s="257">
        <v>750</v>
      </c>
      <c r="L4" s="235"/>
      <c r="M4" s="166" t="s">
        <v>225</v>
      </c>
    </row>
    <row r="5" spans="1:13" x14ac:dyDescent="0.25">
      <c r="A5" s="2" t="s">
        <v>254</v>
      </c>
      <c r="B5" s="342" t="s">
        <v>232</v>
      </c>
      <c r="C5" s="2" t="str">
        <f t="shared" si="0"/>
        <v>CAT 3516C 2000kW</v>
      </c>
      <c r="E5" s="433"/>
      <c r="H5" s="433">
        <f t="shared" ref="H5:H12" si="1">COUNTIF($B$2:$B$99,M5)</f>
        <v>3</v>
      </c>
      <c r="I5" s="259">
        <v>3</v>
      </c>
      <c r="J5" s="235" t="s">
        <v>443</v>
      </c>
      <c r="K5" s="257">
        <v>800</v>
      </c>
      <c r="L5" s="235"/>
      <c r="M5" s="166" t="s">
        <v>226</v>
      </c>
    </row>
    <row r="6" spans="1:13" x14ac:dyDescent="0.25">
      <c r="A6" s="2" t="s">
        <v>255</v>
      </c>
      <c r="B6" s="342" t="s">
        <v>232</v>
      </c>
      <c r="C6" s="2" t="str">
        <f t="shared" si="0"/>
        <v>CAT 3516C 2000kW</v>
      </c>
      <c r="E6" s="433"/>
      <c r="H6" s="433">
        <f t="shared" si="1"/>
        <v>1</v>
      </c>
      <c r="I6" s="259">
        <v>1</v>
      </c>
      <c r="J6" s="235" t="s">
        <v>445</v>
      </c>
      <c r="K6" s="257">
        <v>1000</v>
      </c>
      <c r="L6" s="235"/>
      <c r="M6" s="166" t="s">
        <v>228</v>
      </c>
    </row>
    <row r="7" spans="1:13" x14ac:dyDescent="0.25">
      <c r="A7" s="2" t="s">
        <v>256</v>
      </c>
      <c r="B7" s="342" t="s">
        <v>232</v>
      </c>
      <c r="C7" s="2" t="str">
        <f t="shared" si="0"/>
        <v>CAT 3516C 2000kW</v>
      </c>
      <c r="E7" s="433"/>
      <c r="H7" s="433">
        <f t="shared" si="1"/>
        <v>1</v>
      </c>
      <c r="I7" s="259">
        <v>1</v>
      </c>
      <c r="J7" s="235" t="s">
        <v>446</v>
      </c>
      <c r="K7" s="257">
        <v>1825</v>
      </c>
      <c r="L7" s="235" t="s">
        <v>462</v>
      </c>
      <c r="M7" s="166" t="s">
        <v>230</v>
      </c>
    </row>
    <row r="8" spans="1:13" x14ac:dyDescent="0.25">
      <c r="A8" s="2" t="s">
        <v>257</v>
      </c>
      <c r="B8" s="342" t="s">
        <v>234</v>
      </c>
      <c r="C8" s="2" t="str">
        <f>CONCATENATE($J$9, " ", $K$9,"kW",$L$9)</f>
        <v>CAT 3516C 2500kW(Main)</v>
      </c>
      <c r="E8" s="433"/>
      <c r="H8" s="433">
        <f t="shared" si="1"/>
        <v>6</v>
      </c>
      <c r="I8" s="259">
        <v>6</v>
      </c>
      <c r="J8" s="235" t="s">
        <v>448</v>
      </c>
      <c r="K8" s="257">
        <v>2000</v>
      </c>
      <c r="L8" s="235"/>
      <c r="M8" s="166" t="s">
        <v>232</v>
      </c>
    </row>
    <row r="9" spans="1:13" x14ac:dyDescent="0.25">
      <c r="A9" s="2" t="s">
        <v>258</v>
      </c>
      <c r="B9" s="342" t="s">
        <v>234</v>
      </c>
      <c r="C9" s="2" t="str">
        <f>CONCATENATE($J$9, " ", $K$9,"kW",$L$9)</f>
        <v>CAT 3516C 2500kW(Main)</v>
      </c>
      <c r="E9" s="433"/>
      <c r="H9" s="433">
        <f t="shared" si="1"/>
        <v>79</v>
      </c>
      <c r="I9" s="259">
        <v>79</v>
      </c>
      <c r="J9" s="235" t="s">
        <v>448</v>
      </c>
      <c r="K9" s="257">
        <v>2500</v>
      </c>
      <c r="L9" s="235" t="s">
        <v>463</v>
      </c>
      <c r="M9" s="166" t="s">
        <v>234</v>
      </c>
    </row>
    <row r="10" spans="1:13" x14ac:dyDescent="0.25">
      <c r="A10" s="2" t="s">
        <v>259</v>
      </c>
      <c r="B10" s="342" t="s">
        <v>234</v>
      </c>
      <c r="C10" s="2" t="str">
        <f>CONCATENATE($J$9, " ", $K$9,"kW",$L$9)</f>
        <v>CAT 3516C 2500kW(Main)</v>
      </c>
      <c r="E10" s="433"/>
      <c r="H10" s="433">
        <f t="shared" si="1"/>
        <v>3</v>
      </c>
      <c r="I10" s="259">
        <v>3</v>
      </c>
      <c r="J10" s="163" t="s">
        <v>450</v>
      </c>
      <c r="K10" s="258">
        <v>2250</v>
      </c>
      <c r="L10" s="163"/>
      <c r="M10" s="166" t="s">
        <v>236</v>
      </c>
    </row>
    <row r="11" spans="1:13" x14ac:dyDescent="0.25">
      <c r="A11" s="2" t="s">
        <v>260</v>
      </c>
      <c r="B11" s="342" t="s">
        <v>236</v>
      </c>
      <c r="C11" s="2" t="str">
        <f>CONCATENATE($J$10, " ", $K$10,"kW",$L$10)</f>
        <v>MTU 2250 2250kW</v>
      </c>
      <c r="H11" s="433">
        <f t="shared" si="1"/>
        <v>1</v>
      </c>
      <c r="I11" s="259">
        <v>1</v>
      </c>
      <c r="J11" s="163" t="s">
        <v>451</v>
      </c>
      <c r="K11" s="163">
        <v>750</v>
      </c>
      <c r="L11" s="163" t="s">
        <v>464</v>
      </c>
      <c r="M11" s="166" t="s">
        <v>237</v>
      </c>
    </row>
    <row r="12" spans="1:13" x14ac:dyDescent="0.25">
      <c r="A12" s="2" t="s">
        <v>261</v>
      </c>
      <c r="B12" s="342" t="s">
        <v>236</v>
      </c>
      <c r="C12" s="2" t="str">
        <f>CONCATENATE($J$10, " ", $K$10,"kW",$L$10)</f>
        <v>MTU 2250 2250kW</v>
      </c>
      <c r="H12" s="433">
        <f t="shared" si="1"/>
        <v>1</v>
      </c>
      <c r="I12" s="259">
        <v>1</v>
      </c>
      <c r="J12" s="163" t="s">
        <v>453</v>
      </c>
      <c r="K12" s="258">
        <v>1500</v>
      </c>
      <c r="L12" s="163" t="s">
        <v>464</v>
      </c>
      <c r="M12" s="166" t="s">
        <v>239</v>
      </c>
    </row>
    <row r="13" spans="1:13" x14ac:dyDescent="0.25">
      <c r="A13" s="2" t="s">
        <v>262</v>
      </c>
      <c r="B13" s="342" t="s">
        <v>236</v>
      </c>
      <c r="C13" s="2" t="str">
        <f>CONCATENATE($J$10, " ", $K$10,"kW",$L$10)</f>
        <v>MTU 2250 2250kW</v>
      </c>
      <c r="H13" s="343" t="s">
        <v>465</v>
      </c>
      <c r="I13" s="344">
        <f>SUM(I4:I12)</f>
        <v>98</v>
      </c>
    </row>
    <row r="14" spans="1:13" x14ac:dyDescent="0.25">
      <c r="A14" s="2" t="s">
        <v>263</v>
      </c>
      <c r="B14" s="342" t="s">
        <v>234</v>
      </c>
      <c r="C14" s="2" t="str">
        <f t="shared" ref="C14:C45" si="2">CONCATENATE($J$9, " ", $K$9,"kW",$L$9)</f>
        <v>CAT 3516C 2500kW(Main)</v>
      </c>
    </row>
    <row r="15" spans="1:13" x14ac:dyDescent="0.25">
      <c r="A15" s="2" t="s">
        <v>264</v>
      </c>
      <c r="B15" s="342" t="s">
        <v>234</v>
      </c>
      <c r="C15" s="2" t="str">
        <f t="shared" si="2"/>
        <v>CAT 3516C 2500kW(Main)</v>
      </c>
    </row>
    <row r="16" spans="1:13" x14ac:dyDescent="0.25">
      <c r="A16" s="2" t="s">
        <v>265</v>
      </c>
      <c r="B16" s="342" t="s">
        <v>234</v>
      </c>
      <c r="C16" s="2" t="str">
        <f t="shared" si="2"/>
        <v>CAT 3516C 2500kW(Main)</v>
      </c>
    </row>
    <row r="17" spans="1:3" x14ac:dyDescent="0.25">
      <c r="A17" s="2" t="s">
        <v>266</v>
      </c>
      <c r="B17" s="342" t="s">
        <v>234</v>
      </c>
      <c r="C17" s="2" t="str">
        <f t="shared" si="2"/>
        <v>CAT 3516C 2500kW(Main)</v>
      </c>
    </row>
    <row r="18" spans="1:3" x14ac:dyDescent="0.25">
      <c r="A18" s="2" t="s">
        <v>267</v>
      </c>
      <c r="B18" s="342" t="s">
        <v>234</v>
      </c>
      <c r="C18" s="2" t="str">
        <f t="shared" si="2"/>
        <v>CAT 3516C 2500kW(Main)</v>
      </c>
    </row>
    <row r="19" spans="1:3" x14ac:dyDescent="0.25">
      <c r="A19" s="2" t="s">
        <v>268</v>
      </c>
      <c r="B19" s="342" t="s">
        <v>234</v>
      </c>
      <c r="C19" s="2" t="str">
        <f t="shared" si="2"/>
        <v>CAT 3516C 2500kW(Main)</v>
      </c>
    </row>
    <row r="20" spans="1:3" x14ac:dyDescent="0.25">
      <c r="A20" s="2" t="s">
        <v>269</v>
      </c>
      <c r="B20" s="342" t="s">
        <v>234</v>
      </c>
      <c r="C20" s="2" t="str">
        <f t="shared" si="2"/>
        <v>CAT 3516C 2500kW(Main)</v>
      </c>
    </row>
    <row r="21" spans="1:3" x14ac:dyDescent="0.25">
      <c r="A21" s="2" t="s">
        <v>270</v>
      </c>
      <c r="B21" s="342" t="s">
        <v>234</v>
      </c>
      <c r="C21" s="2" t="str">
        <f t="shared" si="2"/>
        <v>CAT 3516C 2500kW(Main)</v>
      </c>
    </row>
    <row r="22" spans="1:3" x14ac:dyDescent="0.25">
      <c r="A22" s="2" t="s">
        <v>271</v>
      </c>
      <c r="B22" s="342" t="s">
        <v>234</v>
      </c>
      <c r="C22" s="2" t="str">
        <f t="shared" si="2"/>
        <v>CAT 3516C 2500kW(Main)</v>
      </c>
    </row>
    <row r="23" spans="1:3" x14ac:dyDescent="0.25">
      <c r="A23" s="2" t="s">
        <v>272</v>
      </c>
      <c r="B23" s="342" t="s">
        <v>234</v>
      </c>
      <c r="C23" s="2" t="str">
        <f t="shared" si="2"/>
        <v>CAT 3516C 2500kW(Main)</v>
      </c>
    </row>
    <row r="24" spans="1:3" x14ac:dyDescent="0.25">
      <c r="A24" s="2" t="s">
        <v>273</v>
      </c>
      <c r="B24" s="342" t="s">
        <v>234</v>
      </c>
      <c r="C24" s="2" t="str">
        <f t="shared" si="2"/>
        <v>CAT 3516C 2500kW(Main)</v>
      </c>
    </row>
    <row r="25" spans="1:3" x14ac:dyDescent="0.25">
      <c r="A25" s="2" t="s">
        <v>274</v>
      </c>
      <c r="B25" s="342" t="s">
        <v>234</v>
      </c>
      <c r="C25" s="2" t="str">
        <f t="shared" si="2"/>
        <v>CAT 3516C 2500kW(Main)</v>
      </c>
    </row>
    <row r="26" spans="1:3" x14ac:dyDescent="0.25">
      <c r="A26" s="2" t="s">
        <v>275</v>
      </c>
      <c r="B26" s="342" t="s">
        <v>234</v>
      </c>
      <c r="C26" s="2" t="str">
        <f t="shared" si="2"/>
        <v>CAT 3516C 2500kW(Main)</v>
      </c>
    </row>
    <row r="27" spans="1:3" x14ac:dyDescent="0.25">
      <c r="A27" s="2" t="s">
        <v>276</v>
      </c>
      <c r="B27" s="342" t="s">
        <v>234</v>
      </c>
      <c r="C27" s="2" t="str">
        <f t="shared" si="2"/>
        <v>CAT 3516C 2500kW(Main)</v>
      </c>
    </row>
    <row r="28" spans="1:3" x14ac:dyDescent="0.25">
      <c r="A28" s="2" t="s">
        <v>277</v>
      </c>
      <c r="B28" s="342" t="s">
        <v>234</v>
      </c>
      <c r="C28" s="2" t="str">
        <f t="shared" si="2"/>
        <v>CAT 3516C 2500kW(Main)</v>
      </c>
    </row>
    <row r="29" spans="1:3" x14ac:dyDescent="0.25">
      <c r="A29" s="2" t="s">
        <v>278</v>
      </c>
      <c r="B29" s="342" t="s">
        <v>234</v>
      </c>
      <c r="C29" s="2" t="str">
        <f t="shared" si="2"/>
        <v>CAT 3516C 2500kW(Main)</v>
      </c>
    </row>
    <row r="30" spans="1:3" x14ac:dyDescent="0.25">
      <c r="A30" s="2" t="s">
        <v>279</v>
      </c>
      <c r="B30" s="342" t="s">
        <v>234</v>
      </c>
      <c r="C30" s="2" t="str">
        <f t="shared" si="2"/>
        <v>CAT 3516C 2500kW(Main)</v>
      </c>
    </row>
    <row r="31" spans="1:3" x14ac:dyDescent="0.25">
      <c r="A31" s="2" t="s">
        <v>280</v>
      </c>
      <c r="B31" s="342" t="s">
        <v>234</v>
      </c>
      <c r="C31" s="2" t="str">
        <f t="shared" si="2"/>
        <v>CAT 3516C 2500kW(Main)</v>
      </c>
    </row>
    <row r="32" spans="1:3" x14ac:dyDescent="0.25">
      <c r="A32" s="2" t="s">
        <v>281</v>
      </c>
      <c r="B32" s="342" t="s">
        <v>234</v>
      </c>
      <c r="C32" s="2" t="str">
        <f t="shared" si="2"/>
        <v>CAT 3516C 2500kW(Main)</v>
      </c>
    </row>
    <row r="33" spans="1:3" x14ac:dyDescent="0.25">
      <c r="A33" s="2" t="s">
        <v>282</v>
      </c>
      <c r="B33" s="342" t="s">
        <v>234</v>
      </c>
      <c r="C33" s="2" t="str">
        <f t="shared" si="2"/>
        <v>CAT 3516C 2500kW(Main)</v>
      </c>
    </row>
    <row r="34" spans="1:3" x14ac:dyDescent="0.25">
      <c r="A34" s="2" t="s">
        <v>283</v>
      </c>
      <c r="B34" s="342" t="s">
        <v>234</v>
      </c>
      <c r="C34" s="2" t="str">
        <f t="shared" si="2"/>
        <v>CAT 3516C 2500kW(Main)</v>
      </c>
    </row>
    <row r="35" spans="1:3" x14ac:dyDescent="0.25">
      <c r="A35" s="2" t="s">
        <v>284</v>
      </c>
      <c r="B35" s="342" t="s">
        <v>234</v>
      </c>
      <c r="C35" s="2" t="str">
        <f t="shared" si="2"/>
        <v>CAT 3516C 2500kW(Main)</v>
      </c>
    </row>
    <row r="36" spans="1:3" x14ac:dyDescent="0.25">
      <c r="A36" s="2" t="s">
        <v>285</v>
      </c>
      <c r="B36" s="342" t="s">
        <v>234</v>
      </c>
      <c r="C36" s="2" t="str">
        <f t="shared" si="2"/>
        <v>CAT 3516C 2500kW(Main)</v>
      </c>
    </row>
    <row r="37" spans="1:3" x14ac:dyDescent="0.25">
      <c r="A37" s="2" t="s">
        <v>286</v>
      </c>
      <c r="B37" s="342" t="s">
        <v>234</v>
      </c>
      <c r="C37" s="2" t="str">
        <f t="shared" si="2"/>
        <v>CAT 3516C 2500kW(Main)</v>
      </c>
    </row>
    <row r="38" spans="1:3" x14ac:dyDescent="0.25">
      <c r="A38" s="2" t="s">
        <v>287</v>
      </c>
      <c r="B38" s="342" t="s">
        <v>234</v>
      </c>
      <c r="C38" s="2" t="str">
        <f t="shared" si="2"/>
        <v>CAT 3516C 2500kW(Main)</v>
      </c>
    </row>
    <row r="39" spans="1:3" x14ac:dyDescent="0.25">
      <c r="A39" s="2" t="s">
        <v>288</v>
      </c>
      <c r="B39" s="342" t="s">
        <v>234</v>
      </c>
      <c r="C39" s="2" t="str">
        <f t="shared" si="2"/>
        <v>CAT 3516C 2500kW(Main)</v>
      </c>
    </row>
    <row r="40" spans="1:3" x14ac:dyDescent="0.25">
      <c r="A40" s="2" t="s">
        <v>289</v>
      </c>
      <c r="B40" s="342" t="s">
        <v>234</v>
      </c>
      <c r="C40" s="2" t="str">
        <f t="shared" si="2"/>
        <v>CAT 3516C 2500kW(Main)</v>
      </c>
    </row>
    <row r="41" spans="1:3" x14ac:dyDescent="0.25">
      <c r="A41" s="2" t="s">
        <v>290</v>
      </c>
      <c r="B41" s="342" t="s">
        <v>234</v>
      </c>
      <c r="C41" s="2" t="str">
        <f t="shared" si="2"/>
        <v>CAT 3516C 2500kW(Main)</v>
      </c>
    </row>
    <row r="42" spans="1:3" x14ac:dyDescent="0.25">
      <c r="A42" s="2" t="s">
        <v>291</v>
      </c>
      <c r="B42" s="342" t="s">
        <v>234</v>
      </c>
      <c r="C42" s="2" t="str">
        <f t="shared" si="2"/>
        <v>CAT 3516C 2500kW(Main)</v>
      </c>
    </row>
    <row r="43" spans="1:3" x14ac:dyDescent="0.25">
      <c r="A43" s="2" t="s">
        <v>292</v>
      </c>
      <c r="B43" s="342" t="s">
        <v>234</v>
      </c>
      <c r="C43" s="2" t="str">
        <f t="shared" si="2"/>
        <v>CAT 3516C 2500kW(Main)</v>
      </c>
    </row>
    <row r="44" spans="1:3" x14ac:dyDescent="0.25">
      <c r="A44" s="2" t="s">
        <v>293</v>
      </c>
      <c r="B44" s="342" t="s">
        <v>234</v>
      </c>
      <c r="C44" s="2" t="str">
        <f t="shared" si="2"/>
        <v>CAT 3516C 2500kW(Main)</v>
      </c>
    </row>
    <row r="45" spans="1:3" x14ac:dyDescent="0.25">
      <c r="A45" s="2" t="s">
        <v>294</v>
      </c>
      <c r="B45" s="342" t="s">
        <v>234</v>
      </c>
      <c r="C45" s="2" t="str">
        <f t="shared" si="2"/>
        <v>CAT 3516C 2500kW(Main)</v>
      </c>
    </row>
    <row r="46" spans="1:3" x14ac:dyDescent="0.25">
      <c r="A46" s="2" t="s">
        <v>295</v>
      </c>
      <c r="B46" s="342" t="s">
        <v>234</v>
      </c>
      <c r="C46" s="2" t="str">
        <f t="shared" ref="C46:C77" si="3">CONCATENATE($J$9, " ", $K$9,"kW",$L$9)</f>
        <v>CAT 3516C 2500kW(Main)</v>
      </c>
    </row>
    <row r="47" spans="1:3" x14ac:dyDescent="0.25">
      <c r="A47" s="2" t="s">
        <v>296</v>
      </c>
      <c r="B47" s="342" t="s">
        <v>234</v>
      </c>
      <c r="C47" s="2" t="str">
        <f t="shared" si="3"/>
        <v>CAT 3516C 2500kW(Main)</v>
      </c>
    </row>
    <row r="48" spans="1:3" x14ac:dyDescent="0.25">
      <c r="A48" s="2" t="s">
        <v>297</v>
      </c>
      <c r="B48" s="342" t="s">
        <v>234</v>
      </c>
      <c r="C48" s="2" t="str">
        <f t="shared" si="3"/>
        <v>CAT 3516C 2500kW(Main)</v>
      </c>
    </row>
    <row r="49" spans="1:3" x14ac:dyDescent="0.25">
      <c r="A49" s="2" t="s">
        <v>298</v>
      </c>
      <c r="B49" s="342" t="s">
        <v>234</v>
      </c>
      <c r="C49" s="2" t="str">
        <f t="shared" si="3"/>
        <v>CAT 3516C 2500kW(Main)</v>
      </c>
    </row>
    <row r="50" spans="1:3" x14ac:dyDescent="0.25">
      <c r="A50" s="2" t="s">
        <v>299</v>
      </c>
      <c r="B50" s="342" t="s">
        <v>234</v>
      </c>
      <c r="C50" s="2" t="str">
        <f t="shared" si="3"/>
        <v>CAT 3516C 2500kW(Main)</v>
      </c>
    </row>
    <row r="51" spans="1:3" x14ac:dyDescent="0.25">
      <c r="A51" s="2" t="s">
        <v>300</v>
      </c>
      <c r="B51" s="342" t="s">
        <v>234</v>
      </c>
      <c r="C51" s="2" t="str">
        <f t="shared" si="3"/>
        <v>CAT 3516C 2500kW(Main)</v>
      </c>
    </row>
    <row r="52" spans="1:3" x14ac:dyDescent="0.25">
      <c r="A52" s="2" t="s">
        <v>301</v>
      </c>
      <c r="B52" s="342" t="s">
        <v>234</v>
      </c>
      <c r="C52" s="2" t="str">
        <f t="shared" si="3"/>
        <v>CAT 3516C 2500kW(Main)</v>
      </c>
    </row>
    <row r="53" spans="1:3" x14ac:dyDescent="0.25">
      <c r="A53" s="2" t="s">
        <v>302</v>
      </c>
      <c r="B53" s="342" t="s">
        <v>234</v>
      </c>
      <c r="C53" s="2" t="str">
        <f t="shared" si="3"/>
        <v>CAT 3516C 2500kW(Main)</v>
      </c>
    </row>
    <row r="54" spans="1:3" x14ac:dyDescent="0.25">
      <c r="A54" s="2" t="s">
        <v>303</v>
      </c>
      <c r="B54" s="342" t="s">
        <v>234</v>
      </c>
      <c r="C54" s="2" t="str">
        <f t="shared" si="3"/>
        <v>CAT 3516C 2500kW(Main)</v>
      </c>
    </row>
    <row r="55" spans="1:3" x14ac:dyDescent="0.25">
      <c r="A55" s="2" t="s">
        <v>304</v>
      </c>
      <c r="B55" s="342" t="s">
        <v>234</v>
      </c>
      <c r="C55" s="2" t="str">
        <f t="shared" si="3"/>
        <v>CAT 3516C 2500kW(Main)</v>
      </c>
    </row>
    <row r="56" spans="1:3" x14ac:dyDescent="0.25">
      <c r="A56" s="2" t="s">
        <v>305</v>
      </c>
      <c r="B56" s="342" t="s">
        <v>234</v>
      </c>
      <c r="C56" s="2" t="str">
        <f t="shared" si="3"/>
        <v>CAT 3516C 2500kW(Main)</v>
      </c>
    </row>
    <row r="57" spans="1:3" x14ac:dyDescent="0.25">
      <c r="A57" s="2" t="s">
        <v>306</v>
      </c>
      <c r="B57" s="342" t="s">
        <v>234</v>
      </c>
      <c r="C57" s="2" t="str">
        <f t="shared" si="3"/>
        <v>CAT 3516C 2500kW(Main)</v>
      </c>
    </row>
    <row r="58" spans="1:3" x14ac:dyDescent="0.25">
      <c r="A58" s="2" t="s">
        <v>307</v>
      </c>
      <c r="B58" s="342" t="s">
        <v>234</v>
      </c>
      <c r="C58" s="2" t="str">
        <f t="shared" si="3"/>
        <v>CAT 3516C 2500kW(Main)</v>
      </c>
    </row>
    <row r="59" spans="1:3" x14ac:dyDescent="0.25">
      <c r="A59" s="2" t="s">
        <v>308</v>
      </c>
      <c r="B59" s="342" t="s">
        <v>234</v>
      </c>
      <c r="C59" s="2" t="str">
        <f t="shared" si="3"/>
        <v>CAT 3516C 2500kW(Main)</v>
      </c>
    </row>
    <row r="60" spans="1:3" x14ac:dyDescent="0.25">
      <c r="A60" s="2" t="s">
        <v>309</v>
      </c>
      <c r="B60" s="342" t="s">
        <v>234</v>
      </c>
      <c r="C60" s="2" t="str">
        <f t="shared" si="3"/>
        <v>CAT 3516C 2500kW(Main)</v>
      </c>
    </row>
    <row r="61" spans="1:3" x14ac:dyDescent="0.25">
      <c r="A61" s="2" t="s">
        <v>310</v>
      </c>
      <c r="B61" s="342" t="s">
        <v>234</v>
      </c>
      <c r="C61" s="2" t="str">
        <f t="shared" si="3"/>
        <v>CAT 3516C 2500kW(Main)</v>
      </c>
    </row>
    <row r="62" spans="1:3" x14ac:dyDescent="0.25">
      <c r="A62" s="2" t="s">
        <v>311</v>
      </c>
      <c r="B62" s="342" t="s">
        <v>234</v>
      </c>
      <c r="C62" s="2" t="str">
        <f t="shared" si="3"/>
        <v>CAT 3516C 2500kW(Main)</v>
      </c>
    </row>
    <row r="63" spans="1:3" x14ac:dyDescent="0.25">
      <c r="A63" s="2" t="s">
        <v>312</v>
      </c>
      <c r="B63" s="342" t="s">
        <v>234</v>
      </c>
      <c r="C63" s="2" t="str">
        <f t="shared" si="3"/>
        <v>CAT 3516C 2500kW(Main)</v>
      </c>
    </row>
    <row r="64" spans="1:3" x14ac:dyDescent="0.25">
      <c r="A64" s="2" t="s">
        <v>313</v>
      </c>
      <c r="B64" s="342" t="s">
        <v>234</v>
      </c>
      <c r="C64" s="2" t="str">
        <f t="shared" si="3"/>
        <v>CAT 3516C 2500kW(Main)</v>
      </c>
    </row>
    <row r="65" spans="1:3" x14ac:dyDescent="0.25">
      <c r="A65" s="2" t="s">
        <v>314</v>
      </c>
      <c r="B65" s="342" t="s">
        <v>234</v>
      </c>
      <c r="C65" s="2" t="str">
        <f t="shared" si="3"/>
        <v>CAT 3516C 2500kW(Main)</v>
      </c>
    </row>
    <row r="66" spans="1:3" x14ac:dyDescent="0.25">
      <c r="A66" s="2" t="s">
        <v>315</v>
      </c>
      <c r="B66" s="342" t="s">
        <v>234</v>
      </c>
      <c r="C66" s="2" t="str">
        <f t="shared" si="3"/>
        <v>CAT 3516C 2500kW(Main)</v>
      </c>
    </row>
    <row r="67" spans="1:3" x14ac:dyDescent="0.25">
      <c r="A67" s="2" t="s">
        <v>316</v>
      </c>
      <c r="B67" s="342" t="s">
        <v>234</v>
      </c>
      <c r="C67" s="2" t="str">
        <f t="shared" si="3"/>
        <v>CAT 3516C 2500kW(Main)</v>
      </c>
    </row>
    <row r="68" spans="1:3" x14ac:dyDescent="0.25">
      <c r="A68" s="2" t="s">
        <v>317</v>
      </c>
      <c r="B68" s="342" t="s">
        <v>234</v>
      </c>
      <c r="C68" s="2" t="str">
        <f t="shared" si="3"/>
        <v>CAT 3516C 2500kW(Main)</v>
      </c>
    </row>
    <row r="69" spans="1:3" x14ac:dyDescent="0.25">
      <c r="A69" s="2" t="s">
        <v>318</v>
      </c>
      <c r="B69" s="342" t="s">
        <v>234</v>
      </c>
      <c r="C69" s="2" t="str">
        <f t="shared" si="3"/>
        <v>CAT 3516C 2500kW(Main)</v>
      </c>
    </row>
    <row r="70" spans="1:3" x14ac:dyDescent="0.25">
      <c r="A70" s="2" t="s">
        <v>319</v>
      </c>
      <c r="B70" s="342" t="s">
        <v>234</v>
      </c>
      <c r="C70" s="2" t="str">
        <f t="shared" si="3"/>
        <v>CAT 3516C 2500kW(Main)</v>
      </c>
    </row>
    <row r="71" spans="1:3" x14ac:dyDescent="0.25">
      <c r="A71" s="2" t="s">
        <v>320</v>
      </c>
      <c r="B71" s="342" t="s">
        <v>234</v>
      </c>
      <c r="C71" s="2" t="str">
        <f t="shared" si="3"/>
        <v>CAT 3516C 2500kW(Main)</v>
      </c>
    </row>
    <row r="72" spans="1:3" x14ac:dyDescent="0.25">
      <c r="A72" s="2" t="s">
        <v>321</v>
      </c>
      <c r="B72" s="342" t="s">
        <v>234</v>
      </c>
      <c r="C72" s="2" t="str">
        <f t="shared" si="3"/>
        <v>CAT 3516C 2500kW(Main)</v>
      </c>
    </row>
    <row r="73" spans="1:3" x14ac:dyDescent="0.25">
      <c r="A73" s="2" t="s">
        <v>322</v>
      </c>
      <c r="B73" s="342" t="s">
        <v>234</v>
      </c>
      <c r="C73" s="2" t="str">
        <f t="shared" si="3"/>
        <v>CAT 3516C 2500kW(Main)</v>
      </c>
    </row>
    <row r="74" spans="1:3" x14ac:dyDescent="0.25">
      <c r="A74" s="2" t="s">
        <v>323</v>
      </c>
      <c r="B74" s="342" t="s">
        <v>234</v>
      </c>
      <c r="C74" s="2" t="str">
        <f t="shared" si="3"/>
        <v>CAT 3516C 2500kW(Main)</v>
      </c>
    </row>
    <row r="75" spans="1:3" x14ac:dyDescent="0.25">
      <c r="A75" s="2" t="s">
        <v>324</v>
      </c>
      <c r="B75" s="342" t="s">
        <v>234</v>
      </c>
      <c r="C75" s="2" t="str">
        <f t="shared" si="3"/>
        <v>CAT 3516C 2500kW(Main)</v>
      </c>
    </row>
    <row r="76" spans="1:3" x14ac:dyDescent="0.25">
      <c r="A76" s="2" t="s">
        <v>325</v>
      </c>
      <c r="B76" s="342" t="s">
        <v>234</v>
      </c>
      <c r="C76" s="2" t="str">
        <f t="shared" si="3"/>
        <v>CAT 3516C 2500kW(Main)</v>
      </c>
    </row>
    <row r="77" spans="1:3" x14ac:dyDescent="0.25">
      <c r="A77" s="2" t="s">
        <v>326</v>
      </c>
      <c r="B77" s="342" t="s">
        <v>234</v>
      </c>
      <c r="C77" s="2" t="str">
        <f t="shared" si="3"/>
        <v>CAT 3516C 2500kW(Main)</v>
      </c>
    </row>
    <row r="78" spans="1:3" x14ac:dyDescent="0.25">
      <c r="A78" s="2" t="s">
        <v>327</v>
      </c>
      <c r="B78" s="342" t="s">
        <v>234</v>
      </c>
      <c r="C78" s="2" t="str">
        <f t="shared" ref="C78:C89" si="4">CONCATENATE($J$9, " ", $K$9,"kW",$L$9)</f>
        <v>CAT 3516C 2500kW(Main)</v>
      </c>
    </row>
    <row r="79" spans="1:3" x14ac:dyDescent="0.25">
      <c r="A79" s="2" t="s">
        <v>328</v>
      </c>
      <c r="B79" s="342" t="s">
        <v>234</v>
      </c>
      <c r="C79" s="2" t="str">
        <f t="shared" si="4"/>
        <v>CAT 3516C 2500kW(Main)</v>
      </c>
    </row>
    <row r="80" spans="1:3" x14ac:dyDescent="0.25">
      <c r="A80" s="2" t="s">
        <v>329</v>
      </c>
      <c r="B80" s="342" t="s">
        <v>234</v>
      </c>
      <c r="C80" s="2" t="str">
        <f t="shared" si="4"/>
        <v>CAT 3516C 2500kW(Main)</v>
      </c>
    </row>
    <row r="81" spans="1:3" x14ac:dyDescent="0.25">
      <c r="A81" s="2" t="s">
        <v>330</v>
      </c>
      <c r="B81" s="342" t="s">
        <v>234</v>
      </c>
      <c r="C81" s="2" t="str">
        <f t="shared" si="4"/>
        <v>CAT 3516C 2500kW(Main)</v>
      </c>
    </row>
    <row r="82" spans="1:3" x14ac:dyDescent="0.25">
      <c r="A82" s="2" t="s">
        <v>331</v>
      </c>
      <c r="B82" s="342" t="s">
        <v>234</v>
      </c>
      <c r="C82" s="2" t="str">
        <f t="shared" si="4"/>
        <v>CAT 3516C 2500kW(Main)</v>
      </c>
    </row>
    <row r="83" spans="1:3" x14ac:dyDescent="0.25">
      <c r="A83" s="2" t="s">
        <v>332</v>
      </c>
      <c r="B83" s="342" t="s">
        <v>234</v>
      </c>
      <c r="C83" s="2" t="str">
        <f t="shared" si="4"/>
        <v>CAT 3516C 2500kW(Main)</v>
      </c>
    </row>
    <row r="84" spans="1:3" x14ac:dyDescent="0.25">
      <c r="A84" s="2" t="s">
        <v>333</v>
      </c>
      <c r="B84" s="342" t="s">
        <v>234</v>
      </c>
      <c r="C84" s="2" t="str">
        <f t="shared" si="4"/>
        <v>CAT 3516C 2500kW(Main)</v>
      </c>
    </row>
    <row r="85" spans="1:3" x14ac:dyDescent="0.25">
      <c r="A85" s="2" t="s">
        <v>334</v>
      </c>
      <c r="B85" s="342" t="s">
        <v>234</v>
      </c>
      <c r="C85" s="2" t="str">
        <f t="shared" si="4"/>
        <v>CAT 3516C 2500kW(Main)</v>
      </c>
    </row>
    <row r="86" spans="1:3" x14ac:dyDescent="0.25">
      <c r="A86" s="2" t="s">
        <v>335</v>
      </c>
      <c r="B86" s="342" t="s">
        <v>234</v>
      </c>
      <c r="C86" s="2" t="str">
        <f t="shared" si="4"/>
        <v>CAT 3516C 2500kW(Main)</v>
      </c>
    </row>
    <row r="87" spans="1:3" x14ac:dyDescent="0.25">
      <c r="A87" s="2" t="s">
        <v>336</v>
      </c>
      <c r="B87" s="342" t="s">
        <v>234</v>
      </c>
      <c r="C87" s="2" t="str">
        <f t="shared" si="4"/>
        <v>CAT 3516C 2500kW(Main)</v>
      </c>
    </row>
    <row r="88" spans="1:3" x14ac:dyDescent="0.25">
      <c r="A88" s="2" t="s">
        <v>337</v>
      </c>
      <c r="B88" s="342" t="s">
        <v>234</v>
      </c>
      <c r="C88" s="2" t="str">
        <f t="shared" si="4"/>
        <v>CAT 3516C 2500kW(Main)</v>
      </c>
    </row>
    <row r="89" spans="1:3" x14ac:dyDescent="0.25">
      <c r="A89" s="2" t="s">
        <v>338</v>
      </c>
      <c r="B89" s="342" t="s">
        <v>234</v>
      </c>
      <c r="C89" s="2" t="str">
        <f t="shared" si="4"/>
        <v>CAT 3516C 2500kW(Main)</v>
      </c>
    </row>
    <row r="90" spans="1:3" x14ac:dyDescent="0.25">
      <c r="A90" s="2" t="s">
        <v>339</v>
      </c>
      <c r="B90" s="342" t="s">
        <v>225</v>
      </c>
      <c r="C90" s="2" t="str">
        <f>CONCATENATE($J$4, " ", $K$4,"kW",$L$4)</f>
        <v>CAT C27 750kW</v>
      </c>
    </row>
    <row r="91" spans="1:3" x14ac:dyDescent="0.25">
      <c r="A91" s="2" t="s">
        <v>340</v>
      </c>
      <c r="B91" s="342" t="s">
        <v>226</v>
      </c>
      <c r="C91" s="2" t="str">
        <f>CONCATENATE($J$5, " ", $K$5,"kW",$L$5)</f>
        <v>CAT C27 800kW</v>
      </c>
    </row>
    <row r="92" spans="1:3" x14ac:dyDescent="0.25">
      <c r="A92" s="2" t="s">
        <v>341</v>
      </c>
      <c r="B92" s="2" t="s">
        <v>226</v>
      </c>
      <c r="C92" s="2" t="str">
        <f>CONCATENATE($J$5, " ", $K$5,"kW",$L$5)</f>
        <v>CAT C27 800kW</v>
      </c>
    </row>
    <row r="93" spans="1:3" x14ac:dyDescent="0.25">
      <c r="A93" s="2" t="s">
        <v>342</v>
      </c>
      <c r="B93" s="2" t="s">
        <v>225</v>
      </c>
      <c r="C93" s="2" t="str">
        <f>CONCATENATE($J$4, " ", $K$4,"kW",$L$4)</f>
        <v>CAT C27 750kW</v>
      </c>
    </row>
    <row r="94" spans="1:3" x14ac:dyDescent="0.25">
      <c r="A94" s="2" t="s">
        <v>343</v>
      </c>
      <c r="B94" s="2" t="s">
        <v>226</v>
      </c>
      <c r="C94" s="2" t="str">
        <f>CONCATENATE($J$5, " ", $K$5,"kW",$L$5)</f>
        <v>CAT C27 800kW</v>
      </c>
    </row>
    <row r="95" spans="1:3" x14ac:dyDescent="0.25">
      <c r="A95" s="2" t="s">
        <v>344</v>
      </c>
      <c r="B95" s="2" t="s">
        <v>225</v>
      </c>
      <c r="C95" s="2" t="str">
        <f>CONCATENATE($J$4, " ", $K$4,"kW",$L$4)</f>
        <v>CAT C27 750kW</v>
      </c>
    </row>
    <row r="96" spans="1:3" x14ac:dyDescent="0.25">
      <c r="A96" s="2" t="s">
        <v>345</v>
      </c>
      <c r="B96" s="2" t="s">
        <v>228</v>
      </c>
      <c r="C96" s="2" t="str">
        <f>CONCATENATE($J$6, " ", $K$6,"kW",$L$6)</f>
        <v>CAT C32 1000kW</v>
      </c>
    </row>
    <row r="97" spans="1:3" x14ac:dyDescent="0.25">
      <c r="A97" s="2" t="s">
        <v>346</v>
      </c>
      <c r="B97" s="2" t="s">
        <v>237</v>
      </c>
      <c r="C97" s="2" t="str">
        <f>CONCATENATE($J$11, " ", $K$11,"kW",$L$11)</f>
        <v>CAT C18 750kW(Ski Lodge)</v>
      </c>
    </row>
    <row r="98" spans="1:3" x14ac:dyDescent="0.25">
      <c r="A98" s="2" t="s">
        <v>347</v>
      </c>
      <c r="B98" s="2" t="s">
        <v>239</v>
      </c>
      <c r="C98" s="2" t="str">
        <f>CONCATENATE($J$12, " ", $K$12,"kW",$L$12)</f>
        <v>CAT 3512C  1500kW(Ski Lodge)</v>
      </c>
    </row>
    <row r="99" spans="1:3" x14ac:dyDescent="0.25">
      <c r="A99" s="2" t="s">
        <v>348</v>
      </c>
      <c r="B99" s="2" t="s">
        <v>230</v>
      </c>
      <c r="C99" s="2" t="str">
        <f>CONCATENATE($J$7, " ", $K$7,"kW",$L$7)</f>
        <v>CAT 3516C Trans 1825kW(Portable)</v>
      </c>
    </row>
  </sheetData>
  <mergeCells count="1">
    <mergeCell ref="J1:K1"/>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dimension ref="A1:H97"/>
  <sheetViews>
    <sheetView workbookViewId="0">
      <selection activeCell="A4" sqref="A4:H4"/>
    </sheetView>
  </sheetViews>
  <sheetFormatPr defaultColWidth="9.140625" defaultRowHeight="15" x14ac:dyDescent="0.2"/>
  <cols>
    <col min="1" max="1" width="6.28515625" style="345" customWidth="1"/>
    <col min="2" max="2" width="15.85546875" style="345" bestFit="1" customWidth="1"/>
    <col min="3" max="3" width="22.28515625" style="345" customWidth="1"/>
    <col min="4" max="4" width="11.85546875" style="345" customWidth="1"/>
    <col min="5" max="5" width="9.140625" style="345"/>
    <col min="6" max="6" width="14.28515625" style="345" customWidth="1"/>
    <col min="7" max="7" width="10.42578125" style="345" customWidth="1"/>
    <col min="8" max="8" width="32.5703125" style="345" customWidth="1"/>
    <col min="9" max="16384" width="9.140625" style="345"/>
  </cols>
  <sheetData>
    <row r="1" spans="1:8" ht="20.25" x14ac:dyDescent="0.3">
      <c r="A1" s="762" t="s">
        <v>466</v>
      </c>
      <c r="B1" s="762"/>
      <c r="C1" s="762"/>
      <c r="D1" s="762"/>
      <c r="E1" s="762"/>
      <c r="F1" s="762"/>
      <c r="G1" s="762"/>
      <c r="H1" s="762"/>
    </row>
    <row r="2" spans="1:8" ht="97.5" customHeight="1" x14ac:dyDescent="0.2">
      <c r="A2" s="763" t="s">
        <v>467</v>
      </c>
      <c r="B2" s="763"/>
      <c r="C2" s="763"/>
      <c r="D2" s="763"/>
      <c r="E2" s="763"/>
      <c r="F2" s="763"/>
      <c r="G2" s="763"/>
      <c r="H2" s="763"/>
    </row>
    <row r="3" spans="1:8" ht="15" customHeight="1" x14ac:dyDescent="0.2">
      <c r="A3" s="346"/>
    </row>
    <row r="4" spans="1:8" ht="45.75" customHeight="1" x14ac:dyDescent="0.2">
      <c r="A4" s="764" t="s">
        <v>468</v>
      </c>
      <c r="B4" s="764"/>
      <c r="C4" s="764"/>
      <c r="D4" s="764"/>
      <c r="E4" s="764"/>
      <c r="F4" s="764"/>
      <c r="G4" s="764"/>
      <c r="H4" s="764"/>
    </row>
    <row r="5" spans="1:8" ht="15" customHeight="1" x14ac:dyDescent="0.2">
      <c r="A5" s="346"/>
    </row>
    <row r="6" spans="1:8" x14ac:dyDescent="0.2">
      <c r="A6" s="765" t="s">
        <v>469</v>
      </c>
      <c r="B6" s="765"/>
      <c r="C6" s="765"/>
      <c r="D6" s="765"/>
      <c r="E6" s="765"/>
      <c r="F6" s="765"/>
      <c r="G6" s="765"/>
      <c r="H6" s="765"/>
    </row>
    <row r="7" spans="1:8" ht="15" customHeight="1" x14ac:dyDescent="0.2">
      <c r="A7" s="346"/>
    </row>
    <row r="8" spans="1:8" ht="50.1" customHeight="1" thickBot="1" x14ac:dyDescent="0.25">
      <c r="A8" s="766" t="s">
        <v>470</v>
      </c>
      <c r="B8" s="766"/>
      <c r="C8" s="766"/>
      <c r="D8" s="766"/>
      <c r="E8" s="766"/>
      <c r="F8" s="766"/>
      <c r="G8" s="766"/>
      <c r="H8" s="766"/>
    </row>
    <row r="9" spans="1:8" ht="30" customHeight="1" thickBot="1" x14ac:dyDescent="0.3">
      <c r="B9" s="347" t="s">
        <v>471</v>
      </c>
      <c r="C9" s="348" t="s">
        <v>472</v>
      </c>
      <c r="D9" s="349" t="s">
        <v>473</v>
      </c>
      <c r="E9" s="349" t="s">
        <v>474</v>
      </c>
      <c r="F9" s="349" t="s">
        <v>475</v>
      </c>
      <c r="G9" s="349" t="s">
        <v>476</v>
      </c>
      <c r="H9" s="350" t="s">
        <v>477</v>
      </c>
    </row>
    <row r="10" spans="1:8" ht="15" customHeight="1" x14ac:dyDescent="0.2">
      <c r="B10" s="351" t="s">
        <v>5</v>
      </c>
      <c r="C10" s="352" t="s">
        <v>4</v>
      </c>
      <c r="D10" s="353" t="s">
        <v>478</v>
      </c>
      <c r="E10" s="354">
        <v>0</v>
      </c>
      <c r="F10" s="355">
        <v>0.21740000000000001</v>
      </c>
      <c r="G10" s="353" t="s">
        <v>479</v>
      </c>
      <c r="H10" s="356" t="s">
        <v>480</v>
      </c>
    </row>
    <row r="11" spans="1:8" ht="15" customHeight="1" x14ac:dyDescent="0.2">
      <c r="B11" s="357" t="s">
        <v>12</v>
      </c>
      <c r="C11" s="358" t="s">
        <v>11</v>
      </c>
      <c r="D11" s="359" t="s">
        <v>478</v>
      </c>
      <c r="E11" s="360">
        <v>0</v>
      </c>
      <c r="F11" s="361">
        <v>0.7833</v>
      </c>
      <c r="G11" s="359" t="s">
        <v>479</v>
      </c>
      <c r="H11" s="362" t="s">
        <v>480</v>
      </c>
    </row>
    <row r="12" spans="1:8" ht="15" customHeight="1" x14ac:dyDescent="0.2">
      <c r="B12" s="357" t="s">
        <v>14</v>
      </c>
      <c r="C12" s="358" t="s">
        <v>13</v>
      </c>
      <c r="D12" s="359" t="s">
        <v>478</v>
      </c>
      <c r="E12" s="360">
        <v>0</v>
      </c>
      <c r="F12" s="363">
        <v>3.39E-2</v>
      </c>
      <c r="G12" s="359" t="s">
        <v>479</v>
      </c>
      <c r="H12" s="362" t="s">
        <v>480</v>
      </c>
    </row>
    <row r="13" spans="1:8" ht="15" customHeight="1" x14ac:dyDescent="0.2">
      <c r="B13" s="357" t="s">
        <v>16</v>
      </c>
      <c r="C13" s="358" t="s">
        <v>15</v>
      </c>
      <c r="D13" s="359" t="s">
        <v>478</v>
      </c>
      <c r="E13" s="360">
        <v>0</v>
      </c>
      <c r="F13" s="431">
        <v>0.8</v>
      </c>
      <c r="G13" s="359" t="s">
        <v>479</v>
      </c>
      <c r="H13" s="362" t="s">
        <v>480</v>
      </c>
    </row>
    <row r="14" spans="1:8" ht="15" customHeight="1" x14ac:dyDescent="0.2">
      <c r="B14" s="357" t="s">
        <v>20</v>
      </c>
      <c r="C14" s="358" t="s">
        <v>481</v>
      </c>
      <c r="D14" s="359" t="s">
        <v>478</v>
      </c>
      <c r="E14" s="360">
        <v>0</v>
      </c>
      <c r="F14" s="364">
        <v>3.1818727304855452E-4</v>
      </c>
      <c r="G14" s="359" t="s">
        <v>479</v>
      </c>
      <c r="H14" s="362" t="s">
        <v>480</v>
      </c>
    </row>
    <row r="15" spans="1:8" ht="15" customHeight="1" x14ac:dyDescent="0.2">
      <c r="B15" s="357" t="s">
        <v>22</v>
      </c>
      <c r="C15" s="358" t="s">
        <v>482</v>
      </c>
      <c r="D15" s="359" t="s">
        <v>478</v>
      </c>
      <c r="E15" s="360">
        <v>0</v>
      </c>
      <c r="F15" s="364">
        <v>1.6000000000000001E-3</v>
      </c>
      <c r="G15" s="359" t="s">
        <v>479</v>
      </c>
      <c r="H15" s="362" t="s">
        <v>480</v>
      </c>
    </row>
    <row r="16" spans="1:8" ht="15" customHeight="1" x14ac:dyDescent="0.2">
      <c r="B16" s="357" t="s">
        <v>24</v>
      </c>
      <c r="C16" s="358" t="s">
        <v>483</v>
      </c>
      <c r="D16" s="359" t="s">
        <v>478</v>
      </c>
      <c r="E16" s="360">
        <v>0</v>
      </c>
      <c r="F16" s="365">
        <v>3.7389334939055331E-4</v>
      </c>
      <c r="G16" s="359" t="s">
        <v>479</v>
      </c>
      <c r="H16" s="362" t="s">
        <v>480</v>
      </c>
    </row>
    <row r="17" spans="2:8" ht="15" customHeight="1" x14ac:dyDescent="0.2">
      <c r="B17" s="357" t="s">
        <v>28</v>
      </c>
      <c r="C17" s="366" t="s">
        <v>27</v>
      </c>
      <c r="D17" s="359" t="s">
        <v>478</v>
      </c>
      <c r="E17" s="360">
        <v>0</v>
      </c>
      <c r="F17" s="361">
        <v>0.18629999999999999</v>
      </c>
      <c r="G17" s="359" t="s">
        <v>479</v>
      </c>
      <c r="H17" s="362" t="s">
        <v>480</v>
      </c>
    </row>
    <row r="18" spans="2:8" ht="15" customHeight="1" x14ac:dyDescent="0.2">
      <c r="B18" s="357" t="s">
        <v>30</v>
      </c>
      <c r="C18" s="358" t="s">
        <v>134</v>
      </c>
      <c r="D18" s="359" t="s">
        <v>478</v>
      </c>
      <c r="E18" s="360">
        <v>0</v>
      </c>
      <c r="F18" s="364">
        <v>3.5200000000000002E-5</v>
      </c>
      <c r="G18" s="359" t="s">
        <v>479</v>
      </c>
      <c r="H18" s="362" t="s">
        <v>480</v>
      </c>
    </row>
    <row r="19" spans="2:8" ht="15" customHeight="1" x14ac:dyDescent="0.2">
      <c r="B19" s="357" t="s">
        <v>40</v>
      </c>
      <c r="C19" s="358" t="s">
        <v>484</v>
      </c>
      <c r="D19" s="359" t="s">
        <v>478</v>
      </c>
      <c r="E19" s="360">
        <v>0</v>
      </c>
      <c r="F19" s="364">
        <v>4.7708462766464961E-6</v>
      </c>
      <c r="G19" s="359" t="s">
        <v>479</v>
      </c>
      <c r="H19" s="362" t="s">
        <v>480</v>
      </c>
    </row>
    <row r="20" spans="2:8" ht="15" customHeight="1" x14ac:dyDescent="0.2">
      <c r="B20" s="357" t="s">
        <v>42</v>
      </c>
      <c r="C20" s="358" t="s">
        <v>485</v>
      </c>
      <c r="D20" s="359" t="s">
        <v>478</v>
      </c>
      <c r="E20" s="360">
        <v>0</v>
      </c>
      <c r="F20" s="364">
        <v>1.5E-3</v>
      </c>
      <c r="G20" s="359" t="s">
        <v>479</v>
      </c>
      <c r="H20" s="362" t="s">
        <v>480</v>
      </c>
    </row>
    <row r="21" spans="2:8" ht="15" customHeight="1" x14ac:dyDescent="0.2">
      <c r="B21" s="357" t="s">
        <v>63</v>
      </c>
      <c r="C21" s="358" t="s">
        <v>486</v>
      </c>
      <c r="D21" s="359" t="s">
        <v>478</v>
      </c>
      <c r="E21" s="360">
        <v>0</v>
      </c>
      <c r="F21" s="364">
        <v>1E-4</v>
      </c>
      <c r="G21" s="359" t="s">
        <v>479</v>
      </c>
      <c r="H21" s="362" t="s">
        <v>480</v>
      </c>
    </row>
    <row r="22" spans="2:8" ht="15" customHeight="1" x14ac:dyDescent="0.2">
      <c r="B22" s="357" t="s">
        <v>44</v>
      </c>
      <c r="C22" s="358" t="s">
        <v>43</v>
      </c>
      <c r="D22" s="359" t="s">
        <v>478</v>
      </c>
      <c r="E22" s="360">
        <v>0</v>
      </c>
      <c r="F22" s="365">
        <v>2.0000000000000001E-4</v>
      </c>
      <c r="G22" s="359" t="s">
        <v>479</v>
      </c>
      <c r="H22" s="362" t="s">
        <v>480</v>
      </c>
    </row>
    <row r="23" spans="2:8" ht="15" customHeight="1" x14ac:dyDescent="0.2">
      <c r="B23" s="357" t="s">
        <v>48</v>
      </c>
      <c r="C23" s="358" t="s">
        <v>487</v>
      </c>
      <c r="D23" s="359" t="s">
        <v>478</v>
      </c>
      <c r="E23" s="360">
        <v>0</v>
      </c>
      <c r="F23" s="365">
        <v>1.5751137782235815E-5</v>
      </c>
      <c r="G23" s="359" t="s">
        <v>479</v>
      </c>
      <c r="H23" s="362" t="s">
        <v>480</v>
      </c>
    </row>
    <row r="24" spans="2:8" ht="15" customHeight="1" x14ac:dyDescent="0.2">
      <c r="B24" s="357" t="s">
        <v>50</v>
      </c>
      <c r="C24" s="358" t="s">
        <v>488</v>
      </c>
      <c r="D24" s="359" t="s">
        <v>478</v>
      </c>
      <c r="E24" s="360">
        <v>0</v>
      </c>
      <c r="F24" s="364">
        <v>4.1000000000000003E-3</v>
      </c>
      <c r="G24" s="359" t="s">
        <v>479</v>
      </c>
      <c r="H24" s="362" t="s">
        <v>480</v>
      </c>
    </row>
    <row r="25" spans="2:8" ht="15" customHeight="1" x14ac:dyDescent="0.2">
      <c r="B25" s="357">
        <v>200</v>
      </c>
      <c r="C25" s="358" t="s">
        <v>489</v>
      </c>
      <c r="D25" s="359" t="s">
        <v>478</v>
      </c>
      <c r="E25" s="360">
        <v>0</v>
      </c>
      <c r="F25" s="363">
        <v>33.5</v>
      </c>
      <c r="G25" s="359" t="s">
        <v>479</v>
      </c>
      <c r="H25" s="362" t="s">
        <v>480</v>
      </c>
    </row>
    <row r="26" spans="2:8" x14ac:dyDescent="0.2">
      <c r="B26" s="357" t="s">
        <v>54</v>
      </c>
      <c r="C26" s="358" t="s">
        <v>490</v>
      </c>
      <c r="D26" s="359" t="s">
        <v>478</v>
      </c>
      <c r="E26" s="360">
        <v>0</v>
      </c>
      <c r="F26" s="363">
        <v>1.09E-2</v>
      </c>
      <c r="G26" s="359" t="s">
        <v>479</v>
      </c>
      <c r="H26" s="362" t="s">
        <v>480</v>
      </c>
    </row>
    <row r="27" spans="2:8" ht="15" customHeight="1" x14ac:dyDescent="0.2">
      <c r="B27" s="357" t="s">
        <v>60</v>
      </c>
      <c r="C27" s="358" t="s">
        <v>59</v>
      </c>
      <c r="D27" s="359" t="s">
        <v>478</v>
      </c>
      <c r="E27" s="360">
        <v>0</v>
      </c>
      <c r="F27" s="367">
        <v>1.7261</v>
      </c>
      <c r="G27" s="359" t="s">
        <v>479</v>
      </c>
      <c r="H27" s="362" t="s">
        <v>480</v>
      </c>
    </row>
    <row r="28" spans="2:8" ht="15" customHeight="1" x14ac:dyDescent="0.2">
      <c r="B28" s="357" t="s">
        <v>62</v>
      </c>
      <c r="C28" s="358" t="s">
        <v>61</v>
      </c>
      <c r="D28" s="359" t="s">
        <v>478</v>
      </c>
      <c r="E28" s="360">
        <v>0</v>
      </c>
      <c r="F28" s="361">
        <v>2.69E-2</v>
      </c>
      <c r="G28" s="359" t="s">
        <v>479</v>
      </c>
      <c r="H28" s="362" t="s">
        <v>480</v>
      </c>
    </row>
    <row r="29" spans="2:8" ht="15" customHeight="1" x14ac:dyDescent="0.2">
      <c r="B29" s="357" t="s">
        <v>65</v>
      </c>
      <c r="C29" s="358" t="s">
        <v>491</v>
      </c>
      <c r="D29" s="359" t="s">
        <v>478</v>
      </c>
      <c r="E29" s="360">
        <v>0</v>
      </c>
      <c r="F29" s="368">
        <v>0.18629999999999999</v>
      </c>
      <c r="G29" s="359" t="s">
        <v>479</v>
      </c>
      <c r="H29" s="362" t="s">
        <v>480</v>
      </c>
    </row>
    <row r="30" spans="2:8" ht="15" customHeight="1" x14ac:dyDescent="0.2">
      <c r="B30" s="357" t="s">
        <v>69</v>
      </c>
      <c r="C30" s="358" t="s">
        <v>492</v>
      </c>
      <c r="D30" s="359" t="s">
        <v>478</v>
      </c>
      <c r="E30" s="360">
        <v>0</v>
      </c>
      <c r="F30" s="364">
        <v>8.3000000000000001E-3</v>
      </c>
      <c r="G30" s="359" t="s">
        <v>479</v>
      </c>
      <c r="H30" s="362" t="s">
        <v>480</v>
      </c>
    </row>
    <row r="31" spans="2:8" ht="15" customHeight="1" x14ac:dyDescent="0.2">
      <c r="B31" s="357" t="s">
        <v>71</v>
      </c>
      <c r="C31" s="358" t="s">
        <v>493</v>
      </c>
      <c r="D31" s="359" t="s">
        <v>478</v>
      </c>
      <c r="E31" s="360">
        <v>0</v>
      </c>
      <c r="F31" s="364">
        <v>3.0999999999999999E-3</v>
      </c>
      <c r="G31" s="359" t="s">
        <v>479</v>
      </c>
      <c r="H31" s="362" t="s">
        <v>480</v>
      </c>
    </row>
    <row r="32" spans="2:8" ht="15" customHeight="1" x14ac:dyDescent="0.2">
      <c r="B32" s="357" t="s">
        <v>73</v>
      </c>
      <c r="C32" s="358" t="s">
        <v>494</v>
      </c>
      <c r="D32" s="359" t="s">
        <v>478</v>
      </c>
      <c r="E32" s="360">
        <v>0</v>
      </c>
      <c r="F32" s="364">
        <v>2E-3</v>
      </c>
      <c r="G32" s="359" t="s">
        <v>479</v>
      </c>
      <c r="H32" s="362" t="s">
        <v>480</v>
      </c>
    </row>
    <row r="33" spans="1:8" ht="15" customHeight="1" x14ac:dyDescent="0.2">
      <c r="B33" s="357" t="s">
        <v>77</v>
      </c>
      <c r="C33" s="358" t="s">
        <v>146</v>
      </c>
      <c r="D33" s="359" t="s">
        <v>478</v>
      </c>
      <c r="E33" s="360">
        <v>0</v>
      </c>
      <c r="F33" s="364">
        <v>1.9699999999999999E-2</v>
      </c>
      <c r="G33" s="359" t="s">
        <v>479</v>
      </c>
      <c r="H33" s="362" t="s">
        <v>480</v>
      </c>
    </row>
    <row r="34" spans="1:8" ht="15" customHeight="1" x14ac:dyDescent="0.2">
      <c r="B34" s="357">
        <v>365</v>
      </c>
      <c r="C34" s="358" t="s">
        <v>495</v>
      </c>
      <c r="D34" s="359" t="s">
        <v>478</v>
      </c>
      <c r="E34" s="360">
        <v>0</v>
      </c>
      <c r="F34" s="364">
        <v>3.8999999999999998E-3</v>
      </c>
      <c r="G34" s="359" t="s">
        <v>479</v>
      </c>
      <c r="H34" s="362" t="s">
        <v>480</v>
      </c>
    </row>
    <row r="35" spans="1:8" ht="15" customHeight="1" x14ac:dyDescent="0.2">
      <c r="B35" s="357">
        <v>401</v>
      </c>
      <c r="C35" s="358" t="s">
        <v>496</v>
      </c>
      <c r="D35" s="359" t="s">
        <v>478</v>
      </c>
      <c r="E35" s="360">
        <v>0</v>
      </c>
      <c r="F35" s="364">
        <v>3.6200000000000003E-2</v>
      </c>
      <c r="G35" s="359" t="s">
        <v>479</v>
      </c>
      <c r="H35" s="362" t="s">
        <v>480</v>
      </c>
    </row>
    <row r="36" spans="1:8" x14ac:dyDescent="0.2">
      <c r="B36" s="357">
        <v>504</v>
      </c>
      <c r="C36" s="358" t="s">
        <v>497</v>
      </c>
      <c r="D36" s="359" t="s">
        <v>478</v>
      </c>
      <c r="E36" s="360">
        <v>0</v>
      </c>
      <c r="F36" s="364">
        <v>8.4039857312420349E-3</v>
      </c>
      <c r="G36" s="359" t="s">
        <v>479</v>
      </c>
      <c r="H36" s="362" t="s">
        <v>480</v>
      </c>
    </row>
    <row r="37" spans="1:8" x14ac:dyDescent="0.2">
      <c r="B37" s="357" t="s">
        <v>85</v>
      </c>
      <c r="C37" s="358" t="s">
        <v>84</v>
      </c>
      <c r="D37" s="359" t="s">
        <v>478</v>
      </c>
      <c r="E37" s="360">
        <v>0</v>
      </c>
      <c r="F37" s="364">
        <v>0.47</v>
      </c>
      <c r="G37" s="359" t="s">
        <v>479</v>
      </c>
      <c r="H37" s="362" t="s">
        <v>480</v>
      </c>
    </row>
    <row r="38" spans="1:8" ht="15" customHeight="1" x14ac:dyDescent="0.2">
      <c r="B38" s="357" t="s">
        <v>90</v>
      </c>
      <c r="C38" s="358" t="s">
        <v>498</v>
      </c>
      <c r="D38" s="359" t="s">
        <v>478</v>
      </c>
      <c r="E38" s="360">
        <v>0</v>
      </c>
      <c r="F38" s="364">
        <v>2.2000000000000001E-3</v>
      </c>
      <c r="G38" s="359" t="s">
        <v>479</v>
      </c>
      <c r="H38" s="362" t="s">
        <v>480</v>
      </c>
    </row>
    <row r="39" spans="1:8" x14ac:dyDescent="0.2">
      <c r="B39" s="357" t="s">
        <v>92</v>
      </c>
      <c r="C39" s="358" t="s">
        <v>499</v>
      </c>
      <c r="D39" s="359" t="s">
        <v>478</v>
      </c>
      <c r="E39" s="360">
        <v>0</v>
      </c>
      <c r="F39" s="364">
        <v>4.8013014217323475E-5</v>
      </c>
      <c r="G39" s="359" t="s">
        <v>479</v>
      </c>
      <c r="H39" s="362" t="s">
        <v>480</v>
      </c>
    </row>
    <row r="40" spans="1:8" ht="15" customHeight="1" x14ac:dyDescent="0.2">
      <c r="B40" s="357" t="s">
        <v>94</v>
      </c>
      <c r="C40" s="358" t="s">
        <v>500</v>
      </c>
      <c r="D40" s="359" t="s">
        <v>478</v>
      </c>
      <c r="E40" s="360">
        <v>0</v>
      </c>
      <c r="F40" s="364">
        <v>2.4009368143584827E-4</v>
      </c>
      <c r="G40" s="359" t="s">
        <v>479</v>
      </c>
      <c r="H40" s="362" t="s">
        <v>480</v>
      </c>
    </row>
    <row r="41" spans="1:8" ht="15" customHeight="1" x14ac:dyDescent="0.2">
      <c r="B41" s="357" t="s">
        <v>96</v>
      </c>
      <c r="C41" s="358" t="s">
        <v>95</v>
      </c>
      <c r="D41" s="359" t="s">
        <v>478</v>
      </c>
      <c r="E41" s="360">
        <v>0</v>
      </c>
      <c r="F41" s="368">
        <v>0.10539999999999999</v>
      </c>
      <c r="G41" s="359" t="s">
        <v>479</v>
      </c>
      <c r="H41" s="362" t="s">
        <v>480</v>
      </c>
    </row>
    <row r="42" spans="1:8" ht="15" customHeight="1" x14ac:dyDescent="0.2">
      <c r="B42" s="369" t="s">
        <v>98</v>
      </c>
      <c r="C42" s="370" t="s">
        <v>501</v>
      </c>
      <c r="D42" s="359" t="s">
        <v>478</v>
      </c>
      <c r="E42" s="360">
        <v>0</v>
      </c>
      <c r="F42" s="371">
        <v>4.24E-2</v>
      </c>
      <c r="G42" s="359" t="s">
        <v>479</v>
      </c>
      <c r="H42" s="362" t="s">
        <v>480</v>
      </c>
    </row>
    <row r="43" spans="1:8" ht="15" customHeight="1" thickBot="1" x14ac:dyDescent="0.25">
      <c r="B43" s="372" t="s">
        <v>100</v>
      </c>
      <c r="C43" s="373" t="s">
        <v>502</v>
      </c>
      <c r="D43" s="374" t="s">
        <v>478</v>
      </c>
      <c r="E43" s="375">
        <v>0</v>
      </c>
      <c r="F43" s="376">
        <v>5.2261769021193245E-3</v>
      </c>
      <c r="G43" s="374" t="s">
        <v>479</v>
      </c>
      <c r="H43" s="377" t="s">
        <v>480</v>
      </c>
    </row>
    <row r="44" spans="1:8" ht="15" customHeight="1" x14ac:dyDescent="0.25">
      <c r="B44" s="378"/>
      <c r="C44" s="2"/>
      <c r="D44" s="379"/>
      <c r="E44" s="380"/>
      <c r="F44" s="378"/>
      <c r="G44" s="379"/>
    </row>
    <row r="45" spans="1:8" ht="15" customHeight="1" x14ac:dyDescent="0.2"/>
    <row r="46" spans="1:8" ht="20.100000000000001" customHeight="1" thickBot="1" x14ac:dyDescent="0.25">
      <c r="A46" s="761" t="s">
        <v>503</v>
      </c>
      <c r="B46" s="761"/>
      <c r="C46" s="761"/>
      <c r="D46" s="761"/>
      <c r="E46" s="761"/>
      <c r="F46" s="761"/>
      <c r="G46" s="761"/>
      <c r="H46" s="761"/>
    </row>
    <row r="47" spans="1:8" ht="30" customHeight="1" thickBot="1" x14ac:dyDescent="0.3">
      <c r="B47" s="347" t="s">
        <v>471</v>
      </c>
      <c r="C47" s="348" t="s">
        <v>472</v>
      </c>
      <c r="D47" s="349" t="s">
        <v>473</v>
      </c>
      <c r="E47" s="349" t="s">
        <v>474</v>
      </c>
      <c r="F47" s="349" t="s">
        <v>475</v>
      </c>
      <c r="G47" s="349" t="s">
        <v>476</v>
      </c>
      <c r="H47" s="350" t="s">
        <v>477</v>
      </c>
    </row>
    <row r="48" spans="1:8" ht="15" customHeight="1" x14ac:dyDescent="0.2">
      <c r="B48" s="351" t="s">
        <v>5</v>
      </c>
      <c r="C48" s="352" t="s">
        <v>4</v>
      </c>
      <c r="D48" s="353" t="s">
        <v>478</v>
      </c>
      <c r="E48" s="354">
        <v>0</v>
      </c>
      <c r="F48" s="355">
        <v>0.21740000000000001</v>
      </c>
      <c r="G48" s="353" t="s">
        <v>479</v>
      </c>
      <c r="H48" s="356" t="s">
        <v>504</v>
      </c>
    </row>
    <row r="49" spans="2:8" ht="15" customHeight="1" x14ac:dyDescent="0.2">
      <c r="B49" s="357" t="s">
        <v>75</v>
      </c>
      <c r="C49" s="358" t="s">
        <v>145</v>
      </c>
      <c r="D49" s="359" t="s">
        <v>478</v>
      </c>
      <c r="E49" s="360">
        <v>0</v>
      </c>
      <c r="F49" s="365">
        <v>1.2297907414592798E-2</v>
      </c>
      <c r="G49" s="359" t="s">
        <v>479</v>
      </c>
      <c r="H49" s="362" t="s">
        <v>504</v>
      </c>
    </row>
    <row r="50" spans="2:8" ht="15" customHeight="1" x14ac:dyDescent="0.2">
      <c r="B50" s="357" t="s">
        <v>8</v>
      </c>
      <c r="C50" s="358" t="s">
        <v>129</v>
      </c>
      <c r="D50" s="359" t="s">
        <v>478</v>
      </c>
      <c r="E50" s="360">
        <v>0</v>
      </c>
      <c r="F50" s="365">
        <v>7.3461430796324472E-4</v>
      </c>
      <c r="G50" s="359" t="s">
        <v>479</v>
      </c>
      <c r="H50" s="362" t="s">
        <v>504</v>
      </c>
    </row>
    <row r="51" spans="2:8" ht="15" customHeight="1" x14ac:dyDescent="0.2">
      <c r="B51" s="357" t="s">
        <v>10</v>
      </c>
      <c r="C51" s="358" t="s">
        <v>130</v>
      </c>
      <c r="D51" s="359" t="s">
        <v>478</v>
      </c>
      <c r="E51" s="360">
        <v>0</v>
      </c>
      <c r="F51" s="365">
        <v>8.0981637303101373E-4</v>
      </c>
      <c r="G51" s="359" t="s">
        <v>479</v>
      </c>
      <c r="H51" s="362" t="s">
        <v>504</v>
      </c>
    </row>
    <row r="52" spans="2:8" ht="15" customHeight="1" x14ac:dyDescent="0.2">
      <c r="B52" s="357" t="s">
        <v>12</v>
      </c>
      <c r="C52" s="358" t="s">
        <v>11</v>
      </c>
      <c r="D52" s="359" t="s">
        <v>478</v>
      </c>
      <c r="E52" s="360">
        <v>0</v>
      </c>
      <c r="F52" s="363">
        <v>0.7833</v>
      </c>
      <c r="G52" s="359" t="s">
        <v>479</v>
      </c>
      <c r="H52" s="362" t="s">
        <v>504</v>
      </c>
    </row>
    <row r="53" spans="2:8" ht="15" customHeight="1" x14ac:dyDescent="0.2">
      <c r="B53" s="357" t="s">
        <v>14</v>
      </c>
      <c r="C53" s="358" t="s">
        <v>13</v>
      </c>
      <c r="D53" s="359" t="s">
        <v>478</v>
      </c>
      <c r="E53" s="360">
        <v>0</v>
      </c>
      <c r="F53" s="363">
        <v>3.39E-2</v>
      </c>
      <c r="G53" s="359" t="s">
        <v>479</v>
      </c>
      <c r="H53" s="362" t="s">
        <v>504</v>
      </c>
    </row>
    <row r="54" spans="2:8" ht="15" customHeight="1" x14ac:dyDescent="0.2">
      <c r="B54" s="357" t="s">
        <v>16</v>
      </c>
      <c r="C54" s="358" t="s">
        <v>15</v>
      </c>
      <c r="D54" s="359" t="s">
        <v>478</v>
      </c>
      <c r="E54" s="360">
        <v>0</v>
      </c>
      <c r="F54" s="431">
        <v>0.8</v>
      </c>
      <c r="G54" s="359" t="s">
        <v>479</v>
      </c>
      <c r="H54" s="362" t="s">
        <v>504</v>
      </c>
    </row>
    <row r="55" spans="2:8" ht="15" customHeight="1" x14ac:dyDescent="0.2">
      <c r="B55" s="357" t="s">
        <v>18</v>
      </c>
      <c r="C55" s="358" t="s">
        <v>132</v>
      </c>
      <c r="D55" s="359" t="s">
        <v>478</v>
      </c>
      <c r="E55" s="360">
        <v>0</v>
      </c>
      <c r="F55" s="365">
        <v>4.5209000937094504E-4</v>
      </c>
      <c r="G55" s="359" t="s">
        <v>479</v>
      </c>
      <c r="H55" s="362" t="s">
        <v>504</v>
      </c>
    </row>
    <row r="56" spans="2:8" ht="15" customHeight="1" x14ac:dyDescent="0.2">
      <c r="B56" s="357" t="s">
        <v>20</v>
      </c>
      <c r="C56" s="358" t="s">
        <v>481</v>
      </c>
      <c r="D56" s="359" t="s">
        <v>478</v>
      </c>
      <c r="E56" s="360">
        <v>0</v>
      </c>
      <c r="F56" s="365">
        <v>3.1818727304855452E-4</v>
      </c>
      <c r="G56" s="359" t="s">
        <v>479</v>
      </c>
      <c r="H56" s="362" t="s">
        <v>504</v>
      </c>
    </row>
    <row r="57" spans="2:8" ht="15" customHeight="1" x14ac:dyDescent="0.2">
      <c r="B57" s="357" t="s">
        <v>22</v>
      </c>
      <c r="C57" s="358" t="s">
        <v>482</v>
      </c>
      <c r="D57" s="359" t="s">
        <v>478</v>
      </c>
      <c r="E57" s="360">
        <v>0</v>
      </c>
      <c r="F57" s="365">
        <v>2.7685267838269253E-4</v>
      </c>
      <c r="G57" s="359" t="s">
        <v>479</v>
      </c>
      <c r="H57" s="362" t="s">
        <v>504</v>
      </c>
    </row>
    <row r="58" spans="2:8" ht="15" customHeight="1" x14ac:dyDescent="0.2">
      <c r="B58" s="357" t="s">
        <v>24</v>
      </c>
      <c r="C58" s="358" t="s">
        <v>483</v>
      </c>
      <c r="D58" s="359" t="s">
        <v>478</v>
      </c>
      <c r="E58" s="360">
        <v>0</v>
      </c>
      <c r="F58" s="365">
        <v>3.7389334939055331E-4</v>
      </c>
      <c r="G58" s="359" t="s">
        <v>479</v>
      </c>
      <c r="H58" s="362" t="s">
        <v>504</v>
      </c>
    </row>
    <row r="59" spans="2:8" ht="15" customHeight="1" x14ac:dyDescent="0.2">
      <c r="B59" s="357" t="s">
        <v>26</v>
      </c>
      <c r="C59" s="358" t="s">
        <v>133</v>
      </c>
      <c r="D59" s="359" t="s">
        <v>478</v>
      </c>
      <c r="E59" s="360">
        <v>0</v>
      </c>
      <c r="F59" s="365">
        <v>4.8541323701614526E-5</v>
      </c>
      <c r="G59" s="359" t="s">
        <v>479</v>
      </c>
      <c r="H59" s="362" t="s">
        <v>504</v>
      </c>
    </row>
    <row r="60" spans="2:8" ht="15" customHeight="1" x14ac:dyDescent="0.2">
      <c r="B60" s="357" t="s">
        <v>28</v>
      </c>
      <c r="C60" s="366" t="s">
        <v>27</v>
      </c>
      <c r="D60" s="359" t="s">
        <v>478</v>
      </c>
      <c r="E60" s="360">
        <v>0</v>
      </c>
      <c r="F60" s="363">
        <v>0.18629999999999999</v>
      </c>
      <c r="G60" s="359" t="s">
        <v>479</v>
      </c>
      <c r="H60" s="362" t="s">
        <v>504</v>
      </c>
    </row>
    <row r="61" spans="2:8" ht="15" customHeight="1" x14ac:dyDescent="0.2">
      <c r="B61" s="357" t="s">
        <v>30</v>
      </c>
      <c r="C61" s="358" t="s">
        <v>134</v>
      </c>
      <c r="D61" s="359" t="s">
        <v>478</v>
      </c>
      <c r="E61" s="360">
        <v>0</v>
      </c>
      <c r="F61" s="365">
        <v>1.4385237354722992E-5</v>
      </c>
      <c r="G61" s="359" t="s">
        <v>479</v>
      </c>
      <c r="H61" s="362" t="s">
        <v>504</v>
      </c>
    </row>
    <row r="62" spans="2:8" ht="15" customHeight="1" x14ac:dyDescent="0.2">
      <c r="B62" s="357" t="s">
        <v>32</v>
      </c>
      <c r="C62" s="358" t="s">
        <v>135</v>
      </c>
      <c r="D62" s="359" t="s">
        <v>478</v>
      </c>
      <c r="E62" s="360">
        <v>0</v>
      </c>
      <c r="F62" s="365">
        <v>4.4353578135943152E-5</v>
      </c>
      <c r="G62" s="359" t="s">
        <v>479</v>
      </c>
      <c r="H62" s="362" t="s">
        <v>504</v>
      </c>
    </row>
    <row r="63" spans="2:8" ht="15" customHeight="1" x14ac:dyDescent="0.2">
      <c r="B63" s="357" t="s">
        <v>34</v>
      </c>
      <c r="C63" s="358" t="s">
        <v>136</v>
      </c>
      <c r="D63" s="359" t="s">
        <v>478</v>
      </c>
      <c r="E63" s="360">
        <v>0</v>
      </c>
      <c r="F63" s="365">
        <v>3.2868294417433586E-5</v>
      </c>
      <c r="G63" s="359" t="s">
        <v>479</v>
      </c>
      <c r="H63" s="362" t="s">
        <v>504</v>
      </c>
    </row>
    <row r="64" spans="2:8" ht="15" customHeight="1" x14ac:dyDescent="0.2">
      <c r="B64" s="357" t="s">
        <v>36</v>
      </c>
      <c r="C64" s="358" t="s">
        <v>137</v>
      </c>
      <c r="D64" s="359" t="s">
        <v>478</v>
      </c>
      <c r="E64" s="360">
        <v>0</v>
      </c>
      <c r="F64" s="365">
        <v>2.187429870630113E-5</v>
      </c>
      <c r="G64" s="359" t="s">
        <v>479</v>
      </c>
      <c r="H64" s="362" t="s">
        <v>504</v>
      </c>
    </row>
    <row r="65" spans="2:8" ht="15" customHeight="1" x14ac:dyDescent="0.2">
      <c r="B65" s="357" t="s">
        <v>38</v>
      </c>
      <c r="C65" s="358" t="s">
        <v>138</v>
      </c>
      <c r="D65" s="359" t="s">
        <v>478</v>
      </c>
      <c r="E65" s="360">
        <v>0</v>
      </c>
      <c r="F65" s="365">
        <v>1.3054358967800315E-5</v>
      </c>
      <c r="G65" s="359" t="s">
        <v>479</v>
      </c>
      <c r="H65" s="362" t="s">
        <v>504</v>
      </c>
    </row>
    <row r="66" spans="2:8" ht="15" customHeight="1" x14ac:dyDescent="0.2">
      <c r="B66" s="357" t="s">
        <v>40</v>
      </c>
      <c r="C66" s="358" t="s">
        <v>484</v>
      </c>
      <c r="D66" s="359" t="s">
        <v>478</v>
      </c>
      <c r="E66" s="360">
        <v>0</v>
      </c>
      <c r="F66" s="365">
        <v>4.7708462766464961E-6</v>
      </c>
      <c r="G66" s="359" t="s">
        <v>479</v>
      </c>
      <c r="H66" s="362" t="s">
        <v>504</v>
      </c>
    </row>
    <row r="67" spans="2:8" ht="15" customHeight="1" x14ac:dyDescent="0.2">
      <c r="B67" s="357" t="s">
        <v>42</v>
      </c>
      <c r="C67" s="358" t="s">
        <v>485</v>
      </c>
      <c r="D67" s="359" t="s">
        <v>478</v>
      </c>
      <c r="E67" s="360">
        <v>0</v>
      </c>
      <c r="F67" s="365">
        <v>8.0778295781549296E-5</v>
      </c>
      <c r="G67" s="359" t="s">
        <v>479</v>
      </c>
      <c r="H67" s="362" t="s">
        <v>504</v>
      </c>
    </row>
    <row r="68" spans="2:8" ht="15" customHeight="1" x14ac:dyDescent="0.2">
      <c r="B68" s="357" t="s">
        <v>44</v>
      </c>
      <c r="C68" s="358" t="s">
        <v>43</v>
      </c>
      <c r="D68" s="359" t="s">
        <v>478</v>
      </c>
      <c r="E68" s="360">
        <v>0</v>
      </c>
      <c r="F68" s="365">
        <v>2.0000000000000001E-4</v>
      </c>
      <c r="G68" s="359" t="s">
        <v>479</v>
      </c>
      <c r="H68" s="362" t="s">
        <v>504</v>
      </c>
    </row>
    <row r="69" spans="2:8" ht="15" customHeight="1" x14ac:dyDescent="0.2">
      <c r="B69" s="357" t="s">
        <v>63</v>
      </c>
      <c r="C69" s="358" t="s">
        <v>486</v>
      </c>
      <c r="D69" s="359" t="s">
        <v>478</v>
      </c>
      <c r="E69" s="360">
        <v>0</v>
      </c>
      <c r="F69" s="365">
        <f>0.000350802553491895*0.18</f>
        <v>6.3144459628541096E-5</v>
      </c>
      <c r="G69" s="359" t="s">
        <v>479</v>
      </c>
      <c r="H69" s="362" t="s">
        <v>504</v>
      </c>
    </row>
    <row r="70" spans="2:8" ht="15" customHeight="1" x14ac:dyDescent="0.2">
      <c r="B70" s="357" t="s">
        <v>46</v>
      </c>
      <c r="C70" s="358" t="s">
        <v>139</v>
      </c>
      <c r="D70" s="359" t="s">
        <v>478</v>
      </c>
      <c r="E70" s="360">
        <v>0</v>
      </c>
      <c r="F70" s="365">
        <v>6.6999913157770699E-5</v>
      </c>
      <c r="G70" s="359" t="s">
        <v>479</v>
      </c>
      <c r="H70" s="362" t="s">
        <v>504</v>
      </c>
    </row>
    <row r="71" spans="2:8" ht="15" customHeight="1" x14ac:dyDescent="0.2">
      <c r="B71" s="357" t="s">
        <v>48</v>
      </c>
      <c r="C71" s="358" t="s">
        <v>487</v>
      </c>
      <c r="D71" s="359" t="s">
        <v>478</v>
      </c>
      <c r="E71" s="360">
        <v>0</v>
      </c>
      <c r="F71" s="365">
        <v>1.5751137782235815E-5</v>
      </c>
      <c r="G71" s="359" t="s">
        <v>479</v>
      </c>
      <c r="H71" s="362" t="s">
        <v>504</v>
      </c>
    </row>
    <row r="72" spans="2:8" ht="15" customHeight="1" x14ac:dyDescent="0.2">
      <c r="B72" s="357" t="s">
        <v>50</v>
      </c>
      <c r="C72" s="358" t="s">
        <v>488</v>
      </c>
      <c r="D72" s="359" t="s">
        <v>478</v>
      </c>
      <c r="E72" s="360">
        <v>0</v>
      </c>
      <c r="F72" s="365">
        <v>5.0213520825554141E-4</v>
      </c>
      <c r="G72" s="359" t="s">
        <v>479</v>
      </c>
      <c r="H72" s="362" t="s">
        <v>504</v>
      </c>
    </row>
    <row r="73" spans="2:8" ht="15" customHeight="1" x14ac:dyDescent="0.2">
      <c r="B73" s="357" t="s">
        <v>52</v>
      </c>
      <c r="C73" s="358" t="s">
        <v>140</v>
      </c>
      <c r="D73" s="359" t="s">
        <v>478</v>
      </c>
      <c r="E73" s="360">
        <v>0</v>
      </c>
      <c r="F73" s="365">
        <v>1.0369866679621714E-6</v>
      </c>
      <c r="G73" s="359" t="s">
        <v>479</v>
      </c>
      <c r="H73" s="362" t="s">
        <v>504</v>
      </c>
    </row>
    <row r="74" spans="2:8" ht="15" customHeight="1" x14ac:dyDescent="0.2">
      <c r="B74" s="357">
        <v>200</v>
      </c>
      <c r="C74" s="358" t="s">
        <v>489</v>
      </c>
      <c r="D74" s="359" t="s">
        <v>478</v>
      </c>
      <c r="E74" s="360">
        <v>0</v>
      </c>
      <c r="F74" s="367">
        <v>16.9752457004105</v>
      </c>
      <c r="G74" s="359" t="s">
        <v>479</v>
      </c>
      <c r="H74" s="362" t="s">
        <v>504</v>
      </c>
    </row>
    <row r="75" spans="2:8" ht="15" customHeight="1" x14ac:dyDescent="0.2">
      <c r="B75" s="357" t="s">
        <v>54</v>
      </c>
      <c r="C75" s="358" t="s">
        <v>490</v>
      </c>
      <c r="D75" s="359" t="s">
        <v>478</v>
      </c>
      <c r="E75" s="360">
        <v>0</v>
      </c>
      <c r="F75" s="363">
        <v>1.09E-2</v>
      </c>
      <c r="G75" s="359" t="s">
        <v>479</v>
      </c>
      <c r="H75" s="362" t="s">
        <v>504</v>
      </c>
    </row>
    <row r="76" spans="2:8" ht="15" customHeight="1" x14ac:dyDescent="0.2">
      <c r="B76" s="357" t="s">
        <v>56</v>
      </c>
      <c r="C76" s="358" t="s">
        <v>141</v>
      </c>
      <c r="D76" s="359" t="s">
        <v>478</v>
      </c>
      <c r="E76" s="360">
        <v>0</v>
      </c>
      <c r="F76" s="365">
        <v>3.6995325890908364E-4</v>
      </c>
      <c r="G76" s="359" t="s">
        <v>479</v>
      </c>
      <c r="H76" s="362" t="s">
        <v>504</v>
      </c>
    </row>
    <row r="77" spans="2:8" ht="15" customHeight="1" x14ac:dyDescent="0.2">
      <c r="B77" s="357" t="s">
        <v>58</v>
      </c>
      <c r="C77" s="358" t="s">
        <v>142</v>
      </c>
      <c r="D77" s="359" t="s">
        <v>478</v>
      </c>
      <c r="E77" s="360">
        <v>0</v>
      </c>
      <c r="F77" s="365">
        <v>2.1843972782305239E-3</v>
      </c>
      <c r="G77" s="359" t="s">
        <v>479</v>
      </c>
      <c r="H77" s="362" t="s">
        <v>504</v>
      </c>
    </row>
    <row r="78" spans="2:8" ht="15" customHeight="1" x14ac:dyDescent="0.2">
      <c r="B78" s="357" t="s">
        <v>60</v>
      </c>
      <c r="C78" s="358" t="s">
        <v>59</v>
      </c>
      <c r="D78" s="359" t="s">
        <v>478</v>
      </c>
      <c r="E78" s="360">
        <v>0</v>
      </c>
      <c r="F78" s="367">
        <v>2.7130627655139485</v>
      </c>
      <c r="G78" s="359" t="s">
        <v>479</v>
      </c>
      <c r="H78" s="362" t="s">
        <v>504</v>
      </c>
    </row>
    <row r="79" spans="2:8" ht="15" customHeight="1" x14ac:dyDescent="0.2">
      <c r="B79" s="357" t="s">
        <v>62</v>
      </c>
      <c r="C79" s="358" t="s">
        <v>61</v>
      </c>
      <c r="D79" s="359" t="s">
        <v>478</v>
      </c>
      <c r="E79" s="360">
        <v>0</v>
      </c>
      <c r="F79" s="363">
        <v>2.69E-2</v>
      </c>
      <c r="G79" s="359" t="s">
        <v>479</v>
      </c>
      <c r="H79" s="362" t="s">
        <v>504</v>
      </c>
    </row>
    <row r="80" spans="2:8" ht="15" customHeight="1" x14ac:dyDescent="0.2">
      <c r="B80" s="357" t="s">
        <v>65</v>
      </c>
      <c r="C80" s="358" t="s">
        <v>491</v>
      </c>
      <c r="D80" s="359" t="s">
        <v>478</v>
      </c>
      <c r="E80" s="360">
        <v>0</v>
      </c>
      <c r="F80" s="367">
        <v>0.18629999999999999</v>
      </c>
      <c r="G80" s="359" t="s">
        <v>479</v>
      </c>
      <c r="H80" s="362" t="s">
        <v>504</v>
      </c>
    </row>
    <row r="81" spans="2:8" ht="15" customHeight="1" x14ac:dyDescent="0.2">
      <c r="B81" s="357" t="s">
        <v>67</v>
      </c>
      <c r="C81" s="358" t="s">
        <v>144</v>
      </c>
      <c r="D81" s="359" t="s">
        <v>478</v>
      </c>
      <c r="E81" s="360">
        <v>0</v>
      </c>
      <c r="F81" s="365">
        <v>1.0710973550430282E-5</v>
      </c>
      <c r="G81" s="359" t="s">
        <v>479</v>
      </c>
      <c r="H81" s="362" t="s">
        <v>504</v>
      </c>
    </row>
    <row r="82" spans="2:8" ht="15" customHeight="1" x14ac:dyDescent="0.2">
      <c r="B82" s="357" t="s">
        <v>69</v>
      </c>
      <c r="C82" s="358" t="s">
        <v>492</v>
      </c>
      <c r="D82" s="359" t="s">
        <v>478</v>
      </c>
      <c r="E82" s="360">
        <v>0</v>
      </c>
      <c r="F82" s="365">
        <v>3.636715317945822E-4</v>
      </c>
      <c r="G82" s="359" t="s">
        <v>479</v>
      </c>
      <c r="H82" s="362" t="s">
        <v>504</v>
      </c>
    </row>
    <row r="83" spans="2:8" ht="15" customHeight="1" x14ac:dyDescent="0.2">
      <c r="B83" s="357" t="s">
        <v>71</v>
      </c>
      <c r="C83" s="358" t="s">
        <v>493</v>
      </c>
      <c r="D83" s="359" t="s">
        <v>478</v>
      </c>
      <c r="E83" s="360">
        <v>0</v>
      </c>
      <c r="F83" s="365">
        <v>4.1991264918956304E-4</v>
      </c>
      <c r="G83" s="359" t="s">
        <v>479</v>
      </c>
      <c r="H83" s="362" t="s">
        <v>504</v>
      </c>
    </row>
    <row r="84" spans="2:8" ht="15" customHeight="1" x14ac:dyDescent="0.2">
      <c r="B84" s="357" t="s">
        <v>73</v>
      </c>
      <c r="C84" s="358" t="s">
        <v>494</v>
      </c>
      <c r="D84" s="359" t="s">
        <v>478</v>
      </c>
      <c r="E84" s="360">
        <v>0</v>
      </c>
      <c r="F84" s="364">
        <v>1.5107336534301277E-5</v>
      </c>
      <c r="G84" s="359" t="s">
        <v>479</v>
      </c>
      <c r="H84" s="362" t="s">
        <v>504</v>
      </c>
    </row>
    <row r="85" spans="2:8" ht="15" customHeight="1" x14ac:dyDescent="0.2">
      <c r="B85" s="357" t="s">
        <v>77</v>
      </c>
      <c r="C85" s="358" t="s">
        <v>146</v>
      </c>
      <c r="D85" s="359" t="s">
        <v>478</v>
      </c>
      <c r="E85" s="360">
        <v>0</v>
      </c>
      <c r="F85" s="364">
        <v>2.6352391113998751E-2</v>
      </c>
      <c r="G85" s="359" t="s">
        <v>479</v>
      </c>
      <c r="H85" s="362" t="s">
        <v>504</v>
      </c>
    </row>
    <row r="86" spans="2:8" ht="15" customHeight="1" x14ac:dyDescent="0.2">
      <c r="B86" s="357">
        <v>365</v>
      </c>
      <c r="C86" s="358" t="s">
        <v>495</v>
      </c>
      <c r="D86" s="359" t="s">
        <v>478</v>
      </c>
      <c r="E86" s="360">
        <v>0</v>
      </c>
      <c r="F86" s="364">
        <v>1.8222934133210207E-4</v>
      </c>
      <c r="G86" s="359" t="s">
        <v>479</v>
      </c>
      <c r="H86" s="362" t="s">
        <v>504</v>
      </c>
    </row>
    <row r="87" spans="2:8" ht="15" customHeight="1" x14ac:dyDescent="0.2">
      <c r="B87" s="357" t="s">
        <v>80</v>
      </c>
      <c r="C87" s="358" t="s">
        <v>147</v>
      </c>
      <c r="D87" s="359" t="s">
        <v>478</v>
      </c>
      <c r="E87" s="360">
        <v>0</v>
      </c>
      <c r="F87" s="364">
        <v>1.1782465534251089E-6</v>
      </c>
      <c r="G87" s="359" t="s">
        <v>479</v>
      </c>
      <c r="H87" s="362" t="s">
        <v>504</v>
      </c>
    </row>
    <row r="88" spans="2:8" ht="15" customHeight="1" x14ac:dyDescent="0.2">
      <c r="B88" s="357" t="s">
        <v>82</v>
      </c>
      <c r="C88" s="358" t="s">
        <v>148</v>
      </c>
      <c r="D88" s="359" t="s">
        <v>478</v>
      </c>
      <c r="E88" s="360">
        <v>0</v>
      </c>
      <c r="F88" s="364">
        <v>4.5419465326501894E-3</v>
      </c>
      <c r="G88" s="359" t="s">
        <v>479</v>
      </c>
      <c r="H88" s="362" t="s">
        <v>504</v>
      </c>
    </row>
    <row r="89" spans="2:8" ht="15" customHeight="1" x14ac:dyDescent="0.2">
      <c r="B89" s="357">
        <v>504</v>
      </c>
      <c r="C89" s="358" t="s">
        <v>497</v>
      </c>
      <c r="D89" s="359" t="s">
        <v>478</v>
      </c>
      <c r="E89" s="360">
        <v>0</v>
      </c>
      <c r="F89" s="364">
        <v>8.4039857312420349E-3</v>
      </c>
      <c r="G89" s="359" t="s">
        <v>479</v>
      </c>
      <c r="H89" s="362" t="s">
        <v>504</v>
      </c>
    </row>
    <row r="90" spans="2:8" ht="15" customHeight="1" x14ac:dyDescent="0.2">
      <c r="B90" s="357" t="s">
        <v>85</v>
      </c>
      <c r="C90" s="358" t="s">
        <v>84</v>
      </c>
      <c r="D90" s="359" t="s">
        <v>478</v>
      </c>
      <c r="E90" s="360">
        <v>0</v>
      </c>
      <c r="F90" s="365">
        <v>0.47</v>
      </c>
      <c r="G90" s="359" t="s">
        <v>479</v>
      </c>
      <c r="H90" s="362" t="s">
        <v>504</v>
      </c>
    </row>
    <row r="91" spans="2:8" ht="15" customHeight="1" x14ac:dyDescent="0.2">
      <c r="B91" s="357" t="s">
        <v>87</v>
      </c>
      <c r="C91" s="358" t="s">
        <v>149</v>
      </c>
      <c r="D91" s="359" t="s">
        <v>478</v>
      </c>
      <c r="E91" s="360">
        <v>0</v>
      </c>
      <c r="F91" s="365">
        <v>1.25E-3</v>
      </c>
      <c r="G91" s="359" t="s">
        <v>479</v>
      </c>
      <c r="H91" s="362" t="s">
        <v>504</v>
      </c>
    </row>
    <row r="92" spans="2:8" ht="15" customHeight="1" x14ac:dyDescent="0.2">
      <c r="B92" s="357" t="s">
        <v>90</v>
      </c>
      <c r="C92" s="358" t="s">
        <v>498</v>
      </c>
      <c r="D92" s="359" t="s">
        <v>478</v>
      </c>
      <c r="E92" s="360">
        <v>0</v>
      </c>
      <c r="F92" s="365">
        <v>3.7638267956703413E-4</v>
      </c>
      <c r="G92" s="359" t="s">
        <v>479</v>
      </c>
      <c r="H92" s="362" t="s">
        <v>504</v>
      </c>
    </row>
    <row r="93" spans="2:8" ht="15" customHeight="1" x14ac:dyDescent="0.2">
      <c r="B93" s="357" t="s">
        <v>92</v>
      </c>
      <c r="C93" s="358" t="s">
        <v>499</v>
      </c>
      <c r="D93" s="359" t="s">
        <v>478</v>
      </c>
      <c r="E93" s="360">
        <v>0</v>
      </c>
      <c r="F93" s="364">
        <v>4.8013014217323475E-5</v>
      </c>
      <c r="G93" s="359" t="s">
        <v>479</v>
      </c>
      <c r="H93" s="362" t="s">
        <v>504</v>
      </c>
    </row>
    <row r="94" spans="2:8" ht="15" customHeight="1" x14ac:dyDescent="0.2">
      <c r="B94" s="357" t="s">
        <v>94</v>
      </c>
      <c r="C94" s="358" t="s">
        <v>500</v>
      </c>
      <c r="D94" s="359" t="s">
        <v>478</v>
      </c>
      <c r="E94" s="360">
        <v>0</v>
      </c>
      <c r="F94" s="364">
        <v>2.4009368143584827E-4</v>
      </c>
      <c r="G94" s="359" t="s">
        <v>479</v>
      </c>
      <c r="H94" s="362" t="s">
        <v>504</v>
      </c>
    </row>
    <row r="95" spans="2:8" ht="15" customHeight="1" x14ac:dyDescent="0.2">
      <c r="B95" s="357" t="s">
        <v>96</v>
      </c>
      <c r="C95" s="358" t="s">
        <v>95</v>
      </c>
      <c r="D95" s="359" t="s">
        <v>478</v>
      </c>
      <c r="E95" s="360">
        <v>0</v>
      </c>
      <c r="F95" s="368">
        <v>0.10539999999999999</v>
      </c>
      <c r="G95" s="359" t="s">
        <v>479</v>
      </c>
      <c r="H95" s="362" t="s">
        <v>504</v>
      </c>
    </row>
    <row r="96" spans="2:8" ht="15" customHeight="1" x14ac:dyDescent="0.2">
      <c r="B96" s="369" t="s">
        <v>98</v>
      </c>
      <c r="C96" s="370" t="s">
        <v>501</v>
      </c>
      <c r="D96" s="359" t="s">
        <v>478</v>
      </c>
      <c r="E96" s="360">
        <v>0</v>
      </c>
      <c r="F96" s="371">
        <v>4.24E-2</v>
      </c>
      <c r="G96" s="359" t="s">
        <v>479</v>
      </c>
      <c r="H96" s="362" t="s">
        <v>504</v>
      </c>
    </row>
    <row r="97" spans="2:8" ht="15.75" thickBot="1" x14ac:dyDescent="0.25">
      <c r="B97" s="381" t="s">
        <v>100</v>
      </c>
      <c r="C97" s="373" t="s">
        <v>502</v>
      </c>
      <c r="D97" s="374" t="s">
        <v>478</v>
      </c>
      <c r="E97" s="375">
        <v>0</v>
      </c>
      <c r="F97" s="382">
        <v>5.2261769021193245E-3</v>
      </c>
      <c r="G97" s="374" t="s">
        <v>479</v>
      </c>
      <c r="H97" s="377" t="s">
        <v>504</v>
      </c>
    </row>
  </sheetData>
  <mergeCells count="6">
    <mergeCell ref="A46:H46"/>
    <mergeCell ref="A1:H1"/>
    <mergeCell ref="A2:H2"/>
    <mergeCell ref="A4:H4"/>
    <mergeCell ref="A6:H6"/>
    <mergeCell ref="A8:H8"/>
  </mergeCells>
  <pageMargins left="0.7" right="0.7" top="0.75" bottom="0.75" header="0.3" footer="0.3"/>
  <pageSetup paperSize="3" orientation="portrait" horizontalDpi="1200" verticalDpi="1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E8C9BA-364F-4FD7-9EE5-188F92F9387D}">
  <dimension ref="A1:H200"/>
  <sheetViews>
    <sheetView workbookViewId="0">
      <selection activeCell="B16" sqref="B16"/>
    </sheetView>
  </sheetViews>
  <sheetFormatPr defaultColWidth="9.140625" defaultRowHeight="15" x14ac:dyDescent="0.25"/>
  <cols>
    <col min="1" max="1" width="42.85546875" style="386" customWidth="1"/>
    <col min="2" max="3" width="13" style="386" customWidth="1"/>
    <col min="4" max="4" width="12" style="386" customWidth="1"/>
    <col min="5" max="5" width="13" style="386" customWidth="1"/>
    <col min="6" max="6" width="15.140625" style="386" customWidth="1"/>
    <col min="7" max="7" width="14.5703125" style="386" customWidth="1"/>
    <col min="8" max="8" width="9.42578125" style="386" bestFit="1" customWidth="1"/>
    <col min="9" max="16384" width="9.140625" style="386"/>
  </cols>
  <sheetData>
    <row r="1" spans="1:8" ht="12" customHeight="1" x14ac:dyDescent="0.25">
      <c r="A1" s="385" t="s">
        <v>505</v>
      </c>
    </row>
    <row r="2" spans="1:8" ht="12" customHeight="1" x14ac:dyDescent="0.25">
      <c r="A2" s="387" t="s">
        <v>506</v>
      </c>
    </row>
    <row r="3" spans="1:8" ht="12.95" customHeight="1" x14ac:dyDescent="0.25">
      <c r="A3" s="388" t="s">
        <v>507</v>
      </c>
      <c r="B3" s="389" t="s">
        <v>508</v>
      </c>
      <c r="C3" s="389" t="s">
        <v>509</v>
      </c>
      <c r="D3" s="389" t="s">
        <v>510</v>
      </c>
      <c r="E3" s="390" t="s">
        <v>511</v>
      </c>
    </row>
    <row r="4" spans="1:8" ht="3" customHeight="1" x14ac:dyDescent="0.25">
      <c r="A4" s="391"/>
      <c r="B4" s="392"/>
      <c r="C4" s="392"/>
      <c r="D4" s="392"/>
      <c r="E4" s="392"/>
    </row>
    <row r="5" spans="1:8" ht="15" customHeight="1" x14ac:dyDescent="0.25">
      <c r="A5" s="393" t="s">
        <v>512</v>
      </c>
      <c r="B5" s="394">
        <v>43680</v>
      </c>
      <c r="C5" s="395">
        <v>43680</v>
      </c>
      <c r="D5" s="395">
        <v>43680</v>
      </c>
      <c r="E5" s="396" t="s">
        <v>513</v>
      </c>
      <c r="F5" s="386" t="s">
        <v>514</v>
      </c>
      <c r="G5" s="397" t="s">
        <v>515</v>
      </c>
    </row>
    <row r="6" spans="1:8" ht="15" customHeight="1" x14ac:dyDescent="0.25">
      <c r="A6" s="398" t="s">
        <v>516</v>
      </c>
      <c r="B6" s="399"/>
      <c r="C6" s="400"/>
      <c r="D6" s="400"/>
      <c r="E6" s="400"/>
      <c r="G6" s="397"/>
    </row>
    <row r="7" spans="1:8" ht="15.95" customHeight="1" x14ac:dyDescent="0.25">
      <c r="A7" s="401" t="s">
        <v>517</v>
      </c>
      <c r="B7" s="402">
        <v>0.34</v>
      </c>
      <c r="C7" s="402">
        <v>0.33</v>
      </c>
      <c r="D7" s="402">
        <v>0.38</v>
      </c>
      <c r="E7" s="402">
        <v>0.35</v>
      </c>
      <c r="G7" s="403">
        <f>IF(E7="","",IF(F7="Y",0,E7))</f>
        <v>0.35</v>
      </c>
      <c r="H7" s="429">
        <f>MAX(G7,G47,G87,G127,G167)</f>
        <v>0.38</v>
      </c>
    </row>
    <row r="8" spans="1:8" ht="15.95" customHeight="1" x14ac:dyDescent="0.25">
      <c r="A8" s="401" t="s">
        <v>518</v>
      </c>
      <c r="B8" s="402">
        <v>0.25</v>
      </c>
      <c r="C8" s="402">
        <v>0.3</v>
      </c>
      <c r="D8" s="402">
        <v>0.39</v>
      </c>
      <c r="E8" s="402">
        <v>0.31</v>
      </c>
      <c r="G8" s="403">
        <f t="shared" ref="G8:G72" si="0">IF(E8="","",IF(F8="Y",0,E8))</f>
        <v>0.31</v>
      </c>
      <c r="H8" s="429">
        <f t="shared" ref="H8:H9" si="1">MAX(G8,G48,G88,G128,G168)</f>
        <v>0.34</v>
      </c>
    </row>
    <row r="9" spans="1:8" ht="15" customHeight="1" x14ac:dyDescent="0.25">
      <c r="A9" s="404" t="s">
        <v>519</v>
      </c>
      <c r="B9" s="405">
        <v>0.57999999999999996</v>
      </c>
      <c r="C9" s="405">
        <v>0.63</v>
      </c>
      <c r="D9" s="405">
        <v>0.76</v>
      </c>
      <c r="E9" s="405">
        <v>0.66</v>
      </c>
      <c r="G9" s="403">
        <f t="shared" si="0"/>
        <v>0.66</v>
      </c>
      <c r="H9" s="429">
        <f t="shared" si="1"/>
        <v>0.68</v>
      </c>
    </row>
    <row r="10" spans="1:8" ht="17.100000000000001" customHeight="1" x14ac:dyDescent="0.25">
      <c r="A10" s="406" t="s">
        <v>520</v>
      </c>
      <c r="B10" s="399"/>
      <c r="C10" s="399"/>
      <c r="D10" s="399"/>
      <c r="E10" s="399"/>
      <c r="G10" s="407" t="str">
        <f t="shared" si="0"/>
        <v/>
      </c>
      <c r="H10" s="429"/>
    </row>
    <row r="11" spans="1:8" ht="15.95" customHeight="1" x14ac:dyDescent="0.25">
      <c r="A11" s="401" t="s">
        <v>521</v>
      </c>
      <c r="B11" s="408">
        <f>0.0000077/2</f>
        <v>3.8500000000000004E-6</v>
      </c>
      <c r="C11" s="408">
        <f>0.0000078/2</f>
        <v>3.8999999999999999E-6</v>
      </c>
      <c r="D11" s="409">
        <f>0.000057</f>
        <v>5.7000000000000003E-5</v>
      </c>
      <c r="E11" s="408">
        <f>AVERAGE(B11:D11)</f>
        <v>2.1583333333333334E-5</v>
      </c>
      <c r="G11" s="403">
        <f t="shared" si="0"/>
        <v>2.1583333333333334E-5</v>
      </c>
      <c r="H11" s="429">
        <f>MAX(G11,G51,G91,G131,G171)</f>
        <v>2.1583333333333334E-5</v>
      </c>
    </row>
    <row r="12" spans="1:8" ht="15.95" customHeight="1" x14ac:dyDescent="0.25">
      <c r="A12" s="401" t="s">
        <v>522</v>
      </c>
      <c r="B12" s="410" t="s">
        <v>523</v>
      </c>
      <c r="C12" s="410" t="s">
        <v>523</v>
      </c>
      <c r="D12" s="410" t="s">
        <v>523</v>
      </c>
      <c r="E12" s="409">
        <v>1.7E-6</v>
      </c>
      <c r="F12" s="386" t="s">
        <v>244</v>
      </c>
      <c r="G12" s="407">
        <f t="shared" si="0"/>
        <v>0</v>
      </c>
      <c r="H12" s="430">
        <f t="shared" ref="H12:H39" si="2">MAX(G12,G52,G92,G132,G172)</f>
        <v>6.2499999999999995E-6</v>
      </c>
    </row>
    <row r="13" spans="1:8" ht="15.95" customHeight="1" x14ac:dyDescent="0.25">
      <c r="A13" s="401" t="s">
        <v>524</v>
      </c>
      <c r="B13" s="409">
        <v>2.1999999999999999E-5</v>
      </c>
      <c r="C13" s="409">
        <v>2.1999999999999999E-5</v>
      </c>
      <c r="D13" s="409">
        <v>1.1E-4</v>
      </c>
      <c r="E13" s="409">
        <v>5.1E-5</v>
      </c>
      <c r="G13" s="403">
        <f t="shared" si="0"/>
        <v>5.1E-5</v>
      </c>
      <c r="H13" s="429">
        <f t="shared" si="2"/>
        <v>1.3999999999999999E-4</v>
      </c>
    </row>
    <row r="14" spans="1:8" ht="15" customHeight="1" x14ac:dyDescent="0.25">
      <c r="A14" s="404" t="s">
        <v>525</v>
      </c>
      <c r="B14" s="411" t="s">
        <v>526</v>
      </c>
      <c r="C14" s="411" t="s">
        <v>527</v>
      </c>
      <c r="D14" s="411" t="s">
        <v>528</v>
      </c>
      <c r="E14" s="424">
        <v>6.3999999999999997E-5</v>
      </c>
      <c r="F14" s="386" t="s">
        <v>244</v>
      </c>
      <c r="G14" s="407">
        <f t="shared" si="0"/>
        <v>0</v>
      </c>
      <c r="H14" s="430">
        <f t="shared" si="2"/>
        <v>7.9999999999999993E-5</v>
      </c>
    </row>
    <row r="15" spans="1:8" ht="17.100000000000001" customHeight="1" x14ac:dyDescent="0.25">
      <c r="A15" s="406" t="s">
        <v>529</v>
      </c>
      <c r="B15" s="399"/>
      <c r="C15" s="399"/>
      <c r="D15" s="399"/>
      <c r="E15" s="399"/>
      <c r="G15" s="407" t="str">
        <f t="shared" si="0"/>
        <v/>
      </c>
      <c r="H15" s="429"/>
    </row>
    <row r="16" spans="1:8" ht="15.95" customHeight="1" x14ac:dyDescent="0.25">
      <c r="A16" s="401" t="s">
        <v>530</v>
      </c>
      <c r="B16" s="412">
        <v>5.1000000000000004E-3</v>
      </c>
      <c r="C16" s="413">
        <v>3.9E-2</v>
      </c>
      <c r="D16" s="413">
        <v>4.2999999999999997E-2</v>
      </c>
      <c r="E16" s="414">
        <v>2.9000000000000001E-2</v>
      </c>
      <c r="G16" s="403">
        <f t="shared" si="0"/>
        <v>2.9000000000000001E-2</v>
      </c>
      <c r="H16" s="429">
        <f t="shared" si="2"/>
        <v>4.2000000000000003E-2</v>
      </c>
    </row>
    <row r="17" spans="1:8" ht="15.95" customHeight="1" x14ac:dyDescent="0.25">
      <c r="A17" s="401" t="s">
        <v>531</v>
      </c>
      <c r="B17" s="415">
        <v>-2.5000000000000001E-3</v>
      </c>
      <c r="C17" s="415">
        <v>-2.5000000000000001E-3</v>
      </c>
      <c r="D17" s="415">
        <v>-2.5999999999999999E-3</v>
      </c>
      <c r="E17" s="412">
        <v>2.5000000000000001E-3</v>
      </c>
      <c r="F17" s="386" t="s">
        <v>244</v>
      </c>
      <c r="G17" s="407">
        <f t="shared" si="0"/>
        <v>0</v>
      </c>
      <c r="H17" s="429">
        <f t="shared" si="2"/>
        <v>0</v>
      </c>
    </row>
    <row r="18" spans="1:8" ht="15.95" customHeight="1" x14ac:dyDescent="0.25">
      <c r="A18" s="401" t="s">
        <v>532</v>
      </c>
      <c r="B18" s="416">
        <v>-3.6999999999999998E-2</v>
      </c>
      <c r="C18" s="416">
        <v>-3.6999999999999998E-2</v>
      </c>
      <c r="D18" s="416">
        <v>-3.7999999999999999E-2</v>
      </c>
      <c r="E18" s="414">
        <v>3.6999999999999998E-2</v>
      </c>
      <c r="F18" s="386" t="s">
        <v>244</v>
      </c>
      <c r="G18" s="407">
        <f t="shared" si="0"/>
        <v>0</v>
      </c>
      <c r="H18" s="429">
        <f t="shared" si="2"/>
        <v>0</v>
      </c>
    </row>
    <row r="19" spans="1:8" ht="15.95" customHeight="1" x14ac:dyDescent="0.25">
      <c r="A19" s="401" t="s">
        <v>533</v>
      </c>
      <c r="B19" s="416">
        <v>-2.3E-2</v>
      </c>
      <c r="C19" s="416">
        <v>-2.3E-2</v>
      </c>
      <c r="D19" s="416">
        <v>-2.4E-2</v>
      </c>
      <c r="E19" s="414">
        <v>2.3E-2</v>
      </c>
      <c r="F19" s="386" t="s">
        <v>244</v>
      </c>
      <c r="G19" s="407">
        <f t="shared" si="0"/>
        <v>0</v>
      </c>
      <c r="H19" s="429">
        <f t="shared" si="2"/>
        <v>0</v>
      </c>
    </row>
    <row r="20" spans="1:8" ht="15.95" customHeight="1" x14ac:dyDescent="0.25">
      <c r="A20" s="401" t="s">
        <v>534</v>
      </c>
      <c r="B20" s="416">
        <v>-2.3E-2</v>
      </c>
      <c r="C20" s="416">
        <v>-2.3E-2</v>
      </c>
      <c r="D20" s="416">
        <v>-2.4E-2</v>
      </c>
      <c r="E20" s="414">
        <v>2.3E-2</v>
      </c>
      <c r="F20" s="386" t="s">
        <v>244</v>
      </c>
      <c r="G20" s="407">
        <f t="shared" si="0"/>
        <v>0</v>
      </c>
      <c r="H20" s="429">
        <f t="shared" si="2"/>
        <v>0</v>
      </c>
    </row>
    <row r="21" spans="1:8" ht="15" customHeight="1" x14ac:dyDescent="0.25">
      <c r="A21" s="404" t="s">
        <v>535</v>
      </c>
      <c r="B21" s="417">
        <v>-1.7000000000000001E-2</v>
      </c>
      <c r="C21" s="417">
        <v>-1.7999999999999999E-2</v>
      </c>
      <c r="D21" s="417">
        <v>-1.7999999999999999E-2</v>
      </c>
      <c r="E21" s="418">
        <v>1.7999999999999999E-2</v>
      </c>
      <c r="F21" s="386" t="s">
        <v>244</v>
      </c>
      <c r="G21" s="407">
        <f t="shared" si="0"/>
        <v>0</v>
      </c>
      <c r="H21" s="429">
        <f t="shared" si="2"/>
        <v>0</v>
      </c>
    </row>
    <row r="22" spans="1:8" ht="17.100000000000001" customHeight="1" x14ac:dyDescent="0.25">
      <c r="A22" s="406" t="s">
        <v>536</v>
      </c>
      <c r="B22" s="399"/>
      <c r="C22" s="399"/>
      <c r="D22" s="399"/>
      <c r="E22" s="399"/>
      <c r="G22" s="407" t="str">
        <f t="shared" si="0"/>
        <v/>
      </c>
      <c r="H22" s="429"/>
    </row>
    <row r="23" spans="1:8" ht="15.95" customHeight="1" x14ac:dyDescent="0.25">
      <c r="A23" s="401" t="s">
        <v>537</v>
      </c>
      <c r="B23" s="410" t="s">
        <v>538</v>
      </c>
      <c r="C23" s="410" t="s">
        <v>539</v>
      </c>
      <c r="D23" s="410" t="s">
        <v>538</v>
      </c>
      <c r="E23" s="409">
        <v>2.8E-5</v>
      </c>
      <c r="F23" s="386" t="s">
        <v>244</v>
      </c>
      <c r="G23" s="407">
        <f t="shared" si="0"/>
        <v>0</v>
      </c>
      <c r="H23" s="429">
        <f t="shared" si="2"/>
        <v>0</v>
      </c>
    </row>
    <row r="24" spans="1:8" ht="15.95" customHeight="1" x14ac:dyDescent="0.25">
      <c r="A24" s="401" t="s">
        <v>540</v>
      </c>
      <c r="B24" s="410" t="s">
        <v>538</v>
      </c>
      <c r="C24" s="410" t="s">
        <v>539</v>
      </c>
      <c r="D24" s="410" t="s">
        <v>538</v>
      </c>
      <c r="E24" s="409">
        <v>2.8E-5</v>
      </c>
      <c r="F24" s="386" t="s">
        <v>244</v>
      </c>
      <c r="G24" s="407">
        <f t="shared" si="0"/>
        <v>0</v>
      </c>
      <c r="H24" s="429">
        <f t="shared" si="2"/>
        <v>0</v>
      </c>
    </row>
    <row r="25" spans="1:8" ht="15.95" customHeight="1" x14ac:dyDescent="0.25">
      <c r="A25" s="401" t="s">
        <v>541</v>
      </c>
      <c r="B25" s="410" t="s">
        <v>542</v>
      </c>
      <c r="C25" s="410" t="s">
        <v>543</v>
      </c>
      <c r="D25" s="410" t="s">
        <v>544</v>
      </c>
      <c r="E25" s="409">
        <v>9.3999999999999998E-6</v>
      </c>
      <c r="F25" s="386" t="s">
        <v>244</v>
      </c>
      <c r="G25" s="407">
        <f t="shared" si="0"/>
        <v>0</v>
      </c>
      <c r="H25" s="429">
        <f t="shared" si="2"/>
        <v>0</v>
      </c>
    </row>
    <row r="26" spans="1:8" ht="15.95" customHeight="1" x14ac:dyDescent="0.25">
      <c r="A26" s="401" t="s">
        <v>545</v>
      </c>
      <c r="B26" s="410" t="s">
        <v>546</v>
      </c>
      <c r="C26" s="410" t="s">
        <v>547</v>
      </c>
      <c r="D26" s="410" t="s">
        <v>548</v>
      </c>
      <c r="E26" s="409">
        <v>7.5000000000000002E-6</v>
      </c>
      <c r="F26" s="386" t="s">
        <v>244</v>
      </c>
      <c r="G26" s="407">
        <f t="shared" si="0"/>
        <v>0</v>
      </c>
      <c r="H26" s="429">
        <f t="shared" si="2"/>
        <v>0</v>
      </c>
    </row>
    <row r="27" spans="1:8" ht="15.95" customHeight="1" x14ac:dyDescent="0.25">
      <c r="A27" s="401" t="s">
        <v>549</v>
      </c>
      <c r="B27" s="410" t="s">
        <v>542</v>
      </c>
      <c r="C27" s="410" t="s">
        <v>543</v>
      </c>
      <c r="D27" s="410" t="s">
        <v>544</v>
      </c>
      <c r="E27" s="409">
        <v>9.3999999999999998E-6</v>
      </c>
      <c r="F27" s="386" t="s">
        <v>244</v>
      </c>
      <c r="G27" s="407">
        <f t="shared" si="0"/>
        <v>0</v>
      </c>
      <c r="H27" s="429">
        <f t="shared" si="2"/>
        <v>0</v>
      </c>
    </row>
    <row r="28" spans="1:8" ht="15.95" customHeight="1" x14ac:dyDescent="0.25">
      <c r="A28" s="401" t="s">
        <v>550</v>
      </c>
      <c r="B28" s="410" t="s">
        <v>546</v>
      </c>
      <c r="C28" s="410" t="s">
        <v>547</v>
      </c>
      <c r="D28" s="410" t="s">
        <v>548</v>
      </c>
      <c r="E28" s="409">
        <v>7.5000000000000002E-6</v>
      </c>
      <c r="F28" s="386" t="s">
        <v>244</v>
      </c>
      <c r="G28" s="407">
        <f t="shared" si="0"/>
        <v>0</v>
      </c>
      <c r="H28" s="429">
        <f t="shared" si="2"/>
        <v>0</v>
      </c>
    </row>
    <row r="29" spans="1:8" ht="15.95" customHeight="1" x14ac:dyDescent="0.25">
      <c r="A29" s="401" t="s">
        <v>551</v>
      </c>
      <c r="B29" s="410" t="s">
        <v>546</v>
      </c>
      <c r="C29" s="410" t="s">
        <v>547</v>
      </c>
      <c r="D29" s="410" t="s">
        <v>548</v>
      </c>
      <c r="E29" s="409">
        <v>7.5000000000000002E-6</v>
      </c>
      <c r="F29" s="386" t="s">
        <v>244</v>
      </c>
      <c r="G29" s="407">
        <f t="shared" si="0"/>
        <v>0</v>
      </c>
      <c r="H29" s="429">
        <f t="shared" si="2"/>
        <v>0</v>
      </c>
    </row>
    <row r="30" spans="1:8" ht="15.95" customHeight="1" x14ac:dyDescent="0.25">
      <c r="A30" s="401" t="s">
        <v>552</v>
      </c>
      <c r="B30" s="410" t="s">
        <v>542</v>
      </c>
      <c r="C30" s="410" t="s">
        <v>543</v>
      </c>
      <c r="D30" s="410" t="s">
        <v>544</v>
      </c>
      <c r="E30" s="409">
        <v>9.3999999999999998E-6</v>
      </c>
      <c r="F30" s="386" t="s">
        <v>244</v>
      </c>
      <c r="G30" s="407">
        <f t="shared" si="0"/>
        <v>0</v>
      </c>
      <c r="H30" s="429">
        <f t="shared" si="2"/>
        <v>0</v>
      </c>
    </row>
    <row r="31" spans="1:8" ht="15.95" customHeight="1" x14ac:dyDescent="0.25">
      <c r="A31" s="401" t="s">
        <v>553</v>
      </c>
      <c r="B31" s="410" t="s">
        <v>546</v>
      </c>
      <c r="C31" s="410" t="s">
        <v>547</v>
      </c>
      <c r="D31" s="410" t="s">
        <v>548</v>
      </c>
      <c r="E31" s="409">
        <v>7.5000000000000002E-6</v>
      </c>
      <c r="F31" s="386" t="s">
        <v>244</v>
      </c>
      <c r="G31" s="407">
        <f t="shared" si="0"/>
        <v>0</v>
      </c>
      <c r="H31" s="429">
        <f t="shared" si="2"/>
        <v>0</v>
      </c>
    </row>
    <row r="32" spans="1:8" ht="15.95" customHeight="1" x14ac:dyDescent="0.25">
      <c r="A32" s="401" t="s">
        <v>554</v>
      </c>
      <c r="B32" s="410" t="s">
        <v>546</v>
      </c>
      <c r="C32" s="410" t="s">
        <v>547</v>
      </c>
      <c r="D32" s="410" t="s">
        <v>548</v>
      </c>
      <c r="E32" s="409">
        <v>7.5000000000000002E-6</v>
      </c>
      <c r="F32" s="386" t="s">
        <v>244</v>
      </c>
      <c r="G32" s="407">
        <f t="shared" si="0"/>
        <v>0</v>
      </c>
      <c r="H32" s="429">
        <f t="shared" si="2"/>
        <v>0</v>
      </c>
    </row>
    <row r="33" spans="1:8" ht="15.95" customHeight="1" x14ac:dyDescent="0.25">
      <c r="A33" s="401" t="s">
        <v>555</v>
      </c>
      <c r="B33" s="410" t="s">
        <v>556</v>
      </c>
      <c r="C33" s="410" t="s">
        <v>556</v>
      </c>
      <c r="D33" s="410" t="s">
        <v>556</v>
      </c>
      <c r="E33" s="409">
        <v>1.9000000000000001E-5</v>
      </c>
      <c r="F33" s="386" t="s">
        <v>244</v>
      </c>
      <c r="G33" s="407">
        <f t="shared" si="0"/>
        <v>0</v>
      </c>
      <c r="H33" s="429">
        <f t="shared" si="2"/>
        <v>0</v>
      </c>
    </row>
    <row r="34" spans="1:8" ht="15.95" customHeight="1" x14ac:dyDescent="0.25">
      <c r="A34" s="401" t="s">
        <v>557</v>
      </c>
      <c r="B34" s="401" t="s">
        <v>558</v>
      </c>
      <c r="C34" s="401" t="s">
        <v>559</v>
      </c>
      <c r="D34" s="401" t="s">
        <v>559</v>
      </c>
      <c r="E34" s="401">
        <f>0.00006</f>
        <v>6.0000000000000002E-5</v>
      </c>
      <c r="G34" s="403">
        <f t="shared" si="0"/>
        <v>6.0000000000000002E-5</v>
      </c>
      <c r="H34" s="429">
        <f t="shared" si="2"/>
        <v>6.7999999999999999E-5</v>
      </c>
    </row>
    <row r="35" spans="1:8" ht="15.95" customHeight="1" x14ac:dyDescent="0.25">
      <c r="A35" s="401" t="s">
        <v>560</v>
      </c>
      <c r="B35" s="410" t="s">
        <v>542</v>
      </c>
      <c r="C35" s="410" t="s">
        <v>543</v>
      </c>
      <c r="D35" s="410" t="s">
        <v>544</v>
      </c>
      <c r="E35" s="409">
        <v>9.3999999999999998E-6</v>
      </c>
      <c r="F35" s="386" t="s">
        <v>244</v>
      </c>
      <c r="G35" s="407">
        <f t="shared" si="0"/>
        <v>0</v>
      </c>
      <c r="H35" s="429">
        <f t="shared" si="2"/>
        <v>0</v>
      </c>
    </row>
    <row r="36" spans="1:8" ht="15.95" customHeight="1" x14ac:dyDescent="0.25">
      <c r="A36" s="401" t="s">
        <v>561</v>
      </c>
      <c r="B36" s="401" t="s">
        <v>562</v>
      </c>
      <c r="C36" s="401" t="s">
        <v>563</v>
      </c>
      <c r="D36" s="401" t="s">
        <v>564</v>
      </c>
      <c r="E36" s="401">
        <f>0.0015</f>
        <v>1.5E-3</v>
      </c>
      <c r="G36" s="403">
        <f t="shared" si="0"/>
        <v>1.5E-3</v>
      </c>
      <c r="H36" s="429">
        <f t="shared" si="2"/>
        <v>1.5E-3</v>
      </c>
    </row>
    <row r="37" spans="1:8" ht="15.95" customHeight="1" x14ac:dyDescent="0.25">
      <c r="A37" s="401" t="s">
        <v>565</v>
      </c>
      <c r="B37" s="401" t="s">
        <v>566</v>
      </c>
      <c r="C37" s="401" t="s">
        <v>567</v>
      </c>
      <c r="D37" s="401" t="s">
        <v>567</v>
      </c>
      <c r="E37" s="401">
        <f>0.00013</f>
        <v>1.2999999999999999E-4</v>
      </c>
      <c r="G37" s="403">
        <f t="shared" si="0"/>
        <v>1.2999999999999999E-4</v>
      </c>
      <c r="H37" s="429">
        <f t="shared" si="2"/>
        <v>1.4999999999999999E-4</v>
      </c>
    </row>
    <row r="38" spans="1:8" ht="15.95" customHeight="1" x14ac:dyDescent="0.25">
      <c r="A38" s="404" t="s">
        <v>568</v>
      </c>
      <c r="B38" s="404" t="s">
        <v>566</v>
      </c>
      <c r="C38" s="404" t="s">
        <v>566</v>
      </c>
      <c r="D38" s="404" t="s">
        <v>567</v>
      </c>
      <c r="E38" s="404">
        <f>0.00013</f>
        <v>1.2999999999999999E-4</v>
      </c>
      <c r="G38" s="403">
        <f t="shared" si="0"/>
        <v>1.2999999999999999E-4</v>
      </c>
      <c r="H38" s="429">
        <f t="shared" si="2"/>
        <v>1.4999999999999999E-4</v>
      </c>
    </row>
    <row r="39" spans="1:8" ht="15.95" customHeight="1" x14ac:dyDescent="0.25">
      <c r="A39" s="419" t="s">
        <v>569</v>
      </c>
      <c r="B39" s="420"/>
      <c r="C39" s="420"/>
      <c r="D39" s="420"/>
      <c r="E39" s="420"/>
      <c r="G39" s="403">
        <f>SUM(G23:G38)-G36</f>
        <v>3.1999999999999976E-4</v>
      </c>
      <c r="H39" s="429">
        <f t="shared" si="2"/>
        <v>3.6799999999999984E-4</v>
      </c>
    </row>
    <row r="40" spans="1:8" ht="11.1" customHeight="1" x14ac:dyDescent="0.25">
      <c r="A40" s="421" t="s">
        <v>570</v>
      </c>
      <c r="G40" s="397" t="str">
        <f t="shared" si="0"/>
        <v/>
      </c>
    </row>
    <row r="41" spans="1:8" ht="12" customHeight="1" x14ac:dyDescent="0.25">
      <c r="A41" s="385" t="s">
        <v>571</v>
      </c>
      <c r="G41" s="397" t="str">
        <f t="shared" si="0"/>
        <v/>
      </c>
    </row>
    <row r="42" spans="1:8" ht="12" customHeight="1" x14ac:dyDescent="0.25">
      <c r="A42" s="387" t="s">
        <v>572</v>
      </c>
      <c r="G42" s="397" t="str">
        <f t="shared" si="0"/>
        <v/>
      </c>
    </row>
    <row r="43" spans="1:8" ht="12.95" customHeight="1" x14ac:dyDescent="0.25">
      <c r="A43" s="388" t="s">
        <v>507</v>
      </c>
      <c r="B43" s="389" t="s">
        <v>508</v>
      </c>
      <c r="C43" s="389" t="s">
        <v>509</v>
      </c>
      <c r="D43" s="389" t="s">
        <v>510</v>
      </c>
      <c r="E43" s="390" t="s">
        <v>511</v>
      </c>
      <c r="G43" s="397" t="str">
        <f t="shared" si="0"/>
        <v>Average</v>
      </c>
    </row>
    <row r="44" spans="1:8" ht="3" customHeight="1" x14ac:dyDescent="0.25">
      <c r="A44" s="391"/>
      <c r="B44" s="392"/>
      <c r="C44" s="392"/>
      <c r="D44" s="392"/>
      <c r="E44" s="392"/>
      <c r="G44" s="397" t="str">
        <f t="shared" si="0"/>
        <v/>
      </c>
    </row>
    <row r="45" spans="1:8" ht="15" customHeight="1" x14ac:dyDescent="0.25">
      <c r="A45" s="393" t="s">
        <v>512</v>
      </c>
      <c r="B45" s="394">
        <v>43649</v>
      </c>
      <c r="C45" s="395">
        <v>43649</v>
      </c>
      <c r="D45" s="395">
        <v>43649</v>
      </c>
      <c r="E45" s="396" t="s">
        <v>513</v>
      </c>
      <c r="G45" s="397" t="str">
        <f t="shared" si="0"/>
        <v>--</v>
      </c>
    </row>
    <row r="46" spans="1:8" ht="15.95" customHeight="1" x14ac:dyDescent="0.25">
      <c r="A46" s="398" t="s">
        <v>516</v>
      </c>
      <c r="B46" s="399"/>
      <c r="C46" s="400"/>
      <c r="D46" s="400"/>
      <c r="E46" s="400"/>
      <c r="G46" s="397" t="str">
        <f t="shared" si="0"/>
        <v/>
      </c>
    </row>
    <row r="47" spans="1:8" ht="15.95" customHeight="1" x14ac:dyDescent="0.25">
      <c r="A47" s="401" t="s">
        <v>517</v>
      </c>
      <c r="B47" s="402">
        <v>0.36</v>
      </c>
      <c r="C47" s="402">
        <v>0.32</v>
      </c>
      <c r="D47" s="402">
        <v>0.34</v>
      </c>
      <c r="E47" s="402">
        <v>0.34</v>
      </c>
      <c r="G47" s="403">
        <f t="shared" si="0"/>
        <v>0.34</v>
      </c>
    </row>
    <row r="48" spans="1:8" ht="15.95" customHeight="1" x14ac:dyDescent="0.25">
      <c r="A48" s="401" t="s">
        <v>518</v>
      </c>
      <c r="B48" s="402">
        <v>0.33</v>
      </c>
      <c r="C48" s="402">
        <v>0.31</v>
      </c>
      <c r="D48" s="402">
        <v>0.39</v>
      </c>
      <c r="E48" s="402">
        <v>0.34</v>
      </c>
      <c r="G48" s="403">
        <f t="shared" si="0"/>
        <v>0.34</v>
      </c>
    </row>
    <row r="49" spans="1:7" ht="15" customHeight="1" x14ac:dyDescent="0.25">
      <c r="A49" s="404" t="s">
        <v>519</v>
      </c>
      <c r="B49" s="405">
        <v>0.68</v>
      </c>
      <c r="C49" s="405">
        <v>0.62</v>
      </c>
      <c r="D49" s="405">
        <v>0.73</v>
      </c>
      <c r="E49" s="405">
        <v>0.68</v>
      </c>
      <c r="G49" s="403">
        <f t="shared" si="0"/>
        <v>0.68</v>
      </c>
    </row>
    <row r="50" spans="1:7" ht="17.100000000000001" customHeight="1" x14ac:dyDescent="0.25">
      <c r="A50" s="406" t="s">
        <v>520</v>
      </c>
      <c r="B50" s="399"/>
      <c r="C50" s="399"/>
      <c r="D50" s="399"/>
      <c r="E50" s="399"/>
      <c r="G50" s="407" t="str">
        <f t="shared" si="0"/>
        <v/>
      </c>
    </row>
    <row r="51" spans="1:7" ht="15.95" customHeight="1" x14ac:dyDescent="0.25">
      <c r="A51" s="401" t="s">
        <v>521</v>
      </c>
      <c r="B51" s="410" t="s">
        <v>573</v>
      </c>
      <c r="C51" s="410" t="s">
        <v>573</v>
      </c>
      <c r="D51" s="410" t="s">
        <v>573</v>
      </c>
      <c r="E51" s="409">
        <v>1.1E-5</v>
      </c>
      <c r="F51" s="386" t="s">
        <v>244</v>
      </c>
      <c r="G51" s="407">
        <f t="shared" si="0"/>
        <v>0</v>
      </c>
    </row>
    <row r="52" spans="1:7" ht="15.95" customHeight="1" x14ac:dyDescent="0.25">
      <c r="A52" s="401" t="s">
        <v>522</v>
      </c>
      <c r="B52" s="410" t="s">
        <v>574</v>
      </c>
      <c r="C52" s="410" t="s">
        <v>574</v>
      </c>
      <c r="D52" s="410" t="s">
        <v>575</v>
      </c>
      <c r="E52" s="409">
        <v>2.5000000000000002E-6</v>
      </c>
      <c r="F52" s="386" t="s">
        <v>244</v>
      </c>
      <c r="G52" s="407">
        <f t="shared" si="0"/>
        <v>0</v>
      </c>
    </row>
    <row r="53" spans="1:7" ht="15.95" customHeight="1" x14ac:dyDescent="0.25">
      <c r="A53" s="401" t="s">
        <v>524</v>
      </c>
      <c r="B53" s="401" t="s">
        <v>576</v>
      </c>
      <c r="C53" s="401" t="s">
        <v>577</v>
      </c>
      <c r="D53" s="401" t="s">
        <v>578</v>
      </c>
      <c r="E53" s="409">
        <v>2.3E-5</v>
      </c>
      <c r="G53" s="403">
        <f t="shared" si="0"/>
        <v>2.3E-5</v>
      </c>
    </row>
    <row r="54" spans="1:7" ht="15" customHeight="1" x14ac:dyDescent="0.25">
      <c r="A54" s="404" t="s">
        <v>525</v>
      </c>
      <c r="B54" s="411" t="s">
        <v>579</v>
      </c>
      <c r="C54" s="411" t="s">
        <v>580</v>
      </c>
      <c r="D54" s="411" t="s">
        <v>580</v>
      </c>
      <c r="E54" s="424">
        <v>5.3999999999999998E-5</v>
      </c>
      <c r="F54" s="386" t="s">
        <v>244</v>
      </c>
      <c r="G54" s="407">
        <f t="shared" si="0"/>
        <v>0</v>
      </c>
    </row>
    <row r="55" spans="1:7" ht="17.100000000000001" customHeight="1" x14ac:dyDescent="0.25">
      <c r="A55" s="406" t="s">
        <v>529</v>
      </c>
      <c r="B55" s="399"/>
      <c r="C55" s="399"/>
      <c r="D55" s="399"/>
      <c r="E55" s="399"/>
      <c r="G55" s="407" t="str">
        <f t="shared" si="0"/>
        <v/>
      </c>
    </row>
    <row r="56" spans="1:7" ht="15.95" customHeight="1" x14ac:dyDescent="0.25">
      <c r="A56" s="401" t="s">
        <v>530</v>
      </c>
      <c r="B56" s="413">
        <v>4.1000000000000002E-2</v>
      </c>
      <c r="C56" s="413">
        <v>0.04</v>
      </c>
      <c r="D56" s="413">
        <v>4.2999999999999997E-2</v>
      </c>
      <c r="E56" s="414">
        <v>4.2000000000000003E-2</v>
      </c>
      <c r="G56" s="403">
        <f t="shared" si="0"/>
        <v>4.2000000000000003E-2</v>
      </c>
    </row>
    <row r="57" spans="1:7" ht="15.95" customHeight="1" x14ac:dyDescent="0.25">
      <c r="A57" s="401" t="s">
        <v>531</v>
      </c>
      <c r="B57" s="415">
        <v>-3.3999999999999998E-3</v>
      </c>
      <c r="C57" s="415">
        <v>-3.3999999999999998E-3</v>
      </c>
      <c r="D57" s="415">
        <v>-3.3E-3</v>
      </c>
      <c r="E57" s="412">
        <v>3.3999999999999998E-3</v>
      </c>
      <c r="F57" s="386" t="s">
        <v>244</v>
      </c>
      <c r="G57" s="407">
        <f t="shared" si="0"/>
        <v>0</v>
      </c>
    </row>
    <row r="58" spans="1:7" ht="15.95" customHeight="1" x14ac:dyDescent="0.25">
      <c r="A58" s="401" t="s">
        <v>532</v>
      </c>
      <c r="B58" s="416">
        <v>-4.9000000000000002E-2</v>
      </c>
      <c r="C58" s="416">
        <v>-0.05</v>
      </c>
      <c r="D58" s="416">
        <v>-4.9000000000000002E-2</v>
      </c>
      <c r="E58" s="414">
        <v>4.9000000000000002E-2</v>
      </c>
      <c r="F58" s="386" t="s">
        <v>244</v>
      </c>
      <c r="G58" s="407">
        <f t="shared" si="0"/>
        <v>0</v>
      </c>
    </row>
    <row r="59" spans="1:7" ht="15.95" customHeight="1" x14ac:dyDescent="0.25">
      <c r="A59" s="401" t="s">
        <v>533</v>
      </c>
      <c r="B59" s="416">
        <v>-2.9000000000000001E-2</v>
      </c>
      <c r="C59" s="416">
        <v>-0.03</v>
      </c>
      <c r="D59" s="416">
        <v>-2.9000000000000001E-2</v>
      </c>
      <c r="E59" s="414">
        <v>2.9000000000000001E-2</v>
      </c>
      <c r="F59" s="386" t="s">
        <v>244</v>
      </c>
      <c r="G59" s="407">
        <f>IF(E59="","",IF(F59="Y",0,E59))</f>
        <v>0</v>
      </c>
    </row>
    <row r="60" spans="1:7" ht="15.95" customHeight="1" x14ac:dyDescent="0.25">
      <c r="A60" s="401" t="s">
        <v>534</v>
      </c>
      <c r="B60" s="416">
        <v>-3.1E-2</v>
      </c>
      <c r="C60" s="416">
        <v>-3.1E-2</v>
      </c>
      <c r="D60" s="416">
        <v>-3.1E-2</v>
      </c>
      <c r="E60" s="414">
        <v>3.1E-2</v>
      </c>
      <c r="F60" s="386" t="s">
        <v>244</v>
      </c>
      <c r="G60" s="407">
        <f t="shared" si="0"/>
        <v>0</v>
      </c>
    </row>
    <row r="61" spans="1:7" ht="15" customHeight="1" x14ac:dyDescent="0.25">
      <c r="A61" s="404" t="s">
        <v>535</v>
      </c>
      <c r="B61" s="417">
        <v>-2.3E-2</v>
      </c>
      <c r="C61" s="417">
        <v>-2.4E-2</v>
      </c>
      <c r="D61" s="417">
        <v>-2.3E-2</v>
      </c>
      <c r="E61" s="418">
        <v>2.3E-2</v>
      </c>
      <c r="F61" s="386" t="s">
        <v>244</v>
      </c>
      <c r="G61" s="407">
        <f t="shared" si="0"/>
        <v>0</v>
      </c>
    </row>
    <row r="62" spans="1:7" ht="17.100000000000001" customHeight="1" x14ac:dyDescent="0.25">
      <c r="A62" s="406" t="s">
        <v>536</v>
      </c>
      <c r="B62" s="399"/>
      <c r="C62" s="399"/>
      <c r="D62" s="399"/>
      <c r="E62" s="399"/>
      <c r="G62" s="407" t="str">
        <f t="shared" si="0"/>
        <v/>
      </c>
    </row>
    <row r="63" spans="1:7" ht="15.95" customHeight="1" x14ac:dyDescent="0.25">
      <c r="A63" s="401" t="s">
        <v>537</v>
      </c>
      <c r="B63" s="410" t="s">
        <v>581</v>
      </c>
      <c r="C63" s="410" t="s">
        <v>582</v>
      </c>
      <c r="D63" s="410" t="s">
        <v>581</v>
      </c>
      <c r="E63" s="409">
        <v>4.3000000000000002E-5</v>
      </c>
      <c r="F63" s="386" t="s">
        <v>244</v>
      </c>
      <c r="G63" s="407">
        <f t="shared" si="0"/>
        <v>0</v>
      </c>
    </row>
    <row r="64" spans="1:7" ht="15.95" customHeight="1" x14ac:dyDescent="0.25">
      <c r="A64" s="401" t="s">
        <v>540</v>
      </c>
      <c r="B64" s="410" t="s">
        <v>581</v>
      </c>
      <c r="C64" s="410" t="s">
        <v>582</v>
      </c>
      <c r="D64" s="410" t="s">
        <v>581</v>
      </c>
      <c r="E64" s="409">
        <v>4.3000000000000002E-5</v>
      </c>
      <c r="F64" s="386" t="s">
        <v>244</v>
      </c>
      <c r="G64" s="407">
        <f t="shared" si="0"/>
        <v>0</v>
      </c>
    </row>
    <row r="65" spans="1:7" ht="15.95" customHeight="1" x14ac:dyDescent="0.25">
      <c r="A65" s="401" t="s">
        <v>541</v>
      </c>
      <c r="B65" s="410" t="s">
        <v>573</v>
      </c>
      <c r="C65" s="410" t="s">
        <v>573</v>
      </c>
      <c r="D65" s="410" t="s">
        <v>583</v>
      </c>
      <c r="E65" s="409">
        <v>1.2E-5</v>
      </c>
      <c r="F65" s="386" t="s">
        <v>244</v>
      </c>
      <c r="G65" s="407">
        <f t="shared" si="0"/>
        <v>0</v>
      </c>
    </row>
    <row r="66" spans="1:7" ht="15.95" customHeight="1" x14ac:dyDescent="0.25">
      <c r="A66" s="401" t="s">
        <v>545</v>
      </c>
      <c r="B66" s="410" t="s">
        <v>573</v>
      </c>
      <c r="C66" s="410" t="s">
        <v>573</v>
      </c>
      <c r="D66" s="410" t="s">
        <v>584</v>
      </c>
      <c r="E66" s="409">
        <v>1.1E-5</v>
      </c>
      <c r="F66" s="386" t="s">
        <v>244</v>
      </c>
      <c r="G66" s="407">
        <f t="shared" si="0"/>
        <v>0</v>
      </c>
    </row>
    <row r="67" spans="1:7" ht="15.95" customHeight="1" x14ac:dyDescent="0.25">
      <c r="A67" s="401" t="s">
        <v>549</v>
      </c>
      <c r="B67" s="410" t="s">
        <v>583</v>
      </c>
      <c r="C67" s="410" t="s">
        <v>583</v>
      </c>
      <c r="D67" s="410" t="s">
        <v>583</v>
      </c>
      <c r="E67" s="409">
        <v>1.4E-5</v>
      </c>
      <c r="F67" s="386" t="s">
        <v>244</v>
      </c>
      <c r="G67" s="407">
        <f t="shared" si="0"/>
        <v>0</v>
      </c>
    </row>
    <row r="68" spans="1:7" ht="15.95" customHeight="1" x14ac:dyDescent="0.25">
      <c r="A68" s="401" t="s">
        <v>550</v>
      </c>
      <c r="B68" s="410" t="s">
        <v>573</v>
      </c>
      <c r="C68" s="410" t="s">
        <v>573</v>
      </c>
      <c r="D68" s="410" t="s">
        <v>584</v>
      </c>
      <c r="E68" s="409">
        <v>1.1E-5</v>
      </c>
      <c r="F68" s="386" t="s">
        <v>244</v>
      </c>
      <c r="G68" s="407">
        <f t="shared" si="0"/>
        <v>0</v>
      </c>
    </row>
    <row r="69" spans="1:7" ht="15.95" customHeight="1" x14ac:dyDescent="0.25">
      <c r="A69" s="401" t="s">
        <v>551</v>
      </c>
      <c r="B69" s="410" t="s">
        <v>573</v>
      </c>
      <c r="C69" s="410" t="s">
        <v>573</v>
      </c>
      <c r="D69" s="410" t="s">
        <v>584</v>
      </c>
      <c r="E69" s="409">
        <v>1.1E-5</v>
      </c>
      <c r="F69" s="386" t="s">
        <v>244</v>
      </c>
      <c r="G69" s="407">
        <f t="shared" si="0"/>
        <v>0</v>
      </c>
    </row>
    <row r="70" spans="1:7" ht="15.95" customHeight="1" x14ac:dyDescent="0.25">
      <c r="A70" s="401" t="s">
        <v>552</v>
      </c>
      <c r="B70" s="410" t="s">
        <v>583</v>
      </c>
      <c r="C70" s="410" t="s">
        <v>583</v>
      </c>
      <c r="D70" s="410" t="s">
        <v>583</v>
      </c>
      <c r="E70" s="409">
        <v>1.4E-5</v>
      </c>
      <c r="F70" s="386" t="s">
        <v>244</v>
      </c>
      <c r="G70" s="407">
        <f t="shared" si="0"/>
        <v>0</v>
      </c>
    </row>
    <row r="71" spans="1:7" ht="15.95" customHeight="1" x14ac:dyDescent="0.25">
      <c r="A71" s="401" t="s">
        <v>553</v>
      </c>
      <c r="B71" s="410" t="s">
        <v>573</v>
      </c>
      <c r="C71" s="410" t="s">
        <v>573</v>
      </c>
      <c r="D71" s="410" t="s">
        <v>584</v>
      </c>
      <c r="E71" s="409">
        <v>1.1E-5</v>
      </c>
      <c r="F71" s="386" t="s">
        <v>244</v>
      </c>
      <c r="G71" s="407">
        <f t="shared" si="0"/>
        <v>0</v>
      </c>
    </row>
    <row r="72" spans="1:7" ht="15.95" customHeight="1" x14ac:dyDescent="0.25">
      <c r="A72" s="401" t="s">
        <v>554</v>
      </c>
      <c r="B72" s="410" t="s">
        <v>573</v>
      </c>
      <c r="C72" s="410" t="s">
        <v>573</v>
      </c>
      <c r="D72" s="410" t="s">
        <v>584</v>
      </c>
      <c r="E72" s="409">
        <v>1.1E-5</v>
      </c>
      <c r="F72" s="386" t="s">
        <v>244</v>
      </c>
      <c r="G72" s="407">
        <f t="shared" si="0"/>
        <v>0</v>
      </c>
    </row>
    <row r="73" spans="1:7" ht="15.95" customHeight="1" x14ac:dyDescent="0.25">
      <c r="A73" s="401" t="s">
        <v>555</v>
      </c>
      <c r="B73" s="410" t="s">
        <v>573</v>
      </c>
      <c r="C73" s="410" t="s">
        <v>573</v>
      </c>
      <c r="D73" s="410" t="s">
        <v>539</v>
      </c>
      <c r="E73" s="409">
        <v>1.7E-5</v>
      </c>
      <c r="F73" s="386" t="s">
        <v>244</v>
      </c>
      <c r="G73" s="407">
        <f t="shared" ref="G73:G138" si="3">IF(E73="","",IF(F73="Y",0,E73))</f>
        <v>0</v>
      </c>
    </row>
    <row r="74" spans="1:7" ht="15.95" customHeight="1" x14ac:dyDescent="0.25">
      <c r="A74" s="401" t="s">
        <v>557</v>
      </c>
      <c r="B74" s="401" t="s">
        <v>585</v>
      </c>
      <c r="C74" s="401" t="s">
        <v>585</v>
      </c>
      <c r="D74" s="401" t="s">
        <v>586</v>
      </c>
      <c r="E74" s="401">
        <f>0.000046</f>
        <v>4.6E-5</v>
      </c>
      <c r="G74" s="403">
        <f t="shared" si="3"/>
        <v>4.6E-5</v>
      </c>
    </row>
    <row r="75" spans="1:7" ht="15.95" customHeight="1" x14ac:dyDescent="0.25">
      <c r="A75" s="401" t="s">
        <v>560</v>
      </c>
      <c r="B75" s="410" t="s">
        <v>583</v>
      </c>
      <c r="C75" s="410" t="s">
        <v>583</v>
      </c>
      <c r="D75" s="410" t="s">
        <v>583</v>
      </c>
      <c r="E75" s="409">
        <v>1.4E-5</v>
      </c>
      <c r="F75" s="386" t="s">
        <v>244</v>
      </c>
      <c r="G75" s="407">
        <f t="shared" si="3"/>
        <v>0</v>
      </c>
    </row>
    <row r="76" spans="1:7" ht="15.95" customHeight="1" x14ac:dyDescent="0.25">
      <c r="A76" s="401" t="s">
        <v>561</v>
      </c>
      <c r="B76" s="401" t="s">
        <v>587</v>
      </c>
      <c r="C76" s="401" t="s">
        <v>562</v>
      </c>
      <c r="D76" s="401" t="s">
        <v>562</v>
      </c>
      <c r="E76" s="401">
        <f>0.0012</f>
        <v>1.1999999999999999E-3</v>
      </c>
      <c r="G76" s="403">
        <f t="shared" si="3"/>
        <v>1.1999999999999999E-3</v>
      </c>
    </row>
    <row r="77" spans="1:7" ht="15.95" customHeight="1" x14ac:dyDescent="0.25">
      <c r="A77" s="401" t="s">
        <v>565</v>
      </c>
      <c r="B77" s="401" t="s">
        <v>588</v>
      </c>
      <c r="C77" s="401" t="s">
        <v>589</v>
      </c>
      <c r="D77" s="401" t="s">
        <v>566</v>
      </c>
      <c r="E77" s="401">
        <f>0.00011</f>
        <v>1.1E-4</v>
      </c>
      <c r="G77" s="403">
        <f t="shared" si="3"/>
        <v>1.1E-4</v>
      </c>
    </row>
    <row r="78" spans="1:7" ht="15.95" customHeight="1" x14ac:dyDescent="0.25">
      <c r="A78" s="404" t="s">
        <v>568</v>
      </c>
      <c r="B78" s="404" t="s">
        <v>567</v>
      </c>
      <c r="C78" s="404" t="s">
        <v>590</v>
      </c>
      <c r="D78" s="404" t="s">
        <v>591</v>
      </c>
      <c r="E78" s="404">
        <f>0.00012</f>
        <v>1.2E-4</v>
      </c>
      <c r="G78" s="403">
        <f t="shared" si="3"/>
        <v>1.2E-4</v>
      </c>
    </row>
    <row r="79" spans="1:7" ht="15.95" customHeight="1" x14ac:dyDescent="0.25">
      <c r="A79" s="419" t="s">
        <v>569</v>
      </c>
      <c r="B79" s="420"/>
      <c r="C79" s="420"/>
      <c r="D79" s="420"/>
      <c r="E79" s="420"/>
      <c r="G79" s="403">
        <f>SUM(G63:G78)-G76</f>
        <v>2.760000000000002E-4</v>
      </c>
    </row>
    <row r="80" spans="1:7" ht="11.1" customHeight="1" x14ac:dyDescent="0.25">
      <c r="A80" s="421" t="s">
        <v>570</v>
      </c>
      <c r="G80" s="397" t="str">
        <f t="shared" si="3"/>
        <v/>
      </c>
    </row>
    <row r="81" spans="1:7" ht="12" customHeight="1" x14ac:dyDescent="0.25">
      <c r="A81" s="385" t="s">
        <v>592</v>
      </c>
      <c r="G81" s="397" t="str">
        <f t="shared" si="3"/>
        <v/>
      </c>
    </row>
    <row r="82" spans="1:7" ht="12" customHeight="1" x14ac:dyDescent="0.25">
      <c r="A82" s="387" t="s">
        <v>593</v>
      </c>
      <c r="G82" s="397" t="str">
        <f t="shared" si="3"/>
        <v/>
      </c>
    </row>
    <row r="83" spans="1:7" ht="12.95" customHeight="1" x14ac:dyDescent="0.25">
      <c r="A83" s="388" t="s">
        <v>507</v>
      </c>
      <c r="B83" s="389" t="s">
        <v>508</v>
      </c>
      <c r="C83" s="389" t="s">
        <v>509</v>
      </c>
      <c r="D83" s="389" t="s">
        <v>510</v>
      </c>
      <c r="E83" s="390" t="s">
        <v>511</v>
      </c>
      <c r="G83" s="397" t="str">
        <f t="shared" si="3"/>
        <v>Average</v>
      </c>
    </row>
    <row r="84" spans="1:7" ht="3" customHeight="1" x14ac:dyDescent="0.25">
      <c r="A84" s="391"/>
      <c r="B84" s="392"/>
      <c r="C84" s="392"/>
      <c r="D84" s="392"/>
      <c r="E84" s="392"/>
      <c r="G84" s="397" t="str">
        <f t="shared" si="3"/>
        <v/>
      </c>
    </row>
    <row r="85" spans="1:7" ht="15" customHeight="1" x14ac:dyDescent="0.25">
      <c r="A85" s="393" t="s">
        <v>512</v>
      </c>
      <c r="B85" s="394">
        <v>43619</v>
      </c>
      <c r="C85" s="395">
        <v>43619</v>
      </c>
      <c r="D85" s="395">
        <v>43619</v>
      </c>
      <c r="E85" s="396" t="s">
        <v>513</v>
      </c>
      <c r="G85" s="397" t="str">
        <f t="shared" si="3"/>
        <v>--</v>
      </c>
    </row>
    <row r="86" spans="1:7" ht="15" customHeight="1" x14ac:dyDescent="0.25">
      <c r="A86" s="398" t="s">
        <v>516</v>
      </c>
      <c r="B86" s="399"/>
      <c r="C86" s="400"/>
      <c r="D86" s="400"/>
      <c r="E86" s="400"/>
      <c r="G86" s="397" t="str">
        <f t="shared" si="3"/>
        <v/>
      </c>
    </row>
    <row r="87" spans="1:7" ht="15.95" customHeight="1" x14ac:dyDescent="0.25">
      <c r="A87" s="401" t="s">
        <v>517</v>
      </c>
      <c r="B87" s="402">
        <v>0.22</v>
      </c>
      <c r="C87" s="402">
        <v>0.38</v>
      </c>
      <c r="D87" s="402">
        <v>0.54</v>
      </c>
      <c r="E87" s="402">
        <v>0.38</v>
      </c>
      <c r="G87" s="403">
        <f t="shared" si="3"/>
        <v>0.38</v>
      </c>
    </row>
    <row r="88" spans="1:7" ht="15.95" customHeight="1" x14ac:dyDescent="0.25">
      <c r="A88" s="401" t="s">
        <v>518</v>
      </c>
      <c r="B88" s="402">
        <v>0.27</v>
      </c>
      <c r="C88" s="402">
        <v>0.28999999999999998</v>
      </c>
      <c r="D88" s="402">
        <v>0.28999999999999998</v>
      </c>
      <c r="E88" s="402">
        <v>0.28000000000000003</v>
      </c>
      <c r="G88" s="403">
        <f t="shared" si="3"/>
        <v>0.28000000000000003</v>
      </c>
    </row>
    <row r="89" spans="1:7" ht="15" customHeight="1" x14ac:dyDescent="0.25">
      <c r="A89" s="404" t="s">
        <v>519</v>
      </c>
      <c r="B89" s="405">
        <v>0.49</v>
      </c>
      <c r="C89" s="405">
        <v>0.67</v>
      </c>
      <c r="D89" s="405">
        <v>0.83</v>
      </c>
      <c r="E89" s="405">
        <v>0.66</v>
      </c>
      <c r="G89" s="403">
        <f t="shared" si="3"/>
        <v>0.66</v>
      </c>
    </row>
    <row r="90" spans="1:7" ht="17.100000000000001" customHeight="1" x14ac:dyDescent="0.25">
      <c r="A90" s="406" t="s">
        <v>520</v>
      </c>
      <c r="B90" s="399"/>
      <c r="C90" s="399"/>
      <c r="D90" s="399"/>
      <c r="E90" s="399"/>
      <c r="G90" s="407" t="str">
        <f t="shared" si="3"/>
        <v/>
      </c>
    </row>
    <row r="91" spans="1:7" ht="15.95" customHeight="1" x14ac:dyDescent="0.25">
      <c r="A91" s="401" t="s">
        <v>521</v>
      </c>
      <c r="B91" s="410" t="s">
        <v>594</v>
      </c>
      <c r="C91" s="410" t="s">
        <v>594</v>
      </c>
      <c r="D91" s="410" t="s">
        <v>594</v>
      </c>
      <c r="E91" s="409">
        <v>2.0000000000000002E-5</v>
      </c>
      <c r="F91" s="386" t="s">
        <v>244</v>
      </c>
      <c r="G91" s="407">
        <f t="shared" si="3"/>
        <v>0</v>
      </c>
    </row>
    <row r="92" spans="1:7" ht="15.95" customHeight="1" x14ac:dyDescent="0.25">
      <c r="A92" s="401" t="s">
        <v>522</v>
      </c>
      <c r="B92" s="408">
        <f>0.0000045/2</f>
        <v>2.2500000000000001E-6</v>
      </c>
      <c r="C92" s="422">
        <f>0.0000046</f>
        <v>4.6E-6</v>
      </c>
      <c r="D92" s="408">
        <f>0.0000045/2</f>
        <v>2.2500000000000001E-6</v>
      </c>
      <c r="E92" s="408">
        <f>AVERAGE(B92:D92)</f>
        <v>3.0333333333333337E-6</v>
      </c>
      <c r="G92" s="403">
        <f t="shared" si="3"/>
        <v>3.0333333333333337E-6</v>
      </c>
    </row>
    <row r="93" spans="1:7" ht="15.95" customHeight="1" x14ac:dyDescent="0.25">
      <c r="A93" s="401" t="s">
        <v>524</v>
      </c>
      <c r="B93" s="401" t="s">
        <v>595</v>
      </c>
      <c r="C93" s="401" t="s">
        <v>596</v>
      </c>
      <c r="D93" s="401" t="s">
        <v>597</v>
      </c>
      <c r="E93" s="409">
        <v>7.2999999999999999E-5</v>
      </c>
      <c r="G93" s="403">
        <f t="shared" si="3"/>
        <v>7.2999999999999999E-5</v>
      </c>
    </row>
    <row r="94" spans="1:7" ht="15" customHeight="1" x14ac:dyDescent="0.25">
      <c r="A94" s="404" t="s">
        <v>525</v>
      </c>
      <c r="B94" s="411" t="s">
        <v>598</v>
      </c>
      <c r="C94" s="411" t="s">
        <v>598</v>
      </c>
      <c r="D94" s="411" t="s">
        <v>584</v>
      </c>
      <c r="E94" s="424">
        <v>7.4000000000000003E-6</v>
      </c>
      <c r="F94" s="386" t="s">
        <v>244</v>
      </c>
      <c r="G94" s="407">
        <f t="shared" si="3"/>
        <v>0</v>
      </c>
    </row>
    <row r="95" spans="1:7" ht="17.100000000000001" customHeight="1" x14ac:dyDescent="0.25">
      <c r="A95" s="406" t="s">
        <v>529</v>
      </c>
      <c r="B95" s="399"/>
      <c r="C95" s="399"/>
      <c r="D95" s="399"/>
      <c r="E95" s="399"/>
      <c r="G95" s="407" t="str">
        <f t="shared" si="3"/>
        <v/>
      </c>
    </row>
    <row r="96" spans="1:7" ht="17.100000000000001" customHeight="1" x14ac:dyDescent="0.25">
      <c r="A96" s="401" t="s">
        <v>530</v>
      </c>
      <c r="B96" s="413">
        <v>2.8000000000000001E-2</v>
      </c>
      <c r="C96" s="413">
        <v>3.6999999999999998E-2</v>
      </c>
      <c r="D96" s="413">
        <v>3.6999999999999998E-2</v>
      </c>
      <c r="E96" s="414">
        <v>3.4000000000000002E-2</v>
      </c>
      <c r="G96" s="403">
        <f t="shared" si="3"/>
        <v>3.4000000000000002E-2</v>
      </c>
    </row>
    <row r="97" spans="1:7" ht="15.95" customHeight="1" x14ac:dyDescent="0.25">
      <c r="A97" s="401" t="s">
        <v>531</v>
      </c>
      <c r="B97" s="415">
        <v>-4.8999999999999998E-3</v>
      </c>
      <c r="C97" s="415">
        <v>-4.7999999999999996E-3</v>
      </c>
      <c r="D97" s="415">
        <v>-4.7999999999999996E-3</v>
      </c>
      <c r="E97" s="412">
        <v>4.7999999999999996E-3</v>
      </c>
      <c r="F97" s="386" t="s">
        <v>244</v>
      </c>
      <c r="G97" s="407">
        <f t="shared" si="3"/>
        <v>0</v>
      </c>
    </row>
    <row r="98" spans="1:7" ht="15.95" customHeight="1" x14ac:dyDescent="0.25">
      <c r="A98" s="401" t="s">
        <v>532</v>
      </c>
      <c r="B98" s="416">
        <v>-7.1999999999999995E-2</v>
      </c>
      <c r="C98" s="416">
        <v>-7.0000000000000007E-2</v>
      </c>
      <c r="D98" s="416">
        <v>-7.0999999999999994E-2</v>
      </c>
      <c r="E98" s="414">
        <v>7.0999999999999994E-2</v>
      </c>
      <c r="F98" s="386" t="s">
        <v>244</v>
      </c>
      <c r="G98" s="407">
        <f t="shared" si="3"/>
        <v>0</v>
      </c>
    </row>
    <row r="99" spans="1:7" ht="15.95" customHeight="1" x14ac:dyDescent="0.25">
      <c r="A99" s="401" t="s">
        <v>533</v>
      </c>
      <c r="B99" s="416">
        <v>-4.2999999999999997E-2</v>
      </c>
      <c r="C99" s="416">
        <v>-4.2000000000000003E-2</v>
      </c>
      <c r="D99" s="416">
        <v>-4.2000000000000003E-2</v>
      </c>
      <c r="E99" s="414">
        <v>4.2999999999999997E-2</v>
      </c>
      <c r="F99" s="386" t="s">
        <v>244</v>
      </c>
      <c r="G99" s="407">
        <f t="shared" si="3"/>
        <v>0</v>
      </c>
    </row>
    <row r="100" spans="1:7" ht="15.95" customHeight="1" x14ac:dyDescent="0.25">
      <c r="A100" s="401" t="s">
        <v>534</v>
      </c>
      <c r="B100" s="416">
        <v>-4.4999999999999998E-2</v>
      </c>
      <c r="C100" s="416">
        <v>-4.3999999999999997E-2</v>
      </c>
      <c r="D100" s="416">
        <v>-4.3999999999999997E-2</v>
      </c>
      <c r="E100" s="414">
        <v>4.4999999999999998E-2</v>
      </c>
      <c r="F100" s="386" t="s">
        <v>244</v>
      </c>
      <c r="G100" s="407">
        <f t="shared" si="3"/>
        <v>0</v>
      </c>
    </row>
    <row r="101" spans="1:7" ht="14.1" customHeight="1" x14ac:dyDescent="0.25">
      <c r="A101" s="404" t="s">
        <v>535</v>
      </c>
      <c r="B101" s="417">
        <v>-3.4000000000000002E-2</v>
      </c>
      <c r="C101" s="417">
        <v>-3.4000000000000002E-2</v>
      </c>
      <c r="D101" s="417">
        <v>-3.4000000000000002E-2</v>
      </c>
      <c r="E101" s="418">
        <v>3.4000000000000002E-2</v>
      </c>
      <c r="F101" s="386" t="s">
        <v>244</v>
      </c>
      <c r="G101" s="407">
        <f t="shared" si="3"/>
        <v>0</v>
      </c>
    </row>
    <row r="102" spans="1:7" ht="17.100000000000001" customHeight="1" x14ac:dyDescent="0.25">
      <c r="A102" s="406" t="s">
        <v>536</v>
      </c>
      <c r="B102" s="399"/>
      <c r="C102" s="399"/>
      <c r="D102" s="399"/>
      <c r="E102" s="399"/>
      <c r="G102" s="407" t="str">
        <f t="shared" si="3"/>
        <v/>
      </c>
    </row>
    <row r="103" spans="1:7" ht="15.95" customHeight="1" x14ac:dyDescent="0.25">
      <c r="A103" s="401" t="s">
        <v>537</v>
      </c>
      <c r="B103" s="410" t="s">
        <v>599</v>
      </c>
      <c r="C103" s="410" t="s">
        <v>600</v>
      </c>
      <c r="D103" s="410" t="s">
        <v>599</v>
      </c>
      <c r="E103" s="409">
        <v>6.3E-5</v>
      </c>
      <c r="F103" s="386" t="s">
        <v>244</v>
      </c>
      <c r="G103" s="407">
        <f t="shared" si="3"/>
        <v>0</v>
      </c>
    </row>
    <row r="104" spans="1:7" ht="15.95" customHeight="1" x14ac:dyDescent="0.25">
      <c r="A104" s="401" t="s">
        <v>540</v>
      </c>
      <c r="B104" s="410" t="s">
        <v>599</v>
      </c>
      <c r="C104" s="410" t="s">
        <v>600</v>
      </c>
      <c r="D104" s="410" t="s">
        <v>599</v>
      </c>
      <c r="E104" s="409">
        <v>6.3E-5</v>
      </c>
      <c r="F104" s="386" t="s">
        <v>244</v>
      </c>
      <c r="G104" s="407">
        <f t="shared" si="3"/>
        <v>0</v>
      </c>
    </row>
    <row r="105" spans="1:7" ht="15.95" customHeight="1" x14ac:dyDescent="0.25">
      <c r="A105" s="401" t="s">
        <v>541</v>
      </c>
      <c r="B105" s="410" t="s">
        <v>601</v>
      </c>
      <c r="C105" s="410" t="s">
        <v>601</v>
      </c>
      <c r="D105" s="410" t="s">
        <v>601</v>
      </c>
      <c r="E105" s="409">
        <v>1.7E-5</v>
      </c>
      <c r="F105" s="386" t="s">
        <v>244</v>
      </c>
      <c r="G105" s="407">
        <f t="shared" si="3"/>
        <v>0</v>
      </c>
    </row>
    <row r="106" spans="1:7" ht="15.95" customHeight="1" x14ac:dyDescent="0.25">
      <c r="A106" s="401" t="s">
        <v>545</v>
      </c>
      <c r="B106" s="410" t="s">
        <v>601</v>
      </c>
      <c r="C106" s="410" t="s">
        <v>601</v>
      </c>
      <c r="D106" s="410" t="s">
        <v>601</v>
      </c>
      <c r="E106" s="409">
        <v>1.7E-5</v>
      </c>
      <c r="F106" s="386" t="s">
        <v>244</v>
      </c>
      <c r="G106" s="407">
        <f t="shared" si="3"/>
        <v>0</v>
      </c>
    </row>
    <row r="107" spans="1:7" ht="15.95" customHeight="1" x14ac:dyDescent="0.25">
      <c r="A107" s="401" t="s">
        <v>549</v>
      </c>
      <c r="B107" s="410" t="s">
        <v>602</v>
      </c>
      <c r="C107" s="410" t="s">
        <v>602</v>
      </c>
      <c r="D107" s="410" t="s">
        <v>602</v>
      </c>
      <c r="E107" s="409">
        <v>2.0999999999999999E-5</v>
      </c>
      <c r="F107" s="386" t="s">
        <v>244</v>
      </c>
      <c r="G107" s="407">
        <f t="shared" si="3"/>
        <v>0</v>
      </c>
    </row>
    <row r="108" spans="1:7" ht="15.95" customHeight="1" x14ac:dyDescent="0.25">
      <c r="A108" s="401" t="s">
        <v>550</v>
      </c>
      <c r="B108" s="410" t="s">
        <v>601</v>
      </c>
      <c r="C108" s="410" t="s">
        <v>601</v>
      </c>
      <c r="D108" s="410" t="s">
        <v>601</v>
      </c>
      <c r="E108" s="409">
        <v>1.7E-5</v>
      </c>
      <c r="F108" s="386" t="s">
        <v>244</v>
      </c>
      <c r="G108" s="407">
        <f t="shared" si="3"/>
        <v>0</v>
      </c>
    </row>
    <row r="109" spans="1:7" ht="15.95" customHeight="1" x14ac:dyDescent="0.25">
      <c r="A109" s="401" t="s">
        <v>551</v>
      </c>
      <c r="B109" s="410" t="s">
        <v>601</v>
      </c>
      <c r="C109" s="410" t="s">
        <v>601</v>
      </c>
      <c r="D109" s="410" t="s">
        <v>601</v>
      </c>
      <c r="E109" s="409">
        <v>1.7E-5</v>
      </c>
      <c r="F109" s="386" t="s">
        <v>244</v>
      </c>
      <c r="G109" s="407">
        <f t="shared" si="3"/>
        <v>0</v>
      </c>
    </row>
    <row r="110" spans="1:7" ht="15.95" customHeight="1" x14ac:dyDescent="0.25">
      <c r="A110" s="401" t="s">
        <v>552</v>
      </c>
      <c r="B110" s="410" t="s">
        <v>602</v>
      </c>
      <c r="C110" s="410" t="s">
        <v>602</v>
      </c>
      <c r="D110" s="410" t="s">
        <v>602</v>
      </c>
      <c r="E110" s="409">
        <v>2.0999999999999999E-5</v>
      </c>
      <c r="F110" s="386" t="s">
        <v>244</v>
      </c>
      <c r="G110" s="407">
        <f t="shared" si="3"/>
        <v>0</v>
      </c>
    </row>
    <row r="111" spans="1:7" ht="15.95" customHeight="1" x14ac:dyDescent="0.25">
      <c r="A111" s="401" t="s">
        <v>553</v>
      </c>
      <c r="B111" s="410" t="s">
        <v>601</v>
      </c>
      <c r="C111" s="410" t="s">
        <v>601</v>
      </c>
      <c r="D111" s="410" t="s">
        <v>601</v>
      </c>
      <c r="E111" s="409">
        <v>1.7E-5</v>
      </c>
      <c r="F111" s="386" t="s">
        <v>244</v>
      </c>
      <c r="G111" s="407">
        <f t="shared" si="3"/>
        <v>0</v>
      </c>
    </row>
    <row r="112" spans="1:7" ht="15.95" customHeight="1" x14ac:dyDescent="0.25">
      <c r="A112" s="401" t="s">
        <v>554</v>
      </c>
      <c r="B112" s="410" t="s">
        <v>601</v>
      </c>
      <c r="C112" s="410" t="s">
        <v>601</v>
      </c>
      <c r="D112" s="410" t="s">
        <v>601</v>
      </c>
      <c r="E112" s="409">
        <v>1.7E-5</v>
      </c>
      <c r="F112" s="386" t="s">
        <v>244</v>
      </c>
      <c r="G112" s="407">
        <f t="shared" si="3"/>
        <v>0</v>
      </c>
    </row>
    <row r="113" spans="1:7" ht="15.95" customHeight="1" x14ac:dyDescent="0.25">
      <c r="A113" s="401" t="s">
        <v>555</v>
      </c>
      <c r="B113" s="410" t="s">
        <v>601</v>
      </c>
      <c r="C113" s="410" t="s">
        <v>601</v>
      </c>
      <c r="D113" s="410" t="s">
        <v>601</v>
      </c>
      <c r="E113" s="409">
        <v>1.7E-5</v>
      </c>
      <c r="F113" s="386" t="s">
        <v>244</v>
      </c>
      <c r="G113" s="407">
        <f t="shared" si="3"/>
        <v>0</v>
      </c>
    </row>
    <row r="114" spans="1:7" ht="15.95" customHeight="1" x14ac:dyDescent="0.25">
      <c r="A114" s="401" t="s">
        <v>557</v>
      </c>
      <c r="B114" s="401" t="s">
        <v>603</v>
      </c>
      <c r="C114" s="401" t="s">
        <v>604</v>
      </c>
      <c r="D114" s="401" t="s">
        <v>603</v>
      </c>
      <c r="E114" s="401">
        <f>0.000046</f>
        <v>4.6E-5</v>
      </c>
      <c r="G114" s="403">
        <f t="shared" si="3"/>
        <v>4.6E-5</v>
      </c>
    </row>
    <row r="115" spans="1:7" ht="15.95" customHeight="1" x14ac:dyDescent="0.25">
      <c r="A115" s="401" t="s">
        <v>560</v>
      </c>
      <c r="B115" s="410" t="s">
        <v>602</v>
      </c>
      <c r="C115" s="410" t="s">
        <v>602</v>
      </c>
      <c r="D115" s="410" t="s">
        <v>602</v>
      </c>
      <c r="E115" s="409">
        <v>2.0999999999999999E-5</v>
      </c>
      <c r="F115" s="386" t="s">
        <v>244</v>
      </c>
      <c r="G115" s="407">
        <f t="shared" si="3"/>
        <v>0</v>
      </c>
    </row>
    <row r="116" spans="1:7" ht="15.95" customHeight="1" x14ac:dyDescent="0.25">
      <c r="A116" s="401" t="s">
        <v>561</v>
      </c>
      <c r="B116" s="401" t="s">
        <v>605</v>
      </c>
      <c r="C116" s="401" t="s">
        <v>606</v>
      </c>
      <c r="D116" s="401" t="s">
        <v>607</v>
      </c>
      <c r="E116" s="401">
        <f>0.00091</f>
        <v>9.1E-4</v>
      </c>
      <c r="G116" s="403">
        <f t="shared" si="3"/>
        <v>9.1E-4</v>
      </c>
    </row>
    <row r="117" spans="1:7" ht="15.95" customHeight="1" x14ac:dyDescent="0.25">
      <c r="A117" s="401" t="s">
        <v>565</v>
      </c>
      <c r="B117" s="401" t="s">
        <v>608</v>
      </c>
      <c r="C117" s="401" t="s">
        <v>609</v>
      </c>
      <c r="D117" s="401" t="s">
        <v>589</v>
      </c>
      <c r="E117" s="409">
        <v>9.5000000000000005E-5</v>
      </c>
      <c r="G117" s="403">
        <f t="shared" si="3"/>
        <v>9.5000000000000005E-5</v>
      </c>
    </row>
    <row r="118" spans="1:7" ht="15.95" customHeight="1" x14ac:dyDescent="0.25">
      <c r="A118" s="404" t="s">
        <v>568</v>
      </c>
      <c r="B118" s="404" t="s">
        <v>567</v>
      </c>
      <c r="C118" s="404" t="s">
        <v>589</v>
      </c>
      <c r="D118" s="404" t="s">
        <v>589</v>
      </c>
      <c r="E118" s="404">
        <f>0.00011</f>
        <v>1.1E-4</v>
      </c>
      <c r="G118" s="403">
        <f t="shared" si="3"/>
        <v>1.1E-4</v>
      </c>
    </row>
    <row r="119" spans="1:7" ht="15.95" customHeight="1" x14ac:dyDescent="0.25">
      <c r="A119" s="423" t="s">
        <v>569</v>
      </c>
      <c r="B119" s="420"/>
      <c r="C119" s="420"/>
      <c r="D119" s="420"/>
      <c r="E119" s="420"/>
      <c r="G119" s="403">
        <f>SUM(G103:G118)-G116</f>
        <v>2.5100000000000014E-4</v>
      </c>
    </row>
    <row r="120" spans="1:7" ht="11.1" customHeight="1" x14ac:dyDescent="0.25">
      <c r="A120" s="421" t="s">
        <v>570</v>
      </c>
      <c r="G120" s="407" t="str">
        <f t="shared" si="3"/>
        <v/>
      </c>
    </row>
    <row r="121" spans="1:7" ht="12" customHeight="1" x14ac:dyDescent="0.25">
      <c r="A121" s="385" t="s">
        <v>610</v>
      </c>
      <c r="G121" s="407" t="str">
        <f t="shared" si="3"/>
        <v/>
      </c>
    </row>
    <row r="122" spans="1:7" ht="12" customHeight="1" x14ac:dyDescent="0.25">
      <c r="A122" s="387" t="s">
        <v>611</v>
      </c>
      <c r="G122" s="407" t="str">
        <f t="shared" si="3"/>
        <v/>
      </c>
    </row>
    <row r="123" spans="1:7" ht="12.95" customHeight="1" x14ac:dyDescent="0.25">
      <c r="A123" s="388" t="s">
        <v>507</v>
      </c>
      <c r="B123" s="389" t="s">
        <v>508</v>
      </c>
      <c r="C123" s="389" t="s">
        <v>509</v>
      </c>
      <c r="D123" s="389" t="s">
        <v>510</v>
      </c>
      <c r="E123" s="390" t="s">
        <v>511</v>
      </c>
      <c r="G123" s="407" t="str">
        <f t="shared" si="3"/>
        <v>Average</v>
      </c>
    </row>
    <row r="124" spans="1:7" ht="3" customHeight="1" x14ac:dyDescent="0.25">
      <c r="A124" s="391"/>
      <c r="B124" s="392"/>
      <c r="C124" s="392"/>
      <c r="D124" s="392"/>
      <c r="E124" s="392"/>
      <c r="G124" s="407" t="str">
        <f t="shared" si="3"/>
        <v/>
      </c>
    </row>
    <row r="125" spans="1:7" ht="15" customHeight="1" x14ac:dyDescent="0.25">
      <c r="A125" s="393" t="s">
        <v>512</v>
      </c>
      <c r="B125" s="394">
        <v>43619</v>
      </c>
      <c r="C125" s="395">
        <v>43619</v>
      </c>
      <c r="D125" s="395">
        <v>43619</v>
      </c>
      <c r="E125" s="396" t="s">
        <v>513</v>
      </c>
      <c r="G125" s="407" t="str">
        <f t="shared" si="3"/>
        <v>--</v>
      </c>
    </row>
    <row r="126" spans="1:7" ht="15.95" customHeight="1" x14ac:dyDescent="0.25">
      <c r="A126" s="398" t="s">
        <v>516</v>
      </c>
      <c r="B126" s="399"/>
      <c r="C126" s="400"/>
      <c r="D126" s="400"/>
      <c r="E126" s="400"/>
      <c r="G126" s="407" t="str">
        <f t="shared" si="3"/>
        <v/>
      </c>
    </row>
    <row r="127" spans="1:7" ht="15.95" customHeight="1" x14ac:dyDescent="0.25">
      <c r="A127" s="401" t="s">
        <v>517</v>
      </c>
      <c r="B127" s="402">
        <v>0.33</v>
      </c>
      <c r="C127" s="402">
        <v>0.23</v>
      </c>
      <c r="D127" s="402">
        <v>0.21</v>
      </c>
      <c r="E127" s="402">
        <v>0.26</v>
      </c>
      <c r="G127" s="403">
        <f t="shared" si="3"/>
        <v>0.26</v>
      </c>
    </row>
    <row r="128" spans="1:7" ht="15.95" customHeight="1" x14ac:dyDescent="0.25">
      <c r="A128" s="401" t="s">
        <v>518</v>
      </c>
      <c r="B128" s="402">
        <v>0.22</v>
      </c>
      <c r="C128" s="402">
        <v>0.23</v>
      </c>
      <c r="D128" s="402">
        <v>0.21</v>
      </c>
      <c r="E128" s="402">
        <v>0.22</v>
      </c>
      <c r="G128" s="403">
        <f t="shared" si="3"/>
        <v>0.22</v>
      </c>
    </row>
    <row r="129" spans="1:7" ht="15" customHeight="1" x14ac:dyDescent="0.25">
      <c r="A129" s="404" t="s">
        <v>519</v>
      </c>
      <c r="B129" s="405">
        <v>0.54</v>
      </c>
      <c r="C129" s="405">
        <v>0.46</v>
      </c>
      <c r="D129" s="405">
        <v>0.42</v>
      </c>
      <c r="E129" s="405">
        <v>0.47</v>
      </c>
      <c r="G129" s="403">
        <f t="shared" si="3"/>
        <v>0.47</v>
      </c>
    </row>
    <row r="130" spans="1:7" ht="17.100000000000001" customHeight="1" x14ac:dyDescent="0.25">
      <c r="A130" s="406" t="s">
        <v>520</v>
      </c>
      <c r="B130" s="399"/>
      <c r="C130" s="399"/>
      <c r="D130" s="399"/>
      <c r="E130" s="399"/>
      <c r="G130" s="407" t="str">
        <f t="shared" si="3"/>
        <v/>
      </c>
    </row>
    <row r="131" spans="1:7" ht="15.95" customHeight="1" x14ac:dyDescent="0.25">
      <c r="A131" s="401" t="s">
        <v>521</v>
      </c>
      <c r="B131" s="410" t="s">
        <v>556</v>
      </c>
      <c r="C131" s="410" t="s">
        <v>556</v>
      </c>
      <c r="D131" s="410" t="s">
        <v>556</v>
      </c>
      <c r="E131" s="409">
        <v>1.9000000000000001E-5</v>
      </c>
      <c r="F131" s="386" t="s">
        <v>244</v>
      </c>
      <c r="G131" s="407">
        <f t="shared" si="3"/>
        <v>0</v>
      </c>
    </row>
    <row r="132" spans="1:7" ht="15.95" customHeight="1" x14ac:dyDescent="0.25">
      <c r="A132" s="401" t="s">
        <v>522</v>
      </c>
      <c r="B132" s="410" t="s">
        <v>612</v>
      </c>
      <c r="C132" s="410" t="s">
        <v>613</v>
      </c>
      <c r="D132" s="410" t="s">
        <v>612</v>
      </c>
      <c r="E132" s="409">
        <v>4.3000000000000003E-6</v>
      </c>
      <c r="F132" s="386" t="s">
        <v>244</v>
      </c>
      <c r="G132" s="407">
        <f t="shared" si="3"/>
        <v>0</v>
      </c>
    </row>
    <row r="133" spans="1:7" ht="15.95" customHeight="1" x14ac:dyDescent="0.25">
      <c r="A133" s="401" t="s">
        <v>524</v>
      </c>
      <c r="B133" s="401" t="s">
        <v>614</v>
      </c>
      <c r="C133" s="401" t="s">
        <v>615</v>
      </c>
      <c r="D133" s="401" t="s">
        <v>616</v>
      </c>
      <c r="E133" s="409">
        <v>6.7999999999999999E-5</v>
      </c>
      <c r="G133" s="403">
        <f t="shared" si="3"/>
        <v>6.7999999999999999E-5</v>
      </c>
    </row>
    <row r="134" spans="1:7" ht="15" customHeight="1" x14ac:dyDescent="0.25">
      <c r="A134" s="404" t="s">
        <v>525</v>
      </c>
      <c r="B134" s="411" t="s">
        <v>617</v>
      </c>
      <c r="C134" s="411" t="s">
        <v>618</v>
      </c>
      <c r="D134" s="411" t="s">
        <v>619</v>
      </c>
      <c r="E134" s="424">
        <v>7.4999999999999993E-5</v>
      </c>
      <c r="F134" s="386" t="s">
        <v>244</v>
      </c>
      <c r="G134" s="407">
        <f t="shared" si="3"/>
        <v>0</v>
      </c>
    </row>
    <row r="135" spans="1:7" ht="17.100000000000001" customHeight="1" x14ac:dyDescent="0.25">
      <c r="A135" s="406" t="s">
        <v>529</v>
      </c>
      <c r="B135" s="399"/>
      <c r="C135" s="399"/>
      <c r="D135" s="399"/>
      <c r="E135" s="399"/>
      <c r="G135" s="407" t="str">
        <f t="shared" si="3"/>
        <v/>
      </c>
    </row>
    <row r="136" spans="1:7" ht="15.95" customHeight="1" x14ac:dyDescent="0.25">
      <c r="A136" s="401" t="s">
        <v>530</v>
      </c>
      <c r="B136" s="413">
        <v>2.9000000000000001E-2</v>
      </c>
      <c r="C136" s="413">
        <v>0.02</v>
      </c>
      <c r="D136" s="413">
        <v>3.5999999999999997E-2</v>
      </c>
      <c r="E136" s="414">
        <v>2.8000000000000001E-2</v>
      </c>
      <c r="G136" s="403">
        <f t="shared" si="3"/>
        <v>2.8000000000000001E-2</v>
      </c>
    </row>
    <row r="137" spans="1:7" ht="15.95" customHeight="1" x14ac:dyDescent="0.25">
      <c r="A137" s="401" t="s">
        <v>531</v>
      </c>
      <c r="B137" s="415">
        <v>-6.1999999999999998E-3</v>
      </c>
      <c r="C137" s="415">
        <v>-5.8999999999999999E-3</v>
      </c>
      <c r="D137" s="415">
        <v>-5.8999999999999999E-3</v>
      </c>
      <c r="E137" s="412">
        <v>6.0000000000000001E-3</v>
      </c>
      <c r="F137" s="386" t="s">
        <v>244</v>
      </c>
      <c r="G137" s="407">
        <f t="shared" si="3"/>
        <v>0</v>
      </c>
    </row>
    <row r="138" spans="1:7" ht="15.95" customHeight="1" x14ac:dyDescent="0.25">
      <c r="A138" s="401" t="s">
        <v>532</v>
      </c>
      <c r="B138" s="416">
        <v>-9.0999999999999998E-2</v>
      </c>
      <c r="C138" s="416">
        <v>-8.6999999999999994E-2</v>
      </c>
      <c r="D138" s="416">
        <v>-8.5999999999999993E-2</v>
      </c>
      <c r="E138" s="414">
        <v>8.7999999999999995E-2</v>
      </c>
      <c r="F138" s="386" t="s">
        <v>244</v>
      </c>
      <c r="G138" s="407">
        <f t="shared" si="3"/>
        <v>0</v>
      </c>
    </row>
    <row r="139" spans="1:7" ht="15.95" customHeight="1" x14ac:dyDescent="0.25">
      <c r="A139" s="401" t="s">
        <v>533</v>
      </c>
      <c r="B139" s="416">
        <v>-5.5E-2</v>
      </c>
      <c r="C139" s="416">
        <v>-5.1999999999999998E-2</v>
      </c>
      <c r="D139" s="416">
        <v>-5.1999999999999998E-2</v>
      </c>
      <c r="E139" s="414">
        <v>5.2999999999999999E-2</v>
      </c>
      <c r="F139" s="386" t="s">
        <v>244</v>
      </c>
      <c r="G139" s="407">
        <f t="shared" ref="G139:G198" si="4">IF(E139="","",IF(F139="Y",0,E139))</f>
        <v>0</v>
      </c>
    </row>
    <row r="140" spans="1:7" ht="15.95" customHeight="1" x14ac:dyDescent="0.25">
      <c r="A140" s="401" t="s">
        <v>534</v>
      </c>
      <c r="B140" s="416">
        <v>-5.8000000000000003E-2</v>
      </c>
      <c r="C140" s="416">
        <v>-5.5E-2</v>
      </c>
      <c r="D140" s="416">
        <v>-5.3999999999999999E-2</v>
      </c>
      <c r="E140" s="414">
        <v>5.6000000000000001E-2</v>
      </c>
      <c r="F140" s="386" t="s">
        <v>244</v>
      </c>
      <c r="G140" s="407">
        <f t="shared" si="4"/>
        <v>0</v>
      </c>
    </row>
    <row r="141" spans="1:7" ht="15" customHeight="1" x14ac:dyDescent="0.25">
      <c r="A141" s="404" t="s">
        <v>535</v>
      </c>
      <c r="B141" s="417">
        <v>-4.3999999999999997E-2</v>
      </c>
      <c r="C141" s="417">
        <v>-4.2000000000000003E-2</v>
      </c>
      <c r="D141" s="417">
        <v>-4.1000000000000002E-2</v>
      </c>
      <c r="E141" s="418">
        <v>4.2000000000000003E-2</v>
      </c>
      <c r="F141" s="386" t="s">
        <v>244</v>
      </c>
      <c r="G141" s="407">
        <f t="shared" si="4"/>
        <v>0</v>
      </c>
    </row>
    <row r="142" spans="1:7" ht="17.100000000000001" customHeight="1" x14ac:dyDescent="0.25">
      <c r="A142" s="406" t="s">
        <v>536</v>
      </c>
      <c r="B142" s="399"/>
      <c r="C142" s="399"/>
      <c r="D142" s="399"/>
      <c r="E142" s="399"/>
      <c r="G142" s="407" t="str">
        <f t="shared" si="4"/>
        <v/>
      </c>
    </row>
    <row r="143" spans="1:7" ht="15.95" customHeight="1" x14ac:dyDescent="0.25">
      <c r="A143" s="401" t="s">
        <v>537</v>
      </c>
      <c r="B143" s="410" t="s">
        <v>582</v>
      </c>
      <c r="C143" s="410" t="s">
        <v>582</v>
      </c>
      <c r="D143" s="410" t="s">
        <v>582</v>
      </c>
      <c r="E143" s="409">
        <v>4.1999999999999998E-5</v>
      </c>
      <c r="F143" s="386" t="s">
        <v>244</v>
      </c>
      <c r="G143" s="407">
        <f t="shared" si="4"/>
        <v>0</v>
      </c>
    </row>
    <row r="144" spans="1:7" ht="15.95" customHeight="1" x14ac:dyDescent="0.25">
      <c r="A144" s="401" t="s">
        <v>540</v>
      </c>
      <c r="B144" s="410" t="s">
        <v>582</v>
      </c>
      <c r="C144" s="410" t="s">
        <v>582</v>
      </c>
      <c r="D144" s="410" t="s">
        <v>582</v>
      </c>
      <c r="E144" s="409">
        <v>4.1999999999999998E-5</v>
      </c>
      <c r="F144" s="386" t="s">
        <v>244</v>
      </c>
      <c r="G144" s="407">
        <f t="shared" si="4"/>
        <v>0</v>
      </c>
    </row>
    <row r="145" spans="1:7" ht="15.95" customHeight="1" x14ac:dyDescent="0.25">
      <c r="A145" s="401" t="s">
        <v>541</v>
      </c>
      <c r="B145" s="410" t="s">
        <v>573</v>
      </c>
      <c r="C145" s="410" t="s">
        <v>573</v>
      </c>
      <c r="D145" s="410" t="s">
        <v>583</v>
      </c>
      <c r="E145" s="409">
        <v>1.2E-5</v>
      </c>
      <c r="F145" s="386" t="s">
        <v>244</v>
      </c>
      <c r="G145" s="407">
        <f t="shared" si="4"/>
        <v>0</v>
      </c>
    </row>
    <row r="146" spans="1:7" ht="15.95" customHeight="1" x14ac:dyDescent="0.25">
      <c r="A146" s="401" t="s">
        <v>545</v>
      </c>
      <c r="B146" s="410" t="s">
        <v>573</v>
      </c>
      <c r="C146" s="410" t="s">
        <v>573</v>
      </c>
      <c r="D146" s="410" t="s">
        <v>573</v>
      </c>
      <c r="E146" s="409">
        <v>1.1E-5</v>
      </c>
      <c r="F146" s="386" t="s">
        <v>244</v>
      </c>
      <c r="G146" s="407">
        <f t="shared" si="4"/>
        <v>0</v>
      </c>
    </row>
    <row r="147" spans="1:7" ht="15.95" customHeight="1" x14ac:dyDescent="0.25">
      <c r="A147" s="401" t="s">
        <v>549</v>
      </c>
      <c r="B147" s="410" t="s">
        <v>583</v>
      </c>
      <c r="C147" s="410" t="s">
        <v>583</v>
      </c>
      <c r="D147" s="410" t="s">
        <v>583</v>
      </c>
      <c r="E147" s="409">
        <v>1.4E-5</v>
      </c>
      <c r="F147" s="386" t="s">
        <v>244</v>
      </c>
      <c r="G147" s="407">
        <f t="shared" si="4"/>
        <v>0</v>
      </c>
    </row>
    <row r="148" spans="1:7" ht="15.95" customHeight="1" x14ac:dyDescent="0.25">
      <c r="A148" s="401" t="s">
        <v>550</v>
      </c>
      <c r="B148" s="410" t="s">
        <v>573</v>
      </c>
      <c r="C148" s="410" t="s">
        <v>573</v>
      </c>
      <c r="D148" s="410" t="s">
        <v>573</v>
      </c>
      <c r="E148" s="409">
        <v>1.1E-5</v>
      </c>
      <c r="F148" s="386" t="s">
        <v>244</v>
      </c>
      <c r="G148" s="407">
        <f t="shared" si="4"/>
        <v>0</v>
      </c>
    </row>
    <row r="149" spans="1:7" ht="15.95" customHeight="1" x14ac:dyDescent="0.25">
      <c r="A149" s="401" t="s">
        <v>551</v>
      </c>
      <c r="B149" s="410" t="s">
        <v>573</v>
      </c>
      <c r="C149" s="410" t="s">
        <v>573</v>
      </c>
      <c r="D149" s="410" t="s">
        <v>573</v>
      </c>
      <c r="E149" s="409">
        <v>1.1E-5</v>
      </c>
      <c r="F149" s="386" t="s">
        <v>244</v>
      </c>
      <c r="G149" s="407">
        <f t="shared" si="4"/>
        <v>0</v>
      </c>
    </row>
    <row r="150" spans="1:7" ht="15.95" customHeight="1" x14ac:dyDescent="0.25">
      <c r="A150" s="401" t="s">
        <v>552</v>
      </c>
      <c r="B150" s="410" t="s">
        <v>583</v>
      </c>
      <c r="C150" s="410" t="s">
        <v>583</v>
      </c>
      <c r="D150" s="410" t="s">
        <v>583</v>
      </c>
      <c r="E150" s="409">
        <v>1.4E-5</v>
      </c>
      <c r="F150" s="386" t="s">
        <v>244</v>
      </c>
      <c r="G150" s="407">
        <f t="shared" si="4"/>
        <v>0</v>
      </c>
    </row>
    <row r="151" spans="1:7" ht="15.95" customHeight="1" x14ac:dyDescent="0.25">
      <c r="A151" s="401" t="s">
        <v>553</v>
      </c>
      <c r="B151" s="410" t="s">
        <v>573</v>
      </c>
      <c r="C151" s="410" t="s">
        <v>573</v>
      </c>
      <c r="D151" s="410" t="s">
        <v>573</v>
      </c>
      <c r="E151" s="409">
        <v>1.1E-5</v>
      </c>
      <c r="F151" s="386" t="s">
        <v>244</v>
      </c>
      <c r="G151" s="407">
        <f t="shared" si="4"/>
        <v>0</v>
      </c>
    </row>
    <row r="152" spans="1:7" ht="15.95" customHeight="1" x14ac:dyDescent="0.25">
      <c r="A152" s="401" t="s">
        <v>554</v>
      </c>
      <c r="B152" s="410" t="s">
        <v>573</v>
      </c>
      <c r="C152" s="410" t="s">
        <v>573</v>
      </c>
      <c r="D152" s="410" t="s">
        <v>573</v>
      </c>
      <c r="E152" s="409">
        <v>1.1E-5</v>
      </c>
      <c r="F152" s="386" t="s">
        <v>244</v>
      </c>
      <c r="G152" s="407">
        <f t="shared" si="4"/>
        <v>0</v>
      </c>
    </row>
    <row r="153" spans="1:7" ht="15.95" customHeight="1" x14ac:dyDescent="0.25">
      <c r="A153" s="401" t="s">
        <v>555</v>
      </c>
      <c r="B153" s="410" t="s">
        <v>573</v>
      </c>
      <c r="C153" s="410" t="s">
        <v>573</v>
      </c>
      <c r="D153" s="410" t="s">
        <v>573</v>
      </c>
      <c r="E153" s="409">
        <v>1.1E-5</v>
      </c>
      <c r="F153" s="386" t="s">
        <v>244</v>
      </c>
      <c r="G153" s="407">
        <f t="shared" si="4"/>
        <v>0</v>
      </c>
    </row>
    <row r="154" spans="1:7" ht="15.95" customHeight="1" x14ac:dyDescent="0.25">
      <c r="A154" s="401" t="s">
        <v>557</v>
      </c>
      <c r="B154" s="401" t="s">
        <v>586</v>
      </c>
      <c r="C154" s="401" t="s">
        <v>603</v>
      </c>
      <c r="D154" s="401" t="s">
        <v>604</v>
      </c>
      <c r="E154" s="401">
        <f>0.000046</f>
        <v>4.6E-5</v>
      </c>
      <c r="G154" s="403">
        <f t="shared" si="4"/>
        <v>4.6E-5</v>
      </c>
    </row>
    <row r="155" spans="1:7" ht="15.95" customHeight="1" x14ac:dyDescent="0.25">
      <c r="A155" s="401" t="s">
        <v>560</v>
      </c>
      <c r="B155" s="410" t="s">
        <v>583</v>
      </c>
      <c r="C155" s="410" t="s">
        <v>583</v>
      </c>
      <c r="D155" s="410" t="s">
        <v>583</v>
      </c>
      <c r="E155" s="409">
        <v>1.4E-5</v>
      </c>
      <c r="F155" s="386" t="s">
        <v>244</v>
      </c>
      <c r="G155" s="407">
        <f t="shared" si="4"/>
        <v>0</v>
      </c>
    </row>
    <row r="156" spans="1:7" ht="15.95" customHeight="1" x14ac:dyDescent="0.25">
      <c r="A156" s="401" t="s">
        <v>561</v>
      </c>
      <c r="B156" s="401" t="s">
        <v>620</v>
      </c>
      <c r="C156" s="401" t="s">
        <v>605</v>
      </c>
      <c r="D156" s="401" t="s">
        <v>621</v>
      </c>
      <c r="E156" s="401">
        <f>0.00087</f>
        <v>8.7000000000000001E-4</v>
      </c>
      <c r="G156" s="403">
        <f t="shared" si="4"/>
        <v>8.7000000000000001E-4</v>
      </c>
    </row>
    <row r="157" spans="1:7" ht="15.95" customHeight="1" x14ac:dyDescent="0.25">
      <c r="A157" s="401" t="s">
        <v>565</v>
      </c>
      <c r="B157" s="401" t="s">
        <v>589</v>
      </c>
      <c r="C157" s="401" t="s">
        <v>622</v>
      </c>
      <c r="D157" s="401" t="s">
        <v>588</v>
      </c>
      <c r="E157" s="401">
        <f>0.0001</f>
        <v>1E-4</v>
      </c>
      <c r="G157" s="403">
        <f t="shared" si="4"/>
        <v>1E-4</v>
      </c>
    </row>
    <row r="158" spans="1:7" ht="15.95" customHeight="1" x14ac:dyDescent="0.25">
      <c r="A158" s="404" t="s">
        <v>568</v>
      </c>
      <c r="B158" s="404" t="s">
        <v>588</v>
      </c>
      <c r="C158" s="404" t="s">
        <v>590</v>
      </c>
      <c r="D158" s="404" t="s">
        <v>588</v>
      </c>
      <c r="E158" s="424">
        <v>1.1E-4</v>
      </c>
      <c r="G158" s="403">
        <f t="shared" si="4"/>
        <v>1.1E-4</v>
      </c>
    </row>
    <row r="159" spans="1:7" ht="15.95" customHeight="1" x14ac:dyDescent="0.25">
      <c r="A159" s="423" t="s">
        <v>569</v>
      </c>
      <c r="B159" s="420"/>
      <c r="C159" s="420"/>
      <c r="D159" s="420"/>
      <c r="E159" s="420"/>
      <c r="G159" s="403">
        <f>SUM(G143:G158)-G156</f>
        <v>2.5600000000000004E-4</v>
      </c>
    </row>
    <row r="160" spans="1:7" ht="11.1" customHeight="1" x14ac:dyDescent="0.25">
      <c r="A160" s="421" t="s">
        <v>570</v>
      </c>
      <c r="G160" s="397" t="str">
        <f t="shared" si="4"/>
        <v/>
      </c>
    </row>
    <row r="161" spans="1:7" ht="12" customHeight="1" x14ac:dyDescent="0.25">
      <c r="A161" s="385" t="s">
        <v>623</v>
      </c>
      <c r="G161" s="397" t="str">
        <f t="shared" si="4"/>
        <v/>
      </c>
    </row>
    <row r="162" spans="1:7" ht="12" customHeight="1" x14ac:dyDescent="0.25">
      <c r="A162" s="387" t="s">
        <v>624</v>
      </c>
      <c r="G162" s="397" t="str">
        <f t="shared" si="4"/>
        <v/>
      </c>
    </row>
    <row r="163" spans="1:7" ht="12.95" customHeight="1" x14ac:dyDescent="0.25">
      <c r="A163" s="388" t="s">
        <v>507</v>
      </c>
      <c r="B163" s="389" t="s">
        <v>508</v>
      </c>
      <c r="C163" s="389" t="s">
        <v>509</v>
      </c>
      <c r="D163" s="389" t="s">
        <v>510</v>
      </c>
      <c r="E163" s="390" t="s">
        <v>511</v>
      </c>
      <c r="G163" s="397" t="str">
        <f t="shared" si="4"/>
        <v>Average</v>
      </c>
    </row>
    <row r="164" spans="1:7" ht="3" customHeight="1" x14ac:dyDescent="0.25">
      <c r="A164" s="391"/>
      <c r="B164" s="392"/>
      <c r="C164" s="392"/>
      <c r="D164" s="392"/>
      <c r="E164" s="392"/>
      <c r="G164" s="397" t="str">
        <f t="shared" si="4"/>
        <v/>
      </c>
    </row>
    <row r="165" spans="1:7" ht="15" customHeight="1" x14ac:dyDescent="0.25">
      <c r="A165" s="393" t="s">
        <v>512</v>
      </c>
      <c r="B165" s="394">
        <v>43588</v>
      </c>
      <c r="C165" s="395">
        <v>43588</v>
      </c>
      <c r="D165" s="395">
        <v>43588</v>
      </c>
      <c r="E165" s="396" t="s">
        <v>513</v>
      </c>
      <c r="G165" s="397" t="str">
        <f t="shared" si="4"/>
        <v>--</v>
      </c>
    </row>
    <row r="166" spans="1:7" ht="15.95" customHeight="1" x14ac:dyDescent="0.25">
      <c r="A166" s="398" t="s">
        <v>516</v>
      </c>
      <c r="B166" s="399"/>
      <c r="C166" s="400"/>
      <c r="D166" s="400"/>
      <c r="E166" s="400"/>
      <c r="G166" s="397" t="str">
        <f t="shared" si="4"/>
        <v/>
      </c>
    </row>
    <row r="167" spans="1:7" ht="15.95" customHeight="1" x14ac:dyDescent="0.25">
      <c r="A167" s="401" t="s">
        <v>517</v>
      </c>
      <c r="B167" s="402">
        <v>0.33</v>
      </c>
      <c r="C167" s="402">
        <v>0.44</v>
      </c>
      <c r="D167" s="402">
        <v>0.35</v>
      </c>
      <c r="E167" s="402">
        <v>0.37</v>
      </c>
      <c r="G167" s="403">
        <f>IF(E167="","",IF(F167="Y",0,E167))</f>
        <v>0.37</v>
      </c>
    </row>
    <row r="168" spans="1:7" ht="15.95" customHeight="1" x14ac:dyDescent="0.25">
      <c r="A168" s="401" t="s">
        <v>518</v>
      </c>
      <c r="B168" s="402">
        <v>0.21</v>
      </c>
      <c r="C168" s="402">
        <v>0.35</v>
      </c>
      <c r="D168" s="402">
        <v>0.26</v>
      </c>
      <c r="E168" s="402">
        <v>0.28000000000000003</v>
      </c>
      <c r="G168" s="403">
        <f t="shared" si="4"/>
        <v>0.28000000000000003</v>
      </c>
    </row>
    <row r="169" spans="1:7" ht="15" customHeight="1" x14ac:dyDescent="0.25">
      <c r="A169" s="404" t="s">
        <v>519</v>
      </c>
      <c r="B169" s="405">
        <v>0.54</v>
      </c>
      <c r="C169" s="405">
        <v>0.79</v>
      </c>
      <c r="D169" s="405">
        <v>0.61</v>
      </c>
      <c r="E169" s="405">
        <v>0.65</v>
      </c>
      <c r="G169" s="403">
        <f t="shared" si="4"/>
        <v>0.65</v>
      </c>
    </row>
    <row r="170" spans="1:7" ht="17.100000000000001" customHeight="1" x14ac:dyDescent="0.25">
      <c r="A170" s="406" t="s">
        <v>520</v>
      </c>
      <c r="B170" s="399"/>
      <c r="C170" s="399"/>
      <c r="D170" s="399"/>
      <c r="E170" s="399"/>
      <c r="G170" s="407" t="str">
        <f t="shared" si="4"/>
        <v/>
      </c>
    </row>
    <row r="171" spans="1:7" ht="15.95" customHeight="1" x14ac:dyDescent="0.25">
      <c r="A171" s="401" t="s">
        <v>521</v>
      </c>
      <c r="B171" s="410" t="s">
        <v>594</v>
      </c>
      <c r="C171" s="410" t="s">
        <v>556</v>
      </c>
      <c r="D171" s="410" t="s">
        <v>556</v>
      </c>
      <c r="E171" s="409">
        <v>1.9000000000000001E-5</v>
      </c>
      <c r="F171" s="386" t="s">
        <v>244</v>
      </c>
      <c r="G171" s="407">
        <f t="shared" si="4"/>
        <v>0</v>
      </c>
    </row>
    <row r="172" spans="1:7" ht="15.95" customHeight="1" x14ac:dyDescent="0.25">
      <c r="A172" s="401" t="s">
        <v>522</v>
      </c>
      <c r="B172" s="422">
        <f>0.000011</f>
        <v>1.1E-5</v>
      </c>
      <c r="C172" s="408">
        <f>0.0000043/2</f>
        <v>2.1500000000000002E-6</v>
      </c>
      <c r="D172" s="422">
        <f>0.0000056</f>
        <v>5.5999999999999997E-6</v>
      </c>
      <c r="E172" s="408">
        <f>AVERAGE(B172:D172)</f>
        <v>6.2499999999999995E-6</v>
      </c>
      <c r="G172" s="403">
        <f t="shared" si="4"/>
        <v>6.2499999999999995E-6</v>
      </c>
    </row>
    <row r="173" spans="1:7" ht="15.95" customHeight="1" x14ac:dyDescent="0.25">
      <c r="A173" s="401" t="s">
        <v>524</v>
      </c>
      <c r="B173" s="428" t="s">
        <v>625</v>
      </c>
      <c r="C173" s="428" t="s">
        <v>588</v>
      </c>
      <c r="D173" s="428" t="s">
        <v>626</v>
      </c>
      <c r="E173" s="409">
        <v>1.3999999999999999E-4</v>
      </c>
      <c r="G173" s="403">
        <f t="shared" si="4"/>
        <v>1.3999999999999999E-4</v>
      </c>
    </row>
    <row r="174" spans="1:7" ht="15" customHeight="1" x14ac:dyDescent="0.25">
      <c r="A174" s="404" t="s">
        <v>525</v>
      </c>
      <c r="B174" s="425">
        <f>0.00011</f>
        <v>1.1E-4</v>
      </c>
      <c r="C174" s="408">
        <f>0.00013/2</f>
        <v>6.4999999999999994E-5</v>
      </c>
      <c r="D174" s="408">
        <f>0.00013/2</f>
        <v>6.4999999999999994E-5</v>
      </c>
      <c r="E174" s="408">
        <f>AVERAGE(B174:D174)</f>
        <v>7.9999999999999993E-5</v>
      </c>
      <c r="G174" s="403">
        <f t="shared" si="4"/>
        <v>7.9999999999999993E-5</v>
      </c>
    </row>
    <row r="175" spans="1:7" ht="17.100000000000001" customHeight="1" x14ac:dyDescent="0.25">
      <c r="A175" s="406" t="s">
        <v>529</v>
      </c>
      <c r="B175" s="399"/>
      <c r="C175" s="399"/>
      <c r="D175" s="399"/>
      <c r="E175" s="399"/>
      <c r="G175" s="407" t="str">
        <f t="shared" si="4"/>
        <v/>
      </c>
    </row>
    <row r="176" spans="1:7" ht="15.95" customHeight="1" x14ac:dyDescent="0.25">
      <c r="A176" s="401" t="s">
        <v>530</v>
      </c>
      <c r="B176" s="413">
        <v>3.6999999999999998E-2</v>
      </c>
      <c r="C176" s="413">
        <v>3.5000000000000003E-2</v>
      </c>
      <c r="D176" s="413">
        <v>2.4E-2</v>
      </c>
      <c r="E176" s="414">
        <v>3.2000000000000001E-2</v>
      </c>
      <c r="G176" s="403">
        <f t="shared" si="4"/>
        <v>3.2000000000000001E-2</v>
      </c>
    </row>
    <row r="177" spans="1:7" ht="15.95" customHeight="1" x14ac:dyDescent="0.25">
      <c r="A177" s="401" t="s">
        <v>531</v>
      </c>
      <c r="B177" s="415">
        <v>-7.0000000000000001E-3</v>
      </c>
      <c r="C177" s="415">
        <v>-6.8999999999999999E-3</v>
      </c>
      <c r="D177" s="415">
        <v>-6.8999999999999999E-3</v>
      </c>
      <c r="E177" s="412">
        <v>6.8999999999999999E-3</v>
      </c>
      <c r="F177" s="386" t="s">
        <v>244</v>
      </c>
      <c r="G177" s="407">
        <f t="shared" si="4"/>
        <v>0</v>
      </c>
    </row>
    <row r="178" spans="1:7" ht="15.95" customHeight="1" x14ac:dyDescent="0.25">
      <c r="A178" s="401" t="s">
        <v>532</v>
      </c>
      <c r="B178" s="426">
        <v>-0.1</v>
      </c>
      <c r="C178" s="426">
        <v>-0.1</v>
      </c>
      <c r="D178" s="426">
        <v>-0.1</v>
      </c>
      <c r="E178" s="402">
        <v>0.1</v>
      </c>
      <c r="F178" s="386" t="s">
        <v>244</v>
      </c>
      <c r="G178" s="407">
        <f t="shared" si="4"/>
        <v>0</v>
      </c>
    </row>
    <row r="179" spans="1:7" ht="15.95" customHeight="1" x14ac:dyDescent="0.25">
      <c r="A179" s="401" t="s">
        <v>533</v>
      </c>
      <c r="B179" s="416">
        <v>-0.06</v>
      </c>
      <c r="C179" s="416">
        <v>-6.0999999999999999E-2</v>
      </c>
      <c r="D179" s="416">
        <v>-0.06</v>
      </c>
      <c r="E179" s="414">
        <v>6.0999999999999999E-2</v>
      </c>
      <c r="F179" s="386" t="s">
        <v>244</v>
      </c>
      <c r="G179" s="407">
        <f t="shared" si="4"/>
        <v>0</v>
      </c>
    </row>
    <row r="180" spans="1:7" ht="15.95" customHeight="1" x14ac:dyDescent="0.25">
      <c r="A180" s="401" t="s">
        <v>534</v>
      </c>
      <c r="B180" s="416">
        <v>-6.3E-2</v>
      </c>
      <c r="C180" s="416">
        <v>-6.4000000000000001E-2</v>
      </c>
      <c r="D180" s="416">
        <v>-6.3E-2</v>
      </c>
      <c r="E180" s="414">
        <v>6.4000000000000001E-2</v>
      </c>
      <c r="F180" s="386" t="s">
        <v>244</v>
      </c>
      <c r="G180" s="407">
        <f t="shared" si="4"/>
        <v>0</v>
      </c>
    </row>
    <row r="181" spans="1:7" ht="15" customHeight="1" x14ac:dyDescent="0.25">
      <c r="A181" s="404" t="s">
        <v>535</v>
      </c>
      <c r="B181" s="417">
        <v>-4.8000000000000001E-2</v>
      </c>
      <c r="C181" s="417">
        <v>-4.9000000000000002E-2</v>
      </c>
      <c r="D181" s="417">
        <v>-4.8000000000000001E-2</v>
      </c>
      <c r="E181" s="418">
        <v>4.8000000000000001E-2</v>
      </c>
      <c r="F181" s="386" t="s">
        <v>244</v>
      </c>
      <c r="G181" s="407">
        <f t="shared" si="4"/>
        <v>0</v>
      </c>
    </row>
    <row r="182" spans="1:7" ht="17.100000000000001" customHeight="1" x14ac:dyDescent="0.25">
      <c r="A182" s="406" t="s">
        <v>536</v>
      </c>
      <c r="B182" s="399"/>
      <c r="C182" s="399"/>
      <c r="D182" s="399"/>
      <c r="E182" s="399"/>
      <c r="G182" s="407" t="str">
        <f t="shared" si="4"/>
        <v/>
      </c>
    </row>
    <row r="183" spans="1:7" ht="15.95" customHeight="1" x14ac:dyDescent="0.25">
      <c r="A183" s="401" t="s">
        <v>537</v>
      </c>
      <c r="B183" s="410" t="s">
        <v>627</v>
      </c>
      <c r="C183" s="410" t="s">
        <v>582</v>
      </c>
      <c r="D183" s="410" t="s">
        <v>582</v>
      </c>
      <c r="E183" s="409">
        <v>4.3000000000000002E-5</v>
      </c>
      <c r="F183" s="386" t="s">
        <v>244</v>
      </c>
      <c r="G183" s="407">
        <f t="shared" si="4"/>
        <v>0</v>
      </c>
    </row>
    <row r="184" spans="1:7" ht="15.95" customHeight="1" x14ac:dyDescent="0.25">
      <c r="A184" s="401" t="s">
        <v>540</v>
      </c>
      <c r="B184" s="410" t="s">
        <v>627</v>
      </c>
      <c r="C184" s="410" t="s">
        <v>582</v>
      </c>
      <c r="D184" s="410" t="s">
        <v>582</v>
      </c>
      <c r="E184" s="409">
        <v>4.3000000000000002E-5</v>
      </c>
      <c r="F184" s="386" t="s">
        <v>244</v>
      </c>
      <c r="G184" s="407">
        <f t="shared" si="4"/>
        <v>0</v>
      </c>
    </row>
    <row r="185" spans="1:7" ht="15.95" customHeight="1" x14ac:dyDescent="0.25">
      <c r="A185" s="401" t="s">
        <v>541</v>
      </c>
      <c r="B185" s="410" t="s">
        <v>628</v>
      </c>
      <c r="C185" s="410" t="s">
        <v>583</v>
      </c>
      <c r="D185" s="410" t="s">
        <v>583</v>
      </c>
      <c r="E185" s="409">
        <v>1.4E-5</v>
      </c>
      <c r="F185" s="386" t="s">
        <v>244</v>
      </c>
      <c r="G185" s="407">
        <f t="shared" si="4"/>
        <v>0</v>
      </c>
    </row>
    <row r="186" spans="1:7" ht="15.95" customHeight="1" x14ac:dyDescent="0.25">
      <c r="A186" s="401" t="s">
        <v>545</v>
      </c>
      <c r="B186" s="410" t="s">
        <v>584</v>
      </c>
      <c r="C186" s="410" t="s">
        <v>573</v>
      </c>
      <c r="D186" s="410" t="s">
        <v>573</v>
      </c>
      <c r="E186" s="409">
        <v>1.1E-5</v>
      </c>
      <c r="F186" s="386" t="s">
        <v>244</v>
      </c>
      <c r="G186" s="407">
        <f t="shared" si="4"/>
        <v>0</v>
      </c>
    </row>
    <row r="187" spans="1:7" ht="15.95" customHeight="1" x14ac:dyDescent="0.25">
      <c r="A187" s="401" t="s">
        <v>549</v>
      </c>
      <c r="B187" s="410" t="s">
        <v>628</v>
      </c>
      <c r="C187" s="410" t="s">
        <v>583</v>
      </c>
      <c r="D187" s="410" t="s">
        <v>583</v>
      </c>
      <c r="E187" s="409">
        <v>1.4E-5</v>
      </c>
      <c r="F187" s="386" t="s">
        <v>244</v>
      </c>
      <c r="G187" s="407">
        <f t="shared" si="4"/>
        <v>0</v>
      </c>
    </row>
    <row r="188" spans="1:7" ht="15.95" customHeight="1" x14ac:dyDescent="0.25">
      <c r="A188" s="401" t="s">
        <v>550</v>
      </c>
      <c r="B188" s="410" t="s">
        <v>584</v>
      </c>
      <c r="C188" s="410" t="s">
        <v>573</v>
      </c>
      <c r="D188" s="410" t="s">
        <v>573</v>
      </c>
      <c r="E188" s="409">
        <v>1.1E-5</v>
      </c>
      <c r="F188" s="386" t="s">
        <v>244</v>
      </c>
      <c r="G188" s="407">
        <f t="shared" si="4"/>
        <v>0</v>
      </c>
    </row>
    <row r="189" spans="1:7" ht="15.95" customHeight="1" x14ac:dyDescent="0.25">
      <c r="A189" s="401" t="s">
        <v>551</v>
      </c>
      <c r="B189" s="410" t="s">
        <v>584</v>
      </c>
      <c r="C189" s="410" t="s">
        <v>573</v>
      </c>
      <c r="D189" s="410" t="s">
        <v>573</v>
      </c>
      <c r="E189" s="409">
        <v>1.1E-5</v>
      </c>
      <c r="F189" s="386" t="s">
        <v>244</v>
      </c>
      <c r="G189" s="407">
        <f t="shared" si="4"/>
        <v>0</v>
      </c>
    </row>
    <row r="190" spans="1:7" ht="15.95" customHeight="1" x14ac:dyDescent="0.25">
      <c r="A190" s="401" t="s">
        <v>552</v>
      </c>
      <c r="B190" s="410" t="s">
        <v>628</v>
      </c>
      <c r="C190" s="410" t="s">
        <v>583</v>
      </c>
      <c r="D190" s="410" t="s">
        <v>583</v>
      </c>
      <c r="E190" s="409">
        <v>1.4E-5</v>
      </c>
      <c r="F190" s="386" t="s">
        <v>244</v>
      </c>
      <c r="G190" s="407">
        <f t="shared" si="4"/>
        <v>0</v>
      </c>
    </row>
    <row r="191" spans="1:7" ht="15.95" customHeight="1" x14ac:dyDescent="0.25">
      <c r="A191" s="401" t="s">
        <v>553</v>
      </c>
      <c r="B191" s="410" t="s">
        <v>584</v>
      </c>
      <c r="C191" s="410" t="s">
        <v>573</v>
      </c>
      <c r="D191" s="410" t="s">
        <v>573</v>
      </c>
      <c r="E191" s="409">
        <v>1.1E-5</v>
      </c>
      <c r="F191" s="386" t="s">
        <v>244</v>
      </c>
      <c r="G191" s="407">
        <f t="shared" si="4"/>
        <v>0</v>
      </c>
    </row>
    <row r="192" spans="1:7" ht="15.95" customHeight="1" x14ac:dyDescent="0.25">
      <c r="A192" s="401" t="s">
        <v>554</v>
      </c>
      <c r="B192" s="410" t="s">
        <v>584</v>
      </c>
      <c r="C192" s="410" t="s">
        <v>573</v>
      </c>
      <c r="D192" s="410" t="s">
        <v>573</v>
      </c>
      <c r="E192" s="409">
        <v>1.1E-5</v>
      </c>
      <c r="F192" s="386" t="s">
        <v>244</v>
      </c>
      <c r="G192" s="407">
        <f t="shared" si="4"/>
        <v>0</v>
      </c>
    </row>
    <row r="193" spans="1:7" ht="15.95" customHeight="1" x14ac:dyDescent="0.25">
      <c r="A193" s="401" t="s">
        <v>555</v>
      </c>
      <c r="B193" s="410" t="s">
        <v>629</v>
      </c>
      <c r="C193" s="410" t="s">
        <v>538</v>
      </c>
      <c r="D193" s="410" t="s">
        <v>538</v>
      </c>
      <c r="E193" s="409">
        <v>2.9E-5</v>
      </c>
      <c r="F193" s="386" t="s">
        <v>244</v>
      </c>
      <c r="G193" s="407">
        <f t="shared" si="4"/>
        <v>0</v>
      </c>
    </row>
    <row r="194" spans="1:7" ht="15.95" customHeight="1" x14ac:dyDescent="0.25">
      <c r="A194" s="401" t="s">
        <v>557</v>
      </c>
      <c r="B194" s="401" t="s">
        <v>630</v>
      </c>
      <c r="C194" s="401" t="s">
        <v>631</v>
      </c>
      <c r="D194" s="401" t="s">
        <v>632</v>
      </c>
      <c r="E194" s="409">
        <v>6.7999999999999999E-5</v>
      </c>
      <c r="G194" s="403">
        <f t="shared" si="4"/>
        <v>6.7999999999999999E-5</v>
      </c>
    </row>
    <row r="195" spans="1:7" ht="15.95" customHeight="1" x14ac:dyDescent="0.25">
      <c r="A195" s="401" t="s">
        <v>560</v>
      </c>
      <c r="B195" s="410" t="s">
        <v>628</v>
      </c>
      <c r="C195" s="410" t="s">
        <v>583</v>
      </c>
      <c r="D195" s="410" t="s">
        <v>583</v>
      </c>
      <c r="E195" s="409">
        <v>1.4E-5</v>
      </c>
      <c r="F195" s="386" t="s">
        <v>244</v>
      </c>
      <c r="G195" s="407">
        <f t="shared" si="4"/>
        <v>0</v>
      </c>
    </row>
    <row r="196" spans="1:7" ht="15.95" customHeight="1" x14ac:dyDescent="0.25">
      <c r="A196" s="401" t="s">
        <v>561</v>
      </c>
      <c r="B196" s="401" t="s">
        <v>587</v>
      </c>
      <c r="C196" s="401" t="s">
        <v>633</v>
      </c>
      <c r="D196" s="401" t="s">
        <v>634</v>
      </c>
      <c r="E196" s="401">
        <f>0.001</f>
        <v>1E-3</v>
      </c>
      <c r="G196" s="403">
        <f t="shared" si="4"/>
        <v>1E-3</v>
      </c>
    </row>
    <row r="197" spans="1:7" ht="15.95" customHeight="1" x14ac:dyDescent="0.25">
      <c r="A197" s="401" t="s">
        <v>565</v>
      </c>
      <c r="B197" s="401" t="s">
        <v>626</v>
      </c>
      <c r="C197" s="401" t="s">
        <v>635</v>
      </c>
      <c r="D197" s="401" t="s">
        <v>591</v>
      </c>
      <c r="E197" s="401">
        <f>0.00015</f>
        <v>1.4999999999999999E-4</v>
      </c>
      <c r="G197" s="403">
        <f t="shared" si="4"/>
        <v>1.4999999999999999E-4</v>
      </c>
    </row>
    <row r="198" spans="1:7" ht="15.95" customHeight="1" x14ac:dyDescent="0.25">
      <c r="A198" s="404" t="s">
        <v>568</v>
      </c>
      <c r="B198" s="404" t="s">
        <v>635</v>
      </c>
      <c r="C198" s="404" t="s">
        <v>635</v>
      </c>
      <c r="D198" s="404" t="s">
        <v>567</v>
      </c>
      <c r="E198" s="404">
        <f>0.00015</f>
        <v>1.4999999999999999E-4</v>
      </c>
      <c r="G198" s="403">
        <f t="shared" si="4"/>
        <v>1.4999999999999999E-4</v>
      </c>
    </row>
    <row r="199" spans="1:7" ht="15.95" customHeight="1" x14ac:dyDescent="0.25">
      <c r="A199" s="419" t="s">
        <v>569</v>
      </c>
      <c r="B199" s="420"/>
      <c r="C199" s="420"/>
      <c r="D199" s="420"/>
      <c r="E199" s="420"/>
      <c r="G199" s="403">
        <f>SUM(G183:G198)-G196</f>
        <v>3.6799999999999984E-4</v>
      </c>
    </row>
    <row r="200" spans="1:7" ht="11.1" customHeight="1" x14ac:dyDescent="0.25">
      <c r="A200" s="421" t="s">
        <v>570</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1935B-0815-40E1-8F75-4686810E00E1}">
  <sheetPr>
    <pageSetUpPr fitToPage="1"/>
  </sheetPr>
  <dimension ref="A2:Y661"/>
  <sheetViews>
    <sheetView zoomScaleNormal="100" workbookViewId="0">
      <selection activeCell="Y6" sqref="Y6"/>
    </sheetView>
  </sheetViews>
  <sheetFormatPr defaultColWidth="8.85546875" defaultRowHeight="15" x14ac:dyDescent="0.25"/>
  <cols>
    <col min="2" max="2" width="25.7109375" customWidth="1"/>
    <col min="5" max="6" width="9.7109375" customWidth="1"/>
  </cols>
  <sheetData>
    <row r="2" spans="1:25" ht="15.75" x14ac:dyDescent="0.25">
      <c r="A2" s="289" t="s">
        <v>636</v>
      </c>
      <c r="B2" s="289"/>
      <c r="C2" s="187"/>
      <c r="D2" s="187"/>
      <c r="F2" s="187"/>
      <c r="G2" s="187"/>
      <c r="H2" s="187"/>
      <c r="I2" s="264"/>
      <c r="J2" s="264"/>
      <c r="K2" s="187"/>
      <c r="L2" s="187"/>
      <c r="M2" s="187"/>
      <c r="N2" s="187"/>
      <c r="O2" s="187"/>
      <c r="P2" s="187"/>
      <c r="Q2" s="187"/>
      <c r="R2" s="187"/>
      <c r="S2" s="187"/>
      <c r="T2" s="187"/>
      <c r="U2" s="290"/>
      <c r="V2" s="290"/>
      <c r="W2" s="290"/>
      <c r="X2" s="290"/>
      <c r="Y2" s="290"/>
    </row>
    <row r="3" spans="1:25" ht="18.75" customHeight="1" x14ac:dyDescent="0.25">
      <c r="C3" s="187"/>
      <c r="D3" s="187"/>
      <c r="E3" s="265"/>
      <c r="F3" s="187"/>
      <c r="G3" s="265"/>
      <c r="H3" s="187"/>
      <c r="I3" s="265"/>
      <c r="J3" s="187"/>
      <c r="K3" s="265"/>
      <c r="L3" s="187"/>
      <c r="M3" s="265"/>
      <c r="N3" s="187"/>
      <c r="O3" s="265"/>
      <c r="P3" s="187"/>
      <c r="Q3" s="265"/>
      <c r="R3" s="187"/>
      <c r="S3" s="187"/>
      <c r="T3" s="187"/>
      <c r="U3" s="187"/>
      <c r="V3" s="187"/>
      <c r="W3" s="187"/>
      <c r="X3" s="187"/>
      <c r="Y3" s="187"/>
    </row>
    <row r="4" spans="1:25" ht="15" customHeight="1" x14ac:dyDescent="0.25">
      <c r="A4" s="291"/>
      <c r="B4" s="291"/>
      <c r="C4" s="292"/>
      <c r="D4" s="293"/>
      <c r="E4" s="767" t="s">
        <v>637</v>
      </c>
      <c r="F4" s="768"/>
      <c r="G4" s="768"/>
      <c r="H4" s="769"/>
      <c r="I4" s="767" t="s">
        <v>638</v>
      </c>
      <c r="J4" s="768"/>
      <c r="K4" s="768"/>
      <c r="L4" s="768"/>
      <c r="M4" s="768"/>
      <c r="N4" s="768"/>
      <c r="O4" s="768"/>
      <c r="P4" s="769"/>
      <c r="Q4" s="770"/>
      <c r="R4" s="771"/>
      <c r="S4" s="187"/>
      <c r="T4" s="187"/>
      <c r="U4" s="294"/>
      <c r="V4" s="295"/>
      <c r="W4" s="296"/>
      <c r="X4" s="296"/>
      <c r="Y4" s="297"/>
    </row>
    <row r="5" spans="1:25" ht="30" customHeight="1" x14ac:dyDescent="0.25">
      <c r="A5" s="298"/>
      <c r="B5" s="298"/>
      <c r="C5" s="299"/>
      <c r="D5" s="300" t="s">
        <v>639</v>
      </c>
      <c r="E5" s="266" t="s">
        <v>640</v>
      </c>
      <c r="F5" s="266" t="s">
        <v>640</v>
      </c>
      <c r="G5" s="267" t="s">
        <v>639</v>
      </c>
      <c r="H5" s="287" t="s">
        <v>639</v>
      </c>
      <c r="I5" s="266" t="s">
        <v>220</v>
      </c>
      <c r="J5" s="267" t="s">
        <v>220</v>
      </c>
      <c r="K5" s="267" t="s">
        <v>641</v>
      </c>
      <c r="L5" s="267" t="s">
        <v>641</v>
      </c>
      <c r="M5" s="267" t="s">
        <v>188</v>
      </c>
      <c r="N5" s="267" t="s">
        <v>188</v>
      </c>
      <c r="O5" s="267" t="s">
        <v>642</v>
      </c>
      <c r="P5" s="267" t="s">
        <v>642</v>
      </c>
      <c r="Q5" s="267" t="s">
        <v>643</v>
      </c>
      <c r="R5" s="267" t="s">
        <v>643</v>
      </c>
      <c r="S5" s="301" t="s">
        <v>644</v>
      </c>
      <c r="T5" s="271" t="s">
        <v>645</v>
      </c>
      <c r="U5" s="302" t="s">
        <v>646</v>
      </c>
      <c r="V5" s="303" t="s">
        <v>647</v>
      </c>
      <c r="W5" s="304"/>
      <c r="X5" s="304"/>
      <c r="Y5" s="305"/>
    </row>
    <row r="6" spans="1:25" ht="17.25" customHeight="1" x14ac:dyDescent="0.25">
      <c r="A6" s="306" t="s">
        <v>648</v>
      </c>
      <c r="B6" s="306" t="s">
        <v>649</v>
      </c>
      <c r="C6" s="267" t="s">
        <v>650</v>
      </c>
      <c r="D6" s="307" t="s">
        <v>651</v>
      </c>
      <c r="E6" s="268" t="s">
        <v>652</v>
      </c>
      <c r="F6" s="268" t="s">
        <v>652</v>
      </c>
      <c r="G6" s="268" t="s">
        <v>652</v>
      </c>
      <c r="H6" s="268" t="s">
        <v>652</v>
      </c>
      <c r="I6" s="268" t="s">
        <v>652</v>
      </c>
      <c r="J6" s="268" t="s">
        <v>652</v>
      </c>
      <c r="K6" s="268" t="s">
        <v>652</v>
      </c>
      <c r="L6" s="268" t="s">
        <v>652</v>
      </c>
      <c r="M6" s="268" t="s">
        <v>652</v>
      </c>
      <c r="N6" s="268" t="s">
        <v>652</v>
      </c>
      <c r="O6" s="268" t="s">
        <v>652</v>
      </c>
      <c r="P6" s="268" t="s">
        <v>652</v>
      </c>
      <c r="Q6" s="269" t="s">
        <v>652</v>
      </c>
      <c r="R6" s="269" t="s">
        <v>652</v>
      </c>
      <c r="S6" s="270" t="s">
        <v>653</v>
      </c>
      <c r="T6" s="271" t="s">
        <v>653</v>
      </c>
      <c r="U6" s="302" t="s">
        <v>654</v>
      </c>
      <c r="V6" s="308" t="s">
        <v>655</v>
      </c>
      <c r="W6" s="309" t="s">
        <v>656</v>
      </c>
      <c r="X6" s="308" t="s">
        <v>655</v>
      </c>
      <c r="Y6" s="309" t="s">
        <v>656</v>
      </c>
    </row>
    <row r="7" spans="1:25" x14ac:dyDescent="0.25">
      <c r="A7" t="s">
        <v>12</v>
      </c>
      <c r="B7" t="s">
        <v>11</v>
      </c>
      <c r="C7" s="187"/>
      <c r="D7" s="187" t="s">
        <v>657</v>
      </c>
      <c r="E7" s="272">
        <v>0.45454545454545447</v>
      </c>
      <c r="F7" s="272">
        <v>0.45</v>
      </c>
      <c r="G7" s="273">
        <v>140</v>
      </c>
      <c r="H7" s="274">
        <v>140</v>
      </c>
      <c r="I7" s="272">
        <v>11.818181818181817</v>
      </c>
      <c r="J7" s="272">
        <v>12</v>
      </c>
      <c r="K7" s="273">
        <v>616</v>
      </c>
      <c r="L7" s="274">
        <v>620</v>
      </c>
      <c r="M7" s="272">
        <v>5.4545454545454533</v>
      </c>
      <c r="N7" s="272">
        <v>5.5</v>
      </c>
      <c r="O7" s="273">
        <v>616</v>
      </c>
      <c r="P7" s="274">
        <v>620</v>
      </c>
      <c r="Q7" s="275">
        <v>470</v>
      </c>
      <c r="R7" s="276">
        <v>470</v>
      </c>
      <c r="S7" s="187">
        <v>1</v>
      </c>
      <c r="T7" s="187">
        <v>1</v>
      </c>
      <c r="U7" s="187" t="s">
        <v>478</v>
      </c>
      <c r="V7" s="187">
        <v>1</v>
      </c>
      <c r="W7" s="187">
        <v>1</v>
      </c>
      <c r="X7" s="187">
        <v>1</v>
      </c>
      <c r="Y7" s="187">
        <v>1</v>
      </c>
    </row>
    <row r="8" spans="1:25" ht="14.25" customHeight="1" x14ac:dyDescent="0.25">
      <c r="A8" t="s">
        <v>658</v>
      </c>
      <c r="B8" t="s">
        <v>659</v>
      </c>
      <c r="C8" s="187"/>
      <c r="D8" s="187" t="s">
        <v>444</v>
      </c>
      <c r="E8" s="272">
        <v>4.9999999999999996E-2</v>
      </c>
      <c r="F8" s="272">
        <v>0.05</v>
      </c>
      <c r="G8" s="273" t="s">
        <v>444</v>
      </c>
      <c r="H8" s="274" t="s">
        <v>444</v>
      </c>
      <c r="I8" s="272">
        <v>1.2999999999999998</v>
      </c>
      <c r="J8" s="272">
        <v>1.3</v>
      </c>
      <c r="K8" s="273" t="s">
        <v>444</v>
      </c>
      <c r="L8" s="274" t="s">
        <v>444</v>
      </c>
      <c r="M8" s="272">
        <v>0.6</v>
      </c>
      <c r="N8" s="272">
        <v>0.6</v>
      </c>
      <c r="O8" s="273" t="s">
        <v>444</v>
      </c>
      <c r="P8" s="274" t="s">
        <v>444</v>
      </c>
      <c r="Q8" s="275" t="s">
        <v>444</v>
      </c>
      <c r="R8" s="276" t="s">
        <v>444</v>
      </c>
      <c r="S8" s="187">
        <v>1</v>
      </c>
      <c r="T8" s="187">
        <v>1</v>
      </c>
      <c r="U8" s="187" t="s">
        <v>478</v>
      </c>
      <c r="V8" s="187">
        <v>1</v>
      </c>
      <c r="W8" s="187">
        <v>1</v>
      </c>
      <c r="X8" s="187">
        <v>1</v>
      </c>
      <c r="Y8" s="187">
        <v>1</v>
      </c>
    </row>
    <row r="9" spans="1:25" x14ac:dyDescent="0.25">
      <c r="A9" t="s">
        <v>660</v>
      </c>
      <c r="B9" t="s">
        <v>661</v>
      </c>
      <c r="C9" s="187"/>
      <c r="D9" s="187" t="s">
        <v>657</v>
      </c>
      <c r="E9" s="272" t="s">
        <v>444</v>
      </c>
      <c r="F9" s="272" t="s">
        <v>444</v>
      </c>
      <c r="G9" s="273">
        <v>31000</v>
      </c>
      <c r="H9" s="274">
        <v>31000</v>
      </c>
      <c r="I9" s="272" t="s">
        <v>444</v>
      </c>
      <c r="J9" s="272" t="s">
        <v>444</v>
      </c>
      <c r="K9" s="273">
        <v>136400</v>
      </c>
      <c r="L9" s="274">
        <v>140000</v>
      </c>
      <c r="M9" s="272" t="s">
        <v>444</v>
      </c>
      <c r="N9" s="272" t="s">
        <v>444</v>
      </c>
      <c r="O9" s="273">
        <v>136400</v>
      </c>
      <c r="P9" s="274">
        <v>140000</v>
      </c>
      <c r="Q9" s="275">
        <v>62000</v>
      </c>
      <c r="R9" s="276">
        <v>62000</v>
      </c>
      <c r="S9" s="187">
        <v>1</v>
      </c>
      <c r="T9" s="187">
        <v>1</v>
      </c>
      <c r="U9" s="187" t="s">
        <v>478</v>
      </c>
      <c r="V9" s="187">
        <v>1</v>
      </c>
      <c r="W9" s="187">
        <v>1</v>
      </c>
      <c r="X9" s="187">
        <v>1</v>
      </c>
      <c r="Y9" s="187">
        <v>1</v>
      </c>
    </row>
    <row r="10" spans="1:25" x14ac:dyDescent="0.25">
      <c r="A10" t="s">
        <v>662</v>
      </c>
      <c r="B10" t="s">
        <v>663</v>
      </c>
      <c r="C10" s="187"/>
      <c r="D10" s="187" t="s">
        <v>657</v>
      </c>
      <c r="E10" s="272" t="s">
        <v>444</v>
      </c>
      <c r="F10" s="272" t="s">
        <v>444</v>
      </c>
      <c r="G10" s="273">
        <v>60</v>
      </c>
      <c r="H10" s="274">
        <v>60</v>
      </c>
      <c r="I10" s="272" t="s">
        <v>444</v>
      </c>
      <c r="J10" s="272" t="s">
        <v>444</v>
      </c>
      <c r="K10" s="273">
        <v>264</v>
      </c>
      <c r="L10" s="274">
        <v>260</v>
      </c>
      <c r="M10" s="272" t="s">
        <v>444</v>
      </c>
      <c r="N10" s="272" t="s">
        <v>444</v>
      </c>
      <c r="O10" s="273">
        <v>264</v>
      </c>
      <c r="P10" s="274">
        <v>260</v>
      </c>
      <c r="Q10" s="275" t="s">
        <v>444</v>
      </c>
      <c r="R10" s="276" t="s">
        <v>444</v>
      </c>
      <c r="S10" s="187">
        <v>1</v>
      </c>
      <c r="T10" s="187">
        <v>1</v>
      </c>
      <c r="U10" s="187" t="s">
        <v>478</v>
      </c>
      <c r="V10" s="187">
        <v>1</v>
      </c>
      <c r="W10" s="187">
        <v>1</v>
      </c>
      <c r="X10" s="187">
        <v>1</v>
      </c>
      <c r="Y10" s="187">
        <v>1</v>
      </c>
    </row>
    <row r="11" spans="1:25" x14ac:dyDescent="0.25">
      <c r="A11" t="s">
        <v>14</v>
      </c>
      <c r="B11" t="s">
        <v>13</v>
      </c>
      <c r="C11" s="187"/>
      <c r="D11" s="187" t="s">
        <v>664</v>
      </c>
      <c r="E11" s="272" t="s">
        <v>444</v>
      </c>
      <c r="F11" s="272" t="s">
        <v>444</v>
      </c>
      <c r="G11" s="273">
        <v>0.35</v>
      </c>
      <c r="H11" s="274">
        <v>0.35</v>
      </c>
      <c r="I11" s="272" t="s">
        <v>444</v>
      </c>
      <c r="J11" s="272" t="s">
        <v>444</v>
      </c>
      <c r="K11" s="273">
        <v>1.54</v>
      </c>
      <c r="L11" s="274">
        <v>1.5</v>
      </c>
      <c r="M11" s="272" t="s">
        <v>444</v>
      </c>
      <c r="N11" s="272" t="s">
        <v>444</v>
      </c>
      <c r="O11" s="273">
        <v>1.54</v>
      </c>
      <c r="P11" s="274">
        <v>1.5</v>
      </c>
      <c r="Q11" s="275">
        <v>6.9</v>
      </c>
      <c r="R11" s="276">
        <v>6.9</v>
      </c>
      <c r="S11" s="187">
        <v>1</v>
      </c>
      <c r="T11" s="187">
        <v>1</v>
      </c>
      <c r="U11" s="187" t="s">
        <v>478</v>
      </c>
      <c r="V11" s="187">
        <v>1</v>
      </c>
      <c r="W11" s="187">
        <v>1</v>
      </c>
      <c r="X11" s="187">
        <v>1</v>
      </c>
      <c r="Y11" s="187">
        <v>1</v>
      </c>
    </row>
    <row r="12" spans="1:25" x14ac:dyDescent="0.25">
      <c r="A12" t="s">
        <v>665</v>
      </c>
      <c r="B12" t="s">
        <v>666</v>
      </c>
      <c r="C12" s="187" t="s">
        <v>667</v>
      </c>
      <c r="D12" s="187" t="s">
        <v>657</v>
      </c>
      <c r="E12" s="272">
        <v>5.8823529411764696E-3</v>
      </c>
      <c r="F12" s="272">
        <v>5.8999999999999999E-3</v>
      </c>
      <c r="G12" s="273">
        <v>6</v>
      </c>
      <c r="H12" s="274">
        <v>6</v>
      </c>
      <c r="I12" s="272">
        <v>6.1904761904761893E-2</v>
      </c>
      <c r="J12" s="272">
        <v>6.2E-2</v>
      </c>
      <c r="K12" s="273">
        <v>26.400000000000002</v>
      </c>
      <c r="L12" s="274">
        <v>26</v>
      </c>
      <c r="M12" s="272">
        <v>0.11999999999999998</v>
      </c>
      <c r="N12" s="272">
        <v>0.12</v>
      </c>
      <c r="O12" s="273">
        <v>26.400000000000002</v>
      </c>
      <c r="P12" s="274">
        <v>26</v>
      </c>
      <c r="Q12" s="275" t="s">
        <v>444</v>
      </c>
      <c r="R12" s="276" t="s">
        <v>444</v>
      </c>
      <c r="S12" s="187">
        <v>1</v>
      </c>
      <c r="T12" s="187">
        <v>1</v>
      </c>
      <c r="U12" s="187" t="s">
        <v>244</v>
      </c>
      <c r="V12" s="187">
        <v>1</v>
      </c>
      <c r="W12" s="187">
        <v>1</v>
      </c>
      <c r="X12" s="187">
        <v>1</v>
      </c>
      <c r="Y12" s="187">
        <v>1</v>
      </c>
    </row>
    <row r="13" spans="1:25" x14ac:dyDescent="0.25">
      <c r="A13" t="s">
        <v>668</v>
      </c>
      <c r="B13" t="s">
        <v>669</v>
      </c>
      <c r="C13" s="187"/>
      <c r="D13" s="187" t="s">
        <v>657</v>
      </c>
      <c r="E13" s="272" t="s">
        <v>444</v>
      </c>
      <c r="F13" s="272" t="s">
        <v>444</v>
      </c>
      <c r="G13" s="273">
        <v>1</v>
      </c>
      <c r="H13" s="274">
        <v>1</v>
      </c>
      <c r="I13" s="272" t="s">
        <v>444</v>
      </c>
      <c r="J13" s="272" t="s">
        <v>444</v>
      </c>
      <c r="K13" s="273">
        <v>4.4000000000000004</v>
      </c>
      <c r="L13" s="274">
        <v>4.4000000000000004</v>
      </c>
      <c r="M13" s="272" t="s">
        <v>444</v>
      </c>
      <c r="N13" s="272" t="s">
        <v>444</v>
      </c>
      <c r="O13" s="273">
        <v>4.4000000000000004</v>
      </c>
      <c r="P13" s="274">
        <v>4.4000000000000004</v>
      </c>
      <c r="Q13" s="275">
        <v>6000</v>
      </c>
      <c r="R13" s="276">
        <v>6000</v>
      </c>
      <c r="S13" s="187">
        <v>1</v>
      </c>
      <c r="T13" s="187">
        <v>1</v>
      </c>
      <c r="U13" s="187" t="s">
        <v>478</v>
      </c>
      <c r="V13" s="187">
        <v>1</v>
      </c>
      <c r="W13" s="187">
        <v>1</v>
      </c>
      <c r="X13" s="187">
        <v>1</v>
      </c>
      <c r="Y13" s="187">
        <v>1</v>
      </c>
    </row>
    <row r="14" spans="1:25" x14ac:dyDescent="0.25">
      <c r="A14" t="s">
        <v>670</v>
      </c>
      <c r="B14" t="s">
        <v>671</v>
      </c>
      <c r="C14" s="187"/>
      <c r="D14" s="187" t="s">
        <v>657</v>
      </c>
      <c r="E14" s="272">
        <v>1.4705882352941176E-2</v>
      </c>
      <c r="F14" s="272">
        <v>1.4999999999999999E-2</v>
      </c>
      <c r="G14" s="273">
        <v>5</v>
      </c>
      <c r="H14" s="274">
        <v>5</v>
      </c>
      <c r="I14" s="272">
        <v>0.38235294117647056</v>
      </c>
      <c r="J14" s="272">
        <v>0.38</v>
      </c>
      <c r="K14" s="273">
        <v>22</v>
      </c>
      <c r="L14" s="274">
        <v>22</v>
      </c>
      <c r="M14" s="272">
        <v>0.1764705882352941</v>
      </c>
      <c r="N14" s="272">
        <v>0.18</v>
      </c>
      <c r="O14" s="273">
        <v>22</v>
      </c>
      <c r="P14" s="274">
        <v>22</v>
      </c>
      <c r="Q14" s="275">
        <v>220</v>
      </c>
      <c r="R14" s="276">
        <v>220</v>
      </c>
      <c r="S14" s="187">
        <v>1</v>
      </c>
      <c r="T14" s="187">
        <v>1</v>
      </c>
      <c r="U14" s="187" t="s">
        <v>478</v>
      </c>
      <c r="V14" s="187">
        <v>1</v>
      </c>
      <c r="W14" s="187">
        <v>1</v>
      </c>
      <c r="X14" s="187">
        <v>1</v>
      </c>
      <c r="Y14" s="187">
        <v>1</v>
      </c>
    </row>
    <row r="15" spans="1:25" x14ac:dyDescent="0.25">
      <c r="A15" t="s">
        <v>672</v>
      </c>
      <c r="B15" t="s">
        <v>673</v>
      </c>
      <c r="C15" s="187"/>
      <c r="D15" s="187" t="s">
        <v>444</v>
      </c>
      <c r="E15" s="272">
        <v>2.0408163265306123E-4</v>
      </c>
      <c r="F15" s="272">
        <v>2.0000000000000001E-4</v>
      </c>
      <c r="G15" s="273" t="s">
        <v>444</v>
      </c>
      <c r="H15" s="274" t="s">
        <v>444</v>
      </c>
      <c r="I15" s="272">
        <v>5.3061224489795921E-3</v>
      </c>
      <c r="J15" s="272">
        <v>5.3E-3</v>
      </c>
      <c r="K15" s="273" t="s">
        <v>444</v>
      </c>
      <c r="L15" s="274" t="s">
        <v>444</v>
      </c>
      <c r="M15" s="272">
        <v>2.4489795918367346E-3</v>
      </c>
      <c r="N15" s="272">
        <v>2.3999999999999998E-3</v>
      </c>
      <c r="O15" s="273" t="s">
        <v>444</v>
      </c>
      <c r="P15" s="274" t="s">
        <v>444</v>
      </c>
      <c r="Q15" s="275" t="s">
        <v>444</v>
      </c>
      <c r="R15" s="276" t="s">
        <v>444</v>
      </c>
      <c r="S15" s="187">
        <v>1</v>
      </c>
      <c r="T15" s="187">
        <v>1</v>
      </c>
      <c r="U15" s="187" t="s">
        <v>478</v>
      </c>
      <c r="V15" s="187">
        <v>1</v>
      </c>
      <c r="W15" s="187">
        <v>1</v>
      </c>
      <c r="X15" s="187">
        <v>1</v>
      </c>
      <c r="Y15" s="187">
        <v>1</v>
      </c>
    </row>
    <row r="16" spans="1:25" x14ac:dyDescent="0.25">
      <c r="A16" t="s">
        <v>674</v>
      </c>
      <c r="B16" t="s">
        <v>675</v>
      </c>
      <c r="C16" s="187"/>
      <c r="D16" s="187" t="s">
        <v>657</v>
      </c>
      <c r="E16" s="272">
        <v>0.16666666666666666</v>
      </c>
      <c r="F16" s="272">
        <v>0.17</v>
      </c>
      <c r="G16" s="273">
        <v>1</v>
      </c>
      <c r="H16" s="274">
        <v>1</v>
      </c>
      <c r="I16" s="272">
        <v>4.333333333333333</v>
      </c>
      <c r="J16" s="272">
        <v>4.3</v>
      </c>
      <c r="K16" s="273">
        <v>4.4000000000000004</v>
      </c>
      <c r="L16" s="274">
        <v>4.4000000000000004</v>
      </c>
      <c r="M16" s="272">
        <v>2</v>
      </c>
      <c r="N16" s="272">
        <v>2</v>
      </c>
      <c r="O16" s="273">
        <v>4.4000000000000004</v>
      </c>
      <c r="P16" s="274">
        <v>4.4000000000000004</v>
      </c>
      <c r="Q16" s="275" t="s">
        <v>444</v>
      </c>
      <c r="R16" s="276" t="s">
        <v>444</v>
      </c>
      <c r="S16" s="187">
        <v>1</v>
      </c>
      <c r="T16" s="187">
        <v>1</v>
      </c>
      <c r="U16" s="187" t="s">
        <v>478</v>
      </c>
      <c r="V16" s="187">
        <v>1</v>
      </c>
      <c r="W16" s="187">
        <v>1</v>
      </c>
      <c r="X16" s="187">
        <v>1</v>
      </c>
      <c r="Y16" s="187">
        <v>1</v>
      </c>
    </row>
    <row r="17" spans="1:25" x14ac:dyDescent="0.25">
      <c r="A17" t="s">
        <v>676</v>
      </c>
      <c r="B17" t="s">
        <v>677</v>
      </c>
      <c r="C17" s="187" t="s">
        <v>678</v>
      </c>
      <c r="D17" s="187" t="s">
        <v>664</v>
      </c>
      <c r="E17" s="272" t="s">
        <v>444</v>
      </c>
      <c r="F17" s="272" t="s">
        <v>444</v>
      </c>
      <c r="G17" s="273">
        <v>5</v>
      </c>
      <c r="H17" s="274">
        <v>5</v>
      </c>
      <c r="I17" s="272" t="s">
        <v>444</v>
      </c>
      <c r="J17" s="272" t="s">
        <v>444</v>
      </c>
      <c r="K17" s="273">
        <v>22</v>
      </c>
      <c r="L17" s="274">
        <v>22</v>
      </c>
      <c r="M17" s="272" t="s">
        <v>444</v>
      </c>
      <c r="N17" s="272" t="s">
        <v>444</v>
      </c>
      <c r="O17" s="273">
        <v>22</v>
      </c>
      <c r="P17" s="274">
        <v>22</v>
      </c>
      <c r="Q17" s="275" t="s">
        <v>444</v>
      </c>
      <c r="R17" s="276" t="s">
        <v>444</v>
      </c>
      <c r="S17" s="187">
        <v>1</v>
      </c>
      <c r="T17" s="187">
        <v>1</v>
      </c>
      <c r="U17" s="187" t="s">
        <v>478</v>
      </c>
      <c r="V17" s="187">
        <v>1</v>
      </c>
      <c r="W17" s="187">
        <v>1</v>
      </c>
      <c r="X17" s="187">
        <v>1</v>
      </c>
      <c r="Y17" s="187">
        <v>1</v>
      </c>
    </row>
    <row r="18" spans="1:25" x14ac:dyDescent="0.25">
      <c r="A18" t="s">
        <v>16</v>
      </c>
      <c r="B18" t="s">
        <v>15</v>
      </c>
      <c r="C18" s="187"/>
      <c r="D18" s="187" t="s">
        <v>657</v>
      </c>
      <c r="E18" s="272" t="s">
        <v>444</v>
      </c>
      <c r="F18" s="272" t="s">
        <v>444</v>
      </c>
      <c r="G18" s="273">
        <v>500</v>
      </c>
      <c r="H18" s="274">
        <v>500</v>
      </c>
      <c r="I18" s="272" t="s">
        <v>444</v>
      </c>
      <c r="J18" s="272" t="s">
        <v>444</v>
      </c>
      <c r="K18" s="273">
        <v>2200</v>
      </c>
      <c r="L18" s="274">
        <v>2200</v>
      </c>
      <c r="M18" s="272" t="s">
        <v>444</v>
      </c>
      <c r="N18" s="272" t="s">
        <v>444</v>
      </c>
      <c r="O18" s="273">
        <v>2200</v>
      </c>
      <c r="P18" s="274">
        <v>2200</v>
      </c>
      <c r="Q18" s="275">
        <v>1200</v>
      </c>
      <c r="R18" s="276">
        <v>1200</v>
      </c>
      <c r="S18" s="187">
        <v>1</v>
      </c>
      <c r="T18" s="187">
        <v>1</v>
      </c>
      <c r="U18" s="187" t="s">
        <v>478</v>
      </c>
      <c r="V18" s="187">
        <v>1</v>
      </c>
      <c r="W18" s="187">
        <v>1</v>
      </c>
      <c r="X18" s="187">
        <v>1</v>
      </c>
      <c r="Y18" s="187">
        <v>1</v>
      </c>
    </row>
    <row r="19" spans="1:25" x14ac:dyDescent="0.25">
      <c r="A19" t="s">
        <v>679</v>
      </c>
      <c r="B19" t="s">
        <v>680</v>
      </c>
      <c r="C19" s="187"/>
      <c r="D19" s="187" t="s">
        <v>664</v>
      </c>
      <c r="E19" s="272">
        <v>0.625</v>
      </c>
      <c r="F19" s="272">
        <v>0.63</v>
      </c>
      <c r="G19" s="273">
        <v>1</v>
      </c>
      <c r="H19" s="274">
        <v>1</v>
      </c>
      <c r="I19" s="272">
        <v>16.25</v>
      </c>
      <c r="J19" s="272">
        <v>16</v>
      </c>
      <c r="K19" s="273">
        <v>4.4000000000000004</v>
      </c>
      <c r="L19" s="274">
        <v>4.4000000000000004</v>
      </c>
      <c r="M19" s="272">
        <v>7.5</v>
      </c>
      <c r="N19" s="272">
        <v>7.5</v>
      </c>
      <c r="O19" s="273">
        <v>4.4000000000000004</v>
      </c>
      <c r="P19" s="274">
        <v>4.4000000000000004</v>
      </c>
      <c r="Q19" s="275" t="s">
        <v>444</v>
      </c>
      <c r="R19" s="276" t="s">
        <v>444</v>
      </c>
      <c r="S19" s="187">
        <v>1</v>
      </c>
      <c r="T19" s="187">
        <v>1</v>
      </c>
      <c r="U19" s="187" t="s">
        <v>478</v>
      </c>
      <c r="V19" s="187">
        <v>1</v>
      </c>
      <c r="W19" s="187">
        <v>1</v>
      </c>
      <c r="X19" s="187">
        <v>1</v>
      </c>
      <c r="Y19" s="187">
        <v>1</v>
      </c>
    </row>
    <row r="20" spans="1:25" ht="20.25" customHeight="1" x14ac:dyDescent="0.25">
      <c r="A20" t="s">
        <v>20</v>
      </c>
      <c r="B20" t="s">
        <v>481</v>
      </c>
      <c r="C20" s="187"/>
      <c r="D20" s="187" t="s">
        <v>657</v>
      </c>
      <c r="E20" s="272" t="s">
        <v>444</v>
      </c>
      <c r="F20" s="272" t="s">
        <v>444</v>
      </c>
      <c r="G20" s="273">
        <v>0.3</v>
      </c>
      <c r="H20" s="274">
        <v>0.3</v>
      </c>
      <c r="I20" s="272" t="s">
        <v>444</v>
      </c>
      <c r="J20" s="272" t="s">
        <v>444</v>
      </c>
      <c r="K20" s="273">
        <v>1.32</v>
      </c>
      <c r="L20" s="274">
        <v>1.3</v>
      </c>
      <c r="M20" s="272" t="s">
        <v>444</v>
      </c>
      <c r="N20" s="272" t="s">
        <v>444</v>
      </c>
      <c r="O20" s="273">
        <v>1.32</v>
      </c>
      <c r="P20" s="274">
        <v>1.3</v>
      </c>
      <c r="Q20" s="275">
        <v>1</v>
      </c>
      <c r="R20" s="276">
        <v>1</v>
      </c>
      <c r="S20" s="187">
        <v>1</v>
      </c>
      <c r="T20" s="187">
        <v>1</v>
      </c>
      <c r="U20" s="187" t="s">
        <v>478</v>
      </c>
      <c r="V20" s="187">
        <v>1</v>
      </c>
      <c r="W20" s="187">
        <v>1</v>
      </c>
      <c r="X20" s="187">
        <v>1</v>
      </c>
      <c r="Y20" s="187">
        <v>1</v>
      </c>
    </row>
    <row r="21" spans="1:25" x14ac:dyDescent="0.25">
      <c r="A21" t="s">
        <v>681</v>
      </c>
      <c r="B21" t="s">
        <v>682</v>
      </c>
      <c r="C21" s="187"/>
      <c r="D21" s="187" t="s">
        <v>444</v>
      </c>
      <c r="E21" s="272">
        <v>0.14084507042253522</v>
      </c>
      <c r="F21" s="272">
        <v>0.14000000000000001</v>
      </c>
      <c r="G21" s="273" t="s">
        <v>444</v>
      </c>
      <c r="H21" s="274" t="s">
        <v>444</v>
      </c>
      <c r="I21" s="272">
        <v>3.6619718309859155</v>
      </c>
      <c r="J21" s="272">
        <v>3.7</v>
      </c>
      <c r="K21" s="273" t="s">
        <v>444</v>
      </c>
      <c r="L21" s="274" t="s">
        <v>444</v>
      </c>
      <c r="M21" s="272">
        <v>1.6901408450704225</v>
      </c>
      <c r="N21" s="272">
        <v>1.7</v>
      </c>
      <c r="O21" s="273" t="s">
        <v>444</v>
      </c>
      <c r="P21" s="274" t="s">
        <v>444</v>
      </c>
      <c r="Q21" s="275" t="s">
        <v>444</v>
      </c>
      <c r="R21" s="276" t="s">
        <v>444</v>
      </c>
      <c r="S21" s="187">
        <v>1</v>
      </c>
      <c r="T21" s="187">
        <v>1</v>
      </c>
      <c r="U21" s="187" t="s">
        <v>478</v>
      </c>
      <c r="V21" s="187">
        <v>1</v>
      </c>
      <c r="W21" s="187">
        <v>1</v>
      </c>
      <c r="X21" s="187">
        <v>1</v>
      </c>
      <c r="Y21" s="187">
        <v>1</v>
      </c>
    </row>
    <row r="22" spans="1:25" ht="18" customHeight="1" x14ac:dyDescent="0.25">
      <c r="A22" t="s">
        <v>22</v>
      </c>
      <c r="B22" t="s">
        <v>482</v>
      </c>
      <c r="C22" s="187" t="s">
        <v>678</v>
      </c>
      <c r="D22" s="187" t="s">
        <v>657</v>
      </c>
      <c r="E22" s="272">
        <v>2.3975065931431311E-5</v>
      </c>
      <c r="F22" s="272">
        <v>2.4000000000000001E-5</v>
      </c>
      <c r="G22" s="273">
        <v>1.7045454545454544E-4</v>
      </c>
      <c r="H22" s="274">
        <v>1.7000000000000001E-4</v>
      </c>
      <c r="I22" s="272">
        <v>1.3436692506459949E-3</v>
      </c>
      <c r="J22" s="272">
        <v>1.2999999999999999E-3</v>
      </c>
      <c r="K22" s="273">
        <v>2.3571428571428576E-3</v>
      </c>
      <c r="L22" s="274">
        <v>2.3999999999999998E-3</v>
      </c>
      <c r="M22" s="272">
        <v>6.2015503875968985E-4</v>
      </c>
      <c r="N22" s="272">
        <v>6.2E-4</v>
      </c>
      <c r="O22" s="273">
        <v>2.3571428571428571E-3</v>
      </c>
      <c r="P22" s="274">
        <v>2.3999999999999998E-3</v>
      </c>
      <c r="Q22" s="275">
        <v>0.2</v>
      </c>
      <c r="R22" s="276">
        <v>0.2</v>
      </c>
      <c r="S22" s="187">
        <v>1</v>
      </c>
      <c r="T22" s="187">
        <v>1</v>
      </c>
      <c r="U22" s="187" t="s">
        <v>478</v>
      </c>
      <c r="V22" s="187">
        <v>9.6999999999999993</v>
      </c>
      <c r="W22" s="187">
        <v>4.5</v>
      </c>
      <c r="X22" s="187">
        <v>88</v>
      </c>
      <c r="Y22" s="187">
        <v>28</v>
      </c>
    </row>
    <row r="23" spans="1:25" x14ac:dyDescent="0.25">
      <c r="A23" t="s">
        <v>683</v>
      </c>
      <c r="B23" t="s">
        <v>684</v>
      </c>
      <c r="C23" s="187"/>
      <c r="D23" s="187" t="s">
        <v>657</v>
      </c>
      <c r="E23" s="272" t="s">
        <v>444</v>
      </c>
      <c r="F23" s="272" t="s">
        <v>444</v>
      </c>
      <c r="G23" s="273">
        <v>1.4999999999999999E-2</v>
      </c>
      <c r="H23" s="274">
        <v>1.4999999999999999E-2</v>
      </c>
      <c r="I23" s="272" t="s">
        <v>444</v>
      </c>
      <c r="J23" s="272" t="s">
        <v>444</v>
      </c>
      <c r="K23" s="273">
        <v>6.6000000000000003E-2</v>
      </c>
      <c r="L23" s="274">
        <v>6.6000000000000003E-2</v>
      </c>
      <c r="M23" s="272" t="s">
        <v>444</v>
      </c>
      <c r="N23" s="272" t="s">
        <v>444</v>
      </c>
      <c r="O23" s="273">
        <v>6.6000000000000003E-2</v>
      </c>
      <c r="P23" s="274">
        <v>6.6000000000000003E-2</v>
      </c>
      <c r="Q23" s="275">
        <v>0.2</v>
      </c>
      <c r="R23" s="276">
        <v>0.2</v>
      </c>
      <c r="S23" s="187">
        <v>1</v>
      </c>
      <c r="T23" s="187">
        <v>1</v>
      </c>
      <c r="U23" s="187" t="s">
        <v>478</v>
      </c>
      <c r="V23" s="187">
        <v>1</v>
      </c>
      <c r="W23" s="187">
        <v>1</v>
      </c>
      <c r="X23" s="187">
        <v>1</v>
      </c>
      <c r="Y23" s="187">
        <v>1</v>
      </c>
    </row>
    <row r="24" spans="1:25" x14ac:dyDescent="0.25">
      <c r="A24" t="s">
        <v>685</v>
      </c>
      <c r="B24" t="s">
        <v>686</v>
      </c>
      <c r="C24" s="187" t="s">
        <v>687</v>
      </c>
      <c r="D24" s="187" t="s">
        <v>444</v>
      </c>
      <c r="E24" s="272">
        <v>4.3478260869565214E-6</v>
      </c>
      <c r="F24" s="272">
        <v>4.3000000000000003E-6</v>
      </c>
      <c r="G24" s="273" t="s">
        <v>444</v>
      </c>
      <c r="H24" s="274" t="s">
        <v>444</v>
      </c>
      <c r="I24" s="272">
        <v>1.1304347826086956E-4</v>
      </c>
      <c r="J24" s="272">
        <v>1.1E-4</v>
      </c>
      <c r="K24" s="273" t="s">
        <v>444</v>
      </c>
      <c r="L24" s="274" t="s">
        <v>444</v>
      </c>
      <c r="M24" s="272">
        <v>5.2173913043478256E-5</v>
      </c>
      <c r="N24" s="272">
        <v>5.1999999999999997E-5</v>
      </c>
      <c r="O24" s="273" t="s">
        <v>444</v>
      </c>
      <c r="P24" s="274" t="s">
        <v>444</v>
      </c>
      <c r="Q24" s="275" t="s">
        <v>444</v>
      </c>
      <c r="R24" s="276" t="s">
        <v>444</v>
      </c>
      <c r="S24" s="187">
        <v>1</v>
      </c>
      <c r="T24" s="187">
        <v>1</v>
      </c>
      <c r="U24" s="187" t="s">
        <v>478</v>
      </c>
      <c r="V24" s="187">
        <v>1</v>
      </c>
      <c r="W24" s="187">
        <v>1</v>
      </c>
      <c r="X24" s="187">
        <v>1</v>
      </c>
      <c r="Y24" s="187">
        <v>1</v>
      </c>
    </row>
    <row r="25" spans="1:25" x14ac:dyDescent="0.25">
      <c r="A25" t="s">
        <v>688</v>
      </c>
      <c r="B25" t="s">
        <v>689</v>
      </c>
      <c r="C25" s="187"/>
      <c r="D25" s="187" t="s">
        <v>444</v>
      </c>
      <c r="E25" s="272">
        <v>3.2258064516129031E-2</v>
      </c>
      <c r="F25" s="272">
        <v>3.2000000000000001E-2</v>
      </c>
      <c r="G25" s="273" t="s">
        <v>444</v>
      </c>
      <c r="H25" s="274" t="s">
        <v>444</v>
      </c>
      <c r="I25" s="272">
        <v>0.83870967741935476</v>
      </c>
      <c r="J25" s="272">
        <v>0.84</v>
      </c>
      <c r="K25" s="273" t="s">
        <v>444</v>
      </c>
      <c r="L25" s="274" t="s">
        <v>444</v>
      </c>
      <c r="M25" s="272">
        <v>0.38709677419354838</v>
      </c>
      <c r="N25" s="272">
        <v>0.39</v>
      </c>
      <c r="O25" s="273" t="s">
        <v>444</v>
      </c>
      <c r="P25" s="274" t="s">
        <v>444</v>
      </c>
      <c r="Q25" s="275" t="s">
        <v>444</v>
      </c>
      <c r="R25" s="276" t="s">
        <v>444</v>
      </c>
      <c r="S25" s="187">
        <v>1</v>
      </c>
      <c r="T25" s="187">
        <v>1</v>
      </c>
      <c r="U25" s="187" t="s">
        <v>478</v>
      </c>
      <c r="V25" s="187">
        <v>1</v>
      </c>
      <c r="W25" s="187">
        <v>1</v>
      </c>
      <c r="X25" s="187">
        <v>1</v>
      </c>
      <c r="Y25" s="187">
        <v>1</v>
      </c>
    </row>
    <row r="26" spans="1:25" x14ac:dyDescent="0.25">
      <c r="A26" t="s">
        <v>28</v>
      </c>
      <c r="B26" t="s">
        <v>27</v>
      </c>
      <c r="C26" s="187"/>
      <c r="D26" s="187" t="s">
        <v>657</v>
      </c>
      <c r="E26" s="272">
        <v>0.12820512820512819</v>
      </c>
      <c r="F26" s="272">
        <v>0.13</v>
      </c>
      <c r="G26" s="273">
        <v>3</v>
      </c>
      <c r="H26" s="274">
        <v>3</v>
      </c>
      <c r="I26" s="272">
        <v>3.333333333333333</v>
      </c>
      <c r="J26" s="272">
        <v>3.3</v>
      </c>
      <c r="K26" s="273">
        <v>13.200000000000001</v>
      </c>
      <c r="L26" s="274">
        <v>13</v>
      </c>
      <c r="M26" s="272">
        <v>1.5384615384615383</v>
      </c>
      <c r="N26" s="272">
        <v>1.5</v>
      </c>
      <c r="O26" s="273">
        <v>13.200000000000001</v>
      </c>
      <c r="P26" s="274">
        <v>13</v>
      </c>
      <c r="Q26" s="275">
        <v>29</v>
      </c>
      <c r="R26" s="276">
        <v>29</v>
      </c>
      <c r="S26" s="187">
        <v>1</v>
      </c>
      <c r="T26" s="187">
        <v>1</v>
      </c>
      <c r="U26" s="187" t="s">
        <v>478</v>
      </c>
      <c r="V26" s="187">
        <v>1</v>
      </c>
      <c r="W26" s="187">
        <v>1</v>
      </c>
      <c r="X26" s="187">
        <v>1</v>
      </c>
      <c r="Y26" s="187">
        <v>1</v>
      </c>
    </row>
    <row r="27" spans="1:25" x14ac:dyDescent="0.25">
      <c r="A27" t="s">
        <v>690</v>
      </c>
      <c r="B27" t="s">
        <v>691</v>
      </c>
      <c r="C27" s="187" t="s">
        <v>667</v>
      </c>
      <c r="D27" s="187" t="s">
        <v>444</v>
      </c>
      <c r="E27" s="272">
        <v>4.2016806722689068E-6</v>
      </c>
      <c r="F27" s="272">
        <v>4.1999999999999996E-6</v>
      </c>
      <c r="G27" s="273" t="s">
        <v>444</v>
      </c>
      <c r="H27" s="274" t="s">
        <v>444</v>
      </c>
      <c r="I27" s="272">
        <v>4.4217687074829926E-5</v>
      </c>
      <c r="J27" s="272">
        <v>4.3999999999999999E-5</v>
      </c>
      <c r="K27" s="273" t="s">
        <v>444</v>
      </c>
      <c r="L27" s="274" t="s">
        <v>444</v>
      </c>
      <c r="M27" s="272">
        <v>8.5714285714285699E-5</v>
      </c>
      <c r="N27" s="272">
        <v>8.6000000000000003E-5</v>
      </c>
      <c r="O27" s="273" t="s">
        <v>444</v>
      </c>
      <c r="P27" s="274" t="s">
        <v>444</v>
      </c>
      <c r="Q27" s="275" t="s">
        <v>444</v>
      </c>
      <c r="R27" s="276" t="s">
        <v>444</v>
      </c>
      <c r="S27" s="187">
        <v>1</v>
      </c>
      <c r="T27" s="187">
        <v>1</v>
      </c>
      <c r="U27" s="187" t="s">
        <v>244</v>
      </c>
      <c r="V27" s="187">
        <v>1</v>
      </c>
      <c r="W27" s="187">
        <v>1</v>
      </c>
      <c r="X27" s="187">
        <v>1</v>
      </c>
      <c r="Y27" s="187">
        <v>1</v>
      </c>
    </row>
    <row r="28" spans="1:25" x14ac:dyDescent="0.25">
      <c r="A28" t="s">
        <v>692</v>
      </c>
      <c r="B28" t="s">
        <v>693</v>
      </c>
      <c r="C28" s="187"/>
      <c r="D28" s="187" t="s">
        <v>657</v>
      </c>
      <c r="E28" s="272">
        <v>2.0408163265306121E-2</v>
      </c>
      <c r="F28" s="272">
        <v>0.02</v>
      </c>
      <c r="G28" s="273">
        <v>1</v>
      </c>
      <c r="H28" s="274">
        <v>1</v>
      </c>
      <c r="I28" s="272">
        <v>0.53061224489795911</v>
      </c>
      <c r="J28" s="272">
        <v>0.53</v>
      </c>
      <c r="K28" s="273">
        <v>4.4000000000000004</v>
      </c>
      <c r="L28" s="274">
        <v>4.4000000000000004</v>
      </c>
      <c r="M28" s="272">
        <v>0.24489795918367346</v>
      </c>
      <c r="N28" s="272">
        <v>0.24</v>
      </c>
      <c r="O28" s="273">
        <v>4.4000000000000004</v>
      </c>
      <c r="P28" s="274">
        <v>4.4000000000000004</v>
      </c>
      <c r="Q28" s="275">
        <v>240</v>
      </c>
      <c r="R28" s="276">
        <v>240</v>
      </c>
      <c r="S28" s="187">
        <v>1</v>
      </c>
      <c r="T28" s="187">
        <v>1</v>
      </c>
      <c r="U28" s="187" t="s">
        <v>478</v>
      </c>
      <c r="V28" s="187">
        <v>1</v>
      </c>
      <c r="W28" s="187">
        <v>1</v>
      </c>
      <c r="X28" s="187">
        <v>1</v>
      </c>
      <c r="Y28" s="187">
        <v>1</v>
      </c>
    </row>
    <row r="29" spans="1:25" x14ac:dyDescent="0.25">
      <c r="A29" t="s">
        <v>40</v>
      </c>
      <c r="B29" t="s">
        <v>484</v>
      </c>
      <c r="C29" s="187" t="s">
        <v>678</v>
      </c>
      <c r="D29" s="187" t="s">
        <v>657</v>
      </c>
      <c r="E29" s="272">
        <v>4.1666666666666669E-4</v>
      </c>
      <c r="F29" s="272">
        <v>4.2000000000000002E-4</v>
      </c>
      <c r="G29" s="273">
        <v>7.0000000000000001E-3</v>
      </c>
      <c r="H29" s="274">
        <v>7.0000000000000001E-3</v>
      </c>
      <c r="I29" s="272">
        <v>1.0833333333333334E-2</v>
      </c>
      <c r="J29" s="272">
        <v>1.0999999999999999E-2</v>
      </c>
      <c r="K29" s="273">
        <v>3.0800000000000004E-2</v>
      </c>
      <c r="L29" s="274">
        <v>3.1E-2</v>
      </c>
      <c r="M29" s="272">
        <v>5.0000000000000001E-3</v>
      </c>
      <c r="N29" s="272">
        <v>5.0000000000000001E-3</v>
      </c>
      <c r="O29" s="273">
        <v>3.0800000000000004E-2</v>
      </c>
      <c r="P29" s="274">
        <v>3.1E-2</v>
      </c>
      <c r="Q29" s="275">
        <v>0.02</v>
      </c>
      <c r="R29" s="276">
        <v>0.02</v>
      </c>
      <c r="S29" s="187">
        <v>1</v>
      </c>
      <c r="T29" s="187">
        <v>1</v>
      </c>
      <c r="U29" s="187" t="s">
        <v>478</v>
      </c>
      <c r="V29" s="187">
        <v>1</v>
      </c>
      <c r="W29" s="187">
        <v>1</v>
      </c>
      <c r="X29" s="187">
        <v>1</v>
      </c>
      <c r="Y29" s="187">
        <v>1</v>
      </c>
    </row>
    <row r="30" spans="1:25" x14ac:dyDescent="0.25">
      <c r="A30" t="s">
        <v>694</v>
      </c>
      <c r="B30" t="s">
        <v>695</v>
      </c>
      <c r="C30" s="187"/>
      <c r="D30" s="187" t="s">
        <v>657</v>
      </c>
      <c r="E30" s="272">
        <v>1.408450704225352E-3</v>
      </c>
      <c r="F30" s="272">
        <v>1.4E-3</v>
      </c>
      <c r="G30" s="273" t="s">
        <v>444</v>
      </c>
      <c r="H30" s="274" t="s">
        <v>444</v>
      </c>
      <c r="I30" s="272">
        <v>3.6619718309859148E-2</v>
      </c>
      <c r="J30" s="272">
        <v>3.6999999999999998E-2</v>
      </c>
      <c r="K30" s="273" t="s">
        <v>444</v>
      </c>
      <c r="L30" s="274" t="s">
        <v>444</v>
      </c>
      <c r="M30" s="272">
        <v>1.6901408450704224E-2</v>
      </c>
      <c r="N30" s="272">
        <v>1.7000000000000001E-2</v>
      </c>
      <c r="O30" s="273" t="s">
        <v>444</v>
      </c>
      <c r="P30" s="274" t="s">
        <v>444</v>
      </c>
      <c r="Q30" s="275">
        <v>120</v>
      </c>
      <c r="R30" s="276">
        <v>120</v>
      </c>
      <c r="S30" s="187">
        <v>1</v>
      </c>
      <c r="T30" s="187">
        <v>1</v>
      </c>
      <c r="U30" s="187" t="s">
        <v>478</v>
      </c>
      <c r="V30" s="187">
        <v>1</v>
      </c>
      <c r="W30" s="187">
        <v>1</v>
      </c>
      <c r="X30" s="187">
        <v>1</v>
      </c>
      <c r="Y30" s="187">
        <v>1</v>
      </c>
    </row>
    <row r="31" spans="1:25" ht="20.25" customHeight="1" x14ac:dyDescent="0.25">
      <c r="A31" t="s">
        <v>696</v>
      </c>
      <c r="B31" t="s">
        <v>697</v>
      </c>
      <c r="C31" s="187"/>
      <c r="D31" s="187" t="s">
        <v>664</v>
      </c>
      <c r="E31" s="272">
        <v>7.6923076923076926E-5</v>
      </c>
      <c r="F31" s="272">
        <v>7.7000000000000001E-5</v>
      </c>
      <c r="G31" s="273" t="s">
        <v>444</v>
      </c>
      <c r="H31" s="274" t="s">
        <v>444</v>
      </c>
      <c r="I31" s="272">
        <v>2E-3</v>
      </c>
      <c r="J31" s="272">
        <v>2E-3</v>
      </c>
      <c r="K31" s="273" t="s">
        <v>444</v>
      </c>
      <c r="L31" s="274" t="s">
        <v>444</v>
      </c>
      <c r="M31" s="272">
        <v>9.2307692307692316E-4</v>
      </c>
      <c r="N31" s="272">
        <v>9.2000000000000003E-4</v>
      </c>
      <c r="O31" s="273" t="s">
        <v>444</v>
      </c>
      <c r="P31" s="274" t="s">
        <v>444</v>
      </c>
      <c r="Q31" s="275">
        <v>1.4</v>
      </c>
      <c r="R31" s="276">
        <v>1.4</v>
      </c>
      <c r="S31" s="187">
        <v>1</v>
      </c>
      <c r="T31" s="187">
        <v>1</v>
      </c>
      <c r="U31" s="187" t="s">
        <v>478</v>
      </c>
      <c r="V31" s="187">
        <v>1</v>
      </c>
      <c r="W31" s="187">
        <v>1</v>
      </c>
      <c r="X31" s="187">
        <v>1</v>
      </c>
      <c r="Y31" s="187">
        <v>1</v>
      </c>
    </row>
    <row r="32" spans="1:25" x14ac:dyDescent="0.25">
      <c r="A32" t="s">
        <v>698</v>
      </c>
      <c r="B32" t="s">
        <v>699</v>
      </c>
      <c r="C32" s="187" t="s">
        <v>700</v>
      </c>
      <c r="D32" s="187" t="s">
        <v>444</v>
      </c>
      <c r="E32" s="272">
        <v>8.0128205128205135E-2</v>
      </c>
      <c r="F32" s="272">
        <v>0.08</v>
      </c>
      <c r="G32" s="273" t="s">
        <v>444</v>
      </c>
      <c r="H32" s="274" t="s">
        <v>444</v>
      </c>
      <c r="I32" s="272">
        <v>10.833333333333334</v>
      </c>
      <c r="J32" s="272">
        <v>11</v>
      </c>
      <c r="K32" s="273" t="s">
        <v>444</v>
      </c>
      <c r="L32" s="274" t="s">
        <v>444</v>
      </c>
      <c r="M32" s="272">
        <v>5</v>
      </c>
      <c r="N32" s="272">
        <v>5</v>
      </c>
      <c r="O32" s="273" t="s">
        <v>444</v>
      </c>
      <c r="P32" s="274" t="s">
        <v>444</v>
      </c>
      <c r="Q32" s="275" t="s">
        <v>444</v>
      </c>
      <c r="R32" s="276" t="s">
        <v>444</v>
      </c>
      <c r="S32" s="187">
        <v>1</v>
      </c>
      <c r="T32" s="187">
        <v>1</v>
      </c>
      <c r="U32" s="187" t="s">
        <v>478</v>
      </c>
      <c r="V32" s="187">
        <v>5.2</v>
      </c>
      <c r="W32" s="187">
        <v>1</v>
      </c>
      <c r="X32" s="187">
        <v>1</v>
      </c>
      <c r="Y32" s="187">
        <v>1</v>
      </c>
    </row>
    <row r="33" spans="1:25" x14ac:dyDescent="0.25">
      <c r="A33" t="s">
        <v>701</v>
      </c>
      <c r="B33" t="s">
        <v>702</v>
      </c>
      <c r="C33" s="187"/>
      <c r="D33" s="187" t="s">
        <v>444</v>
      </c>
      <c r="E33" s="272">
        <v>0.90909090909090895</v>
      </c>
      <c r="F33" s="272">
        <v>0.91</v>
      </c>
      <c r="G33" s="273" t="s">
        <v>444</v>
      </c>
      <c r="H33" s="274" t="s">
        <v>444</v>
      </c>
      <c r="I33" s="272">
        <v>23.636363636363633</v>
      </c>
      <c r="J33" s="272">
        <v>24</v>
      </c>
      <c r="K33" s="273" t="s">
        <v>444</v>
      </c>
      <c r="L33" s="274" t="s">
        <v>444</v>
      </c>
      <c r="M33" s="272">
        <v>10.909090909090907</v>
      </c>
      <c r="N33" s="272">
        <v>11</v>
      </c>
      <c r="O33" s="273" t="s">
        <v>444</v>
      </c>
      <c r="P33" s="274" t="s">
        <v>444</v>
      </c>
      <c r="Q33" s="275" t="s">
        <v>444</v>
      </c>
      <c r="R33" s="276" t="s">
        <v>444</v>
      </c>
      <c r="S33" s="187">
        <v>1</v>
      </c>
      <c r="T33" s="187">
        <v>1</v>
      </c>
      <c r="U33" s="187" t="s">
        <v>478</v>
      </c>
      <c r="V33" s="187">
        <v>1</v>
      </c>
      <c r="W33" s="187">
        <v>1</v>
      </c>
      <c r="X33" s="187">
        <v>1</v>
      </c>
      <c r="Y33" s="187">
        <v>1</v>
      </c>
    </row>
    <row r="34" spans="1:25" x14ac:dyDescent="0.25">
      <c r="A34" t="s">
        <v>703</v>
      </c>
      <c r="B34" t="s">
        <v>704</v>
      </c>
      <c r="C34" s="187"/>
      <c r="D34" s="187" t="s">
        <v>657</v>
      </c>
      <c r="E34" s="272" t="s">
        <v>444</v>
      </c>
      <c r="F34" s="272" t="s">
        <v>444</v>
      </c>
      <c r="G34" s="273">
        <v>5</v>
      </c>
      <c r="H34" s="274">
        <v>5</v>
      </c>
      <c r="I34" s="272" t="s">
        <v>444</v>
      </c>
      <c r="J34" s="272" t="s">
        <v>444</v>
      </c>
      <c r="K34" s="273">
        <v>22</v>
      </c>
      <c r="L34" s="274">
        <v>22</v>
      </c>
      <c r="M34" s="272" t="s">
        <v>444</v>
      </c>
      <c r="N34" s="272" t="s">
        <v>444</v>
      </c>
      <c r="O34" s="273">
        <v>22</v>
      </c>
      <c r="P34" s="274">
        <v>22</v>
      </c>
      <c r="Q34" s="275">
        <v>3900</v>
      </c>
      <c r="R34" s="276">
        <v>3900</v>
      </c>
      <c r="S34" s="187">
        <v>1</v>
      </c>
      <c r="T34" s="187">
        <v>1</v>
      </c>
      <c r="U34" s="187" t="s">
        <v>478</v>
      </c>
      <c r="V34" s="187">
        <v>1</v>
      </c>
      <c r="W34" s="187">
        <v>1</v>
      </c>
      <c r="X34" s="187">
        <v>1</v>
      </c>
      <c r="Y34" s="187">
        <v>1</v>
      </c>
    </row>
    <row r="35" spans="1:25" x14ac:dyDescent="0.25">
      <c r="A35" t="s">
        <v>705</v>
      </c>
      <c r="B35" t="s">
        <v>706</v>
      </c>
      <c r="C35" s="187"/>
      <c r="D35" s="187" t="s">
        <v>657</v>
      </c>
      <c r="E35" s="272">
        <v>0.47619047619047622</v>
      </c>
      <c r="F35" s="272">
        <v>0.48</v>
      </c>
      <c r="G35" s="273">
        <v>33.1</v>
      </c>
      <c r="H35" s="274">
        <v>33</v>
      </c>
      <c r="I35" s="272">
        <v>12.380952380952381</v>
      </c>
      <c r="J35" s="272">
        <v>12</v>
      </c>
      <c r="K35" s="273">
        <v>145.64000000000001</v>
      </c>
      <c r="L35" s="274">
        <v>150</v>
      </c>
      <c r="M35" s="272">
        <v>5.7142857142857144</v>
      </c>
      <c r="N35" s="272">
        <v>5.7</v>
      </c>
      <c r="O35" s="273">
        <v>145.64000000000001</v>
      </c>
      <c r="P35" s="274">
        <v>150</v>
      </c>
      <c r="Q35" s="275">
        <v>1654</v>
      </c>
      <c r="R35" s="276">
        <v>1700</v>
      </c>
      <c r="S35" s="187">
        <v>1</v>
      </c>
      <c r="T35" s="187">
        <v>1</v>
      </c>
      <c r="U35" s="187" t="s">
        <v>478</v>
      </c>
      <c r="V35" s="187">
        <v>1</v>
      </c>
      <c r="W35" s="187">
        <v>1</v>
      </c>
      <c r="X35" s="187">
        <v>1</v>
      </c>
      <c r="Y35" s="187">
        <v>1</v>
      </c>
    </row>
    <row r="36" spans="1:25" x14ac:dyDescent="0.25">
      <c r="A36" t="s">
        <v>5</v>
      </c>
      <c r="B36" t="s">
        <v>4</v>
      </c>
      <c r="C36" s="187"/>
      <c r="D36" s="187" t="s">
        <v>657</v>
      </c>
      <c r="E36" s="272">
        <v>3.3003300330033E-2</v>
      </c>
      <c r="F36" s="272">
        <v>3.3000000000000002E-2</v>
      </c>
      <c r="G36" s="273">
        <v>2</v>
      </c>
      <c r="H36" s="274">
        <v>2</v>
      </c>
      <c r="I36" s="272">
        <v>0.85808580858085803</v>
      </c>
      <c r="J36" s="272">
        <v>0.86</v>
      </c>
      <c r="K36" s="273">
        <v>8.8000000000000007</v>
      </c>
      <c r="L36" s="274">
        <v>8.8000000000000007</v>
      </c>
      <c r="M36" s="272">
        <v>0.396039603960396</v>
      </c>
      <c r="N36" s="272">
        <v>0.4</v>
      </c>
      <c r="O36" s="273">
        <v>8.8000000000000007</v>
      </c>
      <c r="P36" s="274">
        <v>8.8000000000000007</v>
      </c>
      <c r="Q36" s="275">
        <v>660</v>
      </c>
      <c r="R36" s="276">
        <v>660</v>
      </c>
      <c r="S36" s="187">
        <v>1</v>
      </c>
      <c r="T36" s="187">
        <v>1</v>
      </c>
      <c r="U36" s="187" t="s">
        <v>478</v>
      </c>
      <c r="V36" s="187">
        <v>1</v>
      </c>
      <c r="W36" s="187">
        <v>1</v>
      </c>
      <c r="X36" s="187">
        <v>1</v>
      </c>
      <c r="Y36" s="187">
        <v>1</v>
      </c>
    </row>
    <row r="37" spans="1:25" x14ac:dyDescent="0.25">
      <c r="A37" t="s">
        <v>707</v>
      </c>
      <c r="B37" t="s">
        <v>708</v>
      </c>
      <c r="C37" s="187"/>
      <c r="D37" s="187" t="s">
        <v>657</v>
      </c>
      <c r="E37" s="272" t="s">
        <v>444</v>
      </c>
      <c r="F37" s="272" t="s">
        <v>444</v>
      </c>
      <c r="G37" s="273">
        <v>5000</v>
      </c>
      <c r="H37" s="274">
        <v>5000</v>
      </c>
      <c r="I37" s="272" t="s">
        <v>444</v>
      </c>
      <c r="J37" s="272" t="s">
        <v>444</v>
      </c>
      <c r="K37" s="273">
        <v>22000</v>
      </c>
      <c r="L37" s="274">
        <v>22000</v>
      </c>
      <c r="M37" s="272" t="s">
        <v>444</v>
      </c>
      <c r="N37" s="272" t="s">
        <v>444</v>
      </c>
      <c r="O37" s="273">
        <v>22000</v>
      </c>
      <c r="P37" s="274">
        <v>22000</v>
      </c>
      <c r="Q37" s="275">
        <v>5000</v>
      </c>
      <c r="R37" s="276">
        <v>5000</v>
      </c>
      <c r="S37" s="187">
        <v>1</v>
      </c>
      <c r="T37" s="187">
        <v>1</v>
      </c>
      <c r="U37" s="187" t="s">
        <v>478</v>
      </c>
      <c r="V37" s="187">
        <v>1</v>
      </c>
      <c r="W37" s="187">
        <v>1</v>
      </c>
      <c r="X37" s="187">
        <v>1</v>
      </c>
      <c r="Y37" s="187">
        <v>1</v>
      </c>
    </row>
    <row r="38" spans="1:25" x14ac:dyDescent="0.25">
      <c r="A38" t="s">
        <v>709</v>
      </c>
      <c r="B38" t="s">
        <v>710</v>
      </c>
      <c r="C38" s="187"/>
      <c r="D38" s="187" t="s">
        <v>657</v>
      </c>
      <c r="E38" s="272" t="s">
        <v>444</v>
      </c>
      <c r="F38" s="272" t="s">
        <v>444</v>
      </c>
      <c r="G38" s="273">
        <v>30000</v>
      </c>
      <c r="H38" s="274">
        <v>30000</v>
      </c>
      <c r="I38" s="272" t="s">
        <v>444</v>
      </c>
      <c r="J38" s="272" t="s">
        <v>444</v>
      </c>
      <c r="K38" s="273">
        <v>132000</v>
      </c>
      <c r="L38" s="274">
        <v>130000</v>
      </c>
      <c r="M38" s="272" t="s">
        <v>444</v>
      </c>
      <c r="N38" s="272" t="s">
        <v>444</v>
      </c>
      <c r="O38" s="273">
        <v>132000</v>
      </c>
      <c r="P38" s="274">
        <v>130000</v>
      </c>
      <c r="Q38" s="275" t="s">
        <v>444</v>
      </c>
      <c r="R38" s="276" t="s">
        <v>444</v>
      </c>
      <c r="S38" s="187">
        <v>1</v>
      </c>
      <c r="T38" s="187">
        <v>1</v>
      </c>
      <c r="U38" s="187" t="s">
        <v>478</v>
      </c>
      <c r="V38" s="187">
        <v>1</v>
      </c>
      <c r="W38" s="187">
        <v>1</v>
      </c>
      <c r="X38" s="187">
        <v>1</v>
      </c>
      <c r="Y38" s="187">
        <v>1</v>
      </c>
    </row>
    <row r="39" spans="1:25" x14ac:dyDescent="0.25">
      <c r="A39" t="s">
        <v>42</v>
      </c>
      <c r="B39" t="s">
        <v>485</v>
      </c>
      <c r="C39" s="187" t="s">
        <v>711</v>
      </c>
      <c r="D39" s="187" t="s">
        <v>657</v>
      </c>
      <c r="E39" s="272">
        <v>5.5555555555555556E-4</v>
      </c>
      <c r="F39" s="272">
        <v>5.5999999999999995E-4</v>
      </c>
      <c r="G39" s="273">
        <v>5.0000000000000001E-3</v>
      </c>
      <c r="H39" s="274">
        <v>5.0000000000000001E-3</v>
      </c>
      <c r="I39" s="272">
        <v>1.4444444444444444E-2</v>
      </c>
      <c r="J39" s="272">
        <v>1.4E-2</v>
      </c>
      <c r="K39" s="273">
        <v>3.6666666666666667E-2</v>
      </c>
      <c r="L39" s="274">
        <v>3.6999999999999998E-2</v>
      </c>
      <c r="M39" s="272">
        <v>6.6666666666666662E-3</v>
      </c>
      <c r="N39" s="272">
        <v>6.7000000000000002E-3</v>
      </c>
      <c r="O39" s="273">
        <v>3.6666666666666674E-2</v>
      </c>
      <c r="P39" s="274">
        <v>3.6999999999999998E-2</v>
      </c>
      <c r="Q39" s="275">
        <v>0.03</v>
      </c>
      <c r="R39" s="276">
        <v>0.03</v>
      </c>
      <c r="S39" s="187">
        <v>1</v>
      </c>
      <c r="T39" s="187">
        <v>1</v>
      </c>
      <c r="U39" s="187" t="s">
        <v>478</v>
      </c>
      <c r="V39" s="187">
        <v>1</v>
      </c>
      <c r="W39" s="187">
        <v>1</v>
      </c>
      <c r="X39" s="187">
        <v>2</v>
      </c>
      <c r="Y39" s="187">
        <v>1.2</v>
      </c>
    </row>
    <row r="40" spans="1:25" x14ac:dyDescent="0.25">
      <c r="A40" t="s">
        <v>712</v>
      </c>
      <c r="B40" t="s">
        <v>713</v>
      </c>
      <c r="C40" s="187"/>
      <c r="D40" s="187" t="s">
        <v>657</v>
      </c>
      <c r="E40" s="272" t="s">
        <v>444</v>
      </c>
      <c r="F40" s="272" t="s">
        <v>444</v>
      </c>
      <c r="G40" s="273">
        <v>2.2000000000000002</v>
      </c>
      <c r="H40" s="274">
        <v>2.2000000000000002</v>
      </c>
      <c r="I40" s="272" t="s">
        <v>444</v>
      </c>
      <c r="J40" s="272" t="s">
        <v>444</v>
      </c>
      <c r="K40" s="273">
        <v>9.6800000000000015</v>
      </c>
      <c r="L40" s="274">
        <v>9.6999999999999993</v>
      </c>
      <c r="M40" s="272" t="s">
        <v>444</v>
      </c>
      <c r="N40" s="272" t="s">
        <v>444</v>
      </c>
      <c r="O40" s="273">
        <v>9.6800000000000015</v>
      </c>
      <c r="P40" s="274">
        <v>9.6999999999999993</v>
      </c>
      <c r="Q40" s="275">
        <v>50</v>
      </c>
      <c r="R40" s="276">
        <v>50</v>
      </c>
      <c r="S40" s="187">
        <v>1</v>
      </c>
      <c r="T40" s="187">
        <v>1</v>
      </c>
      <c r="U40" s="187" t="s">
        <v>478</v>
      </c>
      <c r="V40" s="187">
        <v>1</v>
      </c>
      <c r="W40" s="187">
        <v>1</v>
      </c>
      <c r="X40" s="187">
        <v>1</v>
      </c>
      <c r="Y40" s="187">
        <v>1</v>
      </c>
    </row>
    <row r="41" spans="1:25" x14ac:dyDescent="0.25">
      <c r="A41" t="s">
        <v>714</v>
      </c>
      <c r="B41" t="s">
        <v>715</v>
      </c>
      <c r="C41" s="187"/>
      <c r="D41" s="187" t="s">
        <v>657</v>
      </c>
      <c r="E41" s="272" t="s">
        <v>444</v>
      </c>
      <c r="F41" s="272" t="s">
        <v>444</v>
      </c>
      <c r="G41" s="273">
        <v>800</v>
      </c>
      <c r="H41" s="274">
        <v>800</v>
      </c>
      <c r="I41" s="272" t="s">
        <v>444</v>
      </c>
      <c r="J41" s="272" t="s">
        <v>444</v>
      </c>
      <c r="K41" s="273">
        <v>3520.0000000000005</v>
      </c>
      <c r="L41" s="274">
        <v>3500</v>
      </c>
      <c r="M41" s="272" t="s">
        <v>444</v>
      </c>
      <c r="N41" s="272" t="s">
        <v>444</v>
      </c>
      <c r="O41" s="273">
        <v>3520.0000000000005</v>
      </c>
      <c r="P41" s="274">
        <v>3500</v>
      </c>
      <c r="Q41" s="275">
        <v>6200</v>
      </c>
      <c r="R41" s="276">
        <v>6200</v>
      </c>
      <c r="S41" s="187">
        <v>1</v>
      </c>
      <c r="T41" s="187">
        <v>1</v>
      </c>
      <c r="U41" s="187" t="s">
        <v>478</v>
      </c>
      <c r="V41" s="187">
        <v>1</v>
      </c>
      <c r="W41" s="187">
        <v>1</v>
      </c>
      <c r="X41" s="187">
        <v>1</v>
      </c>
      <c r="Y41" s="187">
        <v>1</v>
      </c>
    </row>
    <row r="42" spans="1:25" x14ac:dyDescent="0.25">
      <c r="A42" t="s">
        <v>716</v>
      </c>
      <c r="B42" t="s">
        <v>717</v>
      </c>
      <c r="C42" s="187"/>
      <c r="D42" s="187" t="s">
        <v>657</v>
      </c>
      <c r="E42" s="272">
        <v>0.16666666666666666</v>
      </c>
      <c r="F42" s="272">
        <v>0.17</v>
      </c>
      <c r="G42" s="273">
        <v>100</v>
      </c>
      <c r="H42" s="274">
        <v>100</v>
      </c>
      <c r="I42" s="272">
        <v>4.333333333333333</v>
      </c>
      <c r="J42" s="272">
        <v>4.3</v>
      </c>
      <c r="K42" s="273">
        <v>440.00000000000006</v>
      </c>
      <c r="L42" s="274">
        <v>440</v>
      </c>
      <c r="M42" s="272">
        <v>2</v>
      </c>
      <c r="N42" s="272">
        <v>2</v>
      </c>
      <c r="O42" s="273">
        <v>440.00000000000006</v>
      </c>
      <c r="P42" s="274">
        <v>440</v>
      </c>
      <c r="Q42" s="275">
        <v>1900</v>
      </c>
      <c r="R42" s="276">
        <v>1900</v>
      </c>
      <c r="S42" s="187">
        <v>1</v>
      </c>
      <c r="T42" s="187">
        <v>1</v>
      </c>
      <c r="U42" s="187" t="s">
        <v>478</v>
      </c>
      <c r="V42" s="187">
        <v>1</v>
      </c>
      <c r="W42" s="187">
        <v>1</v>
      </c>
      <c r="X42" s="187">
        <v>1</v>
      </c>
      <c r="Y42" s="187">
        <v>1</v>
      </c>
    </row>
    <row r="43" spans="1:25" x14ac:dyDescent="0.25">
      <c r="A43" t="s">
        <v>718</v>
      </c>
      <c r="B43" t="s">
        <v>719</v>
      </c>
      <c r="C43" s="187"/>
      <c r="D43" s="187" t="s">
        <v>657</v>
      </c>
      <c r="E43" s="272" t="s">
        <v>444</v>
      </c>
      <c r="F43" s="272" t="s">
        <v>444</v>
      </c>
      <c r="G43" s="273">
        <v>10</v>
      </c>
      <c r="H43" s="274">
        <v>10</v>
      </c>
      <c r="I43" s="272" t="s">
        <v>444</v>
      </c>
      <c r="J43" s="272" t="s">
        <v>444</v>
      </c>
      <c r="K43" s="273">
        <v>44</v>
      </c>
      <c r="L43" s="274">
        <v>44</v>
      </c>
      <c r="M43" s="272" t="s">
        <v>444</v>
      </c>
      <c r="N43" s="272" t="s">
        <v>444</v>
      </c>
      <c r="O43" s="273">
        <v>44</v>
      </c>
      <c r="P43" s="274">
        <v>44</v>
      </c>
      <c r="Q43" s="275">
        <v>660</v>
      </c>
      <c r="R43" s="276">
        <v>660</v>
      </c>
      <c r="S43" s="187">
        <v>1</v>
      </c>
      <c r="T43" s="187">
        <v>1</v>
      </c>
      <c r="U43" s="187" t="s">
        <v>478</v>
      </c>
      <c r="V43" s="187">
        <v>1</v>
      </c>
      <c r="W43" s="187">
        <v>1</v>
      </c>
      <c r="X43" s="187">
        <v>1</v>
      </c>
      <c r="Y43" s="187">
        <v>1</v>
      </c>
    </row>
    <row r="44" spans="1:25" x14ac:dyDescent="0.25">
      <c r="A44" t="s">
        <v>720</v>
      </c>
      <c r="B44" t="s">
        <v>721</v>
      </c>
      <c r="C44" s="187"/>
      <c r="D44" s="187" t="s">
        <v>657</v>
      </c>
      <c r="E44" s="272">
        <v>9.9999999999999985E-3</v>
      </c>
      <c r="F44" s="272">
        <v>0.01</v>
      </c>
      <c r="G44" s="273">
        <v>0.02</v>
      </c>
      <c r="H44" s="274">
        <v>0.02</v>
      </c>
      <c r="I44" s="272">
        <v>0.25999999999999995</v>
      </c>
      <c r="J44" s="272">
        <v>0.26</v>
      </c>
      <c r="K44" s="273">
        <v>8.8000000000000009E-2</v>
      </c>
      <c r="L44" s="274">
        <v>8.7999999999999995E-2</v>
      </c>
      <c r="M44" s="272">
        <v>0.11999999999999998</v>
      </c>
      <c r="N44" s="272">
        <v>0.12</v>
      </c>
      <c r="O44" s="273">
        <v>8.8000000000000009E-2</v>
      </c>
      <c r="P44" s="274">
        <v>8.7999999999999995E-2</v>
      </c>
      <c r="Q44" s="275">
        <v>0.2</v>
      </c>
      <c r="R44" s="276">
        <v>0.2</v>
      </c>
      <c r="S44" s="187">
        <v>1</v>
      </c>
      <c r="T44" s="187">
        <v>1</v>
      </c>
      <c r="U44" s="187" t="s">
        <v>478</v>
      </c>
      <c r="V44" s="187">
        <v>1</v>
      </c>
      <c r="W44" s="187">
        <v>1</v>
      </c>
      <c r="X44" s="187">
        <v>1</v>
      </c>
      <c r="Y44" s="187">
        <v>1</v>
      </c>
    </row>
    <row r="45" spans="1:25" x14ac:dyDescent="0.25">
      <c r="A45" t="s">
        <v>722</v>
      </c>
      <c r="B45" t="s">
        <v>723</v>
      </c>
      <c r="C45" s="187" t="s">
        <v>724</v>
      </c>
      <c r="D45" s="187" t="s">
        <v>444</v>
      </c>
      <c r="E45" s="272">
        <v>3.9999999999999994E-2</v>
      </c>
      <c r="F45" s="272">
        <v>0.04</v>
      </c>
      <c r="G45" s="273" t="s">
        <v>444</v>
      </c>
      <c r="H45" s="274" t="s">
        <v>444</v>
      </c>
      <c r="I45" s="272">
        <v>1.0399999999999998</v>
      </c>
      <c r="J45" s="272">
        <v>1</v>
      </c>
      <c r="K45" s="273" t="s">
        <v>444</v>
      </c>
      <c r="L45" s="274" t="s">
        <v>444</v>
      </c>
      <c r="M45" s="272">
        <v>0.47999999999999993</v>
      </c>
      <c r="N45" s="272">
        <v>0.48</v>
      </c>
      <c r="O45" s="273" t="s">
        <v>444</v>
      </c>
      <c r="P45" s="274" t="s">
        <v>444</v>
      </c>
      <c r="Q45" s="275" t="s">
        <v>444</v>
      </c>
      <c r="R45" s="276" t="s">
        <v>444</v>
      </c>
      <c r="S45" s="187">
        <v>1</v>
      </c>
      <c r="T45" s="187">
        <v>1</v>
      </c>
      <c r="U45" s="187" t="s">
        <v>478</v>
      </c>
      <c r="V45" s="187">
        <v>1</v>
      </c>
      <c r="W45" s="187">
        <v>1</v>
      </c>
      <c r="X45" s="187">
        <v>1</v>
      </c>
      <c r="Y45" s="187">
        <v>1</v>
      </c>
    </row>
    <row r="46" spans="1:25" x14ac:dyDescent="0.25">
      <c r="A46" t="s">
        <v>725</v>
      </c>
      <c r="B46" t="s">
        <v>726</v>
      </c>
      <c r="C46" s="187"/>
      <c r="D46" s="187" t="s">
        <v>657</v>
      </c>
      <c r="E46" s="272" t="s">
        <v>444</v>
      </c>
      <c r="F46" s="272" t="s">
        <v>444</v>
      </c>
      <c r="G46" s="273">
        <v>0.15</v>
      </c>
      <c r="H46" s="274">
        <v>0.15</v>
      </c>
      <c r="I46" s="272" t="s">
        <v>444</v>
      </c>
      <c r="J46" s="272" t="s">
        <v>444</v>
      </c>
      <c r="K46" s="273">
        <v>0.66</v>
      </c>
      <c r="L46" s="274">
        <v>0.66</v>
      </c>
      <c r="M46" s="272" t="s">
        <v>444</v>
      </c>
      <c r="N46" s="272" t="s">
        <v>444</v>
      </c>
      <c r="O46" s="273">
        <v>0.66</v>
      </c>
      <c r="P46" s="274">
        <v>0.66</v>
      </c>
      <c r="Q46" s="275">
        <v>170</v>
      </c>
      <c r="R46" s="276">
        <v>170</v>
      </c>
      <c r="S46" s="187">
        <v>1</v>
      </c>
      <c r="T46" s="187">
        <v>1</v>
      </c>
      <c r="U46" s="187" t="s">
        <v>478</v>
      </c>
      <c r="V46" s="187">
        <v>1</v>
      </c>
      <c r="W46" s="187">
        <v>1</v>
      </c>
      <c r="X46" s="187">
        <v>1</v>
      </c>
      <c r="Y46" s="187">
        <v>1</v>
      </c>
    </row>
    <row r="47" spans="1:25" x14ac:dyDescent="0.25">
      <c r="A47" t="s">
        <v>727</v>
      </c>
      <c r="B47" t="s">
        <v>728</v>
      </c>
      <c r="C47" s="187"/>
      <c r="D47" s="187" t="s">
        <v>657</v>
      </c>
      <c r="E47" s="272" t="s">
        <v>444</v>
      </c>
      <c r="F47" s="272" t="s">
        <v>444</v>
      </c>
      <c r="G47" s="273">
        <v>0.6</v>
      </c>
      <c r="H47" s="274">
        <v>0.6</v>
      </c>
      <c r="I47" s="272" t="s">
        <v>444</v>
      </c>
      <c r="J47" s="272" t="s">
        <v>444</v>
      </c>
      <c r="K47" s="273">
        <v>2.64</v>
      </c>
      <c r="L47" s="274">
        <v>2.6</v>
      </c>
      <c r="M47" s="272" t="s">
        <v>444</v>
      </c>
      <c r="N47" s="272" t="s">
        <v>444</v>
      </c>
      <c r="O47" s="273">
        <v>2.64</v>
      </c>
      <c r="P47" s="274">
        <v>2.6</v>
      </c>
      <c r="Q47" s="275">
        <v>2.8</v>
      </c>
      <c r="R47" s="276">
        <v>2.8</v>
      </c>
      <c r="S47" s="187">
        <v>1</v>
      </c>
      <c r="T47" s="187">
        <v>1</v>
      </c>
      <c r="U47" s="187" t="s">
        <v>478</v>
      </c>
      <c r="V47" s="187">
        <v>1</v>
      </c>
      <c r="W47" s="187">
        <v>1</v>
      </c>
      <c r="X47" s="187">
        <v>1</v>
      </c>
      <c r="Y47" s="187">
        <v>1</v>
      </c>
    </row>
    <row r="48" spans="1:25" x14ac:dyDescent="0.25">
      <c r="A48" t="s">
        <v>729</v>
      </c>
      <c r="B48" t="s">
        <v>730</v>
      </c>
      <c r="C48" s="187"/>
      <c r="D48" s="187" t="s">
        <v>664</v>
      </c>
      <c r="E48" s="272" t="s">
        <v>444</v>
      </c>
      <c r="F48" s="272" t="s">
        <v>444</v>
      </c>
      <c r="G48" s="273">
        <v>0.03</v>
      </c>
      <c r="H48" s="274">
        <v>0.03</v>
      </c>
      <c r="I48" s="272" t="s">
        <v>444</v>
      </c>
      <c r="J48" s="272" t="s">
        <v>444</v>
      </c>
      <c r="K48" s="273">
        <v>0.13200000000000001</v>
      </c>
      <c r="L48" s="274">
        <v>0.13</v>
      </c>
      <c r="M48" s="272" t="s">
        <v>444</v>
      </c>
      <c r="N48" s="272" t="s">
        <v>444</v>
      </c>
      <c r="O48" s="273">
        <v>0.13200000000000001</v>
      </c>
      <c r="P48" s="274">
        <v>0.13</v>
      </c>
      <c r="Q48" s="275" t="s">
        <v>444</v>
      </c>
      <c r="R48" s="276" t="s">
        <v>444</v>
      </c>
      <c r="S48" s="187">
        <v>1</v>
      </c>
      <c r="T48" s="187">
        <v>1</v>
      </c>
      <c r="U48" s="187" t="s">
        <v>478</v>
      </c>
      <c r="V48" s="187">
        <v>1</v>
      </c>
      <c r="W48" s="187">
        <v>1</v>
      </c>
      <c r="X48" s="187">
        <v>1</v>
      </c>
      <c r="Y48" s="187">
        <v>1</v>
      </c>
    </row>
    <row r="49" spans="1:25" x14ac:dyDescent="0.25">
      <c r="A49" t="s">
        <v>44</v>
      </c>
      <c r="B49" t="s">
        <v>43</v>
      </c>
      <c r="C49" s="187"/>
      <c r="D49" s="187" t="s">
        <v>657</v>
      </c>
      <c r="E49" s="272" t="s">
        <v>444</v>
      </c>
      <c r="F49" s="272" t="s">
        <v>444</v>
      </c>
      <c r="G49" s="273">
        <v>50</v>
      </c>
      <c r="H49" s="274">
        <v>50</v>
      </c>
      <c r="I49" s="272" t="s">
        <v>444</v>
      </c>
      <c r="J49" s="272" t="s">
        <v>444</v>
      </c>
      <c r="K49" s="273">
        <v>220.00000000000003</v>
      </c>
      <c r="L49" s="274">
        <v>220</v>
      </c>
      <c r="M49" s="272" t="s">
        <v>444</v>
      </c>
      <c r="N49" s="272" t="s">
        <v>444</v>
      </c>
      <c r="O49" s="273">
        <v>220.00000000000003</v>
      </c>
      <c r="P49" s="274">
        <v>220</v>
      </c>
      <c r="Q49" s="275" t="s">
        <v>444</v>
      </c>
      <c r="R49" s="276" t="s">
        <v>444</v>
      </c>
      <c r="S49" s="187">
        <v>1</v>
      </c>
      <c r="T49" s="187">
        <v>1</v>
      </c>
      <c r="U49" s="187" t="s">
        <v>478</v>
      </c>
      <c r="V49" s="187">
        <v>1</v>
      </c>
      <c r="W49" s="187">
        <v>1</v>
      </c>
      <c r="X49" s="187">
        <v>1</v>
      </c>
      <c r="Y49" s="187">
        <v>1</v>
      </c>
    </row>
    <row r="50" spans="1:25" x14ac:dyDescent="0.25">
      <c r="A50" t="s">
        <v>731</v>
      </c>
      <c r="B50" t="s">
        <v>732</v>
      </c>
      <c r="C50" s="187"/>
      <c r="D50" s="187" t="s">
        <v>657</v>
      </c>
      <c r="E50" s="272" t="s">
        <v>444</v>
      </c>
      <c r="F50" s="272" t="s">
        <v>444</v>
      </c>
      <c r="G50" s="273">
        <v>50000</v>
      </c>
      <c r="H50" s="274">
        <v>50000</v>
      </c>
      <c r="I50" s="272" t="s">
        <v>444</v>
      </c>
      <c r="J50" s="272" t="s">
        <v>444</v>
      </c>
      <c r="K50" s="273">
        <v>220000.00000000003</v>
      </c>
      <c r="L50" s="274">
        <v>220000</v>
      </c>
      <c r="M50" s="272" t="s">
        <v>444</v>
      </c>
      <c r="N50" s="272" t="s">
        <v>444</v>
      </c>
      <c r="O50" s="273">
        <v>220000.00000000003</v>
      </c>
      <c r="P50" s="274">
        <v>220000</v>
      </c>
      <c r="Q50" s="275" t="s">
        <v>444</v>
      </c>
      <c r="R50" s="276" t="s">
        <v>444</v>
      </c>
      <c r="S50" s="187">
        <v>1</v>
      </c>
      <c r="T50" s="187">
        <v>1</v>
      </c>
      <c r="U50" s="187" t="s">
        <v>478</v>
      </c>
      <c r="V50" s="187">
        <v>1</v>
      </c>
      <c r="W50" s="187">
        <v>1</v>
      </c>
      <c r="X50" s="187">
        <v>1</v>
      </c>
      <c r="Y50" s="187">
        <v>1</v>
      </c>
    </row>
    <row r="51" spans="1:25" x14ac:dyDescent="0.25">
      <c r="A51" t="s">
        <v>733</v>
      </c>
      <c r="B51" t="s">
        <v>734</v>
      </c>
      <c r="C51" s="187"/>
      <c r="D51" s="187" t="s">
        <v>657</v>
      </c>
      <c r="E51" s="272" t="s">
        <v>444</v>
      </c>
      <c r="F51" s="272" t="s">
        <v>444</v>
      </c>
      <c r="G51" s="273">
        <v>50000</v>
      </c>
      <c r="H51" s="274">
        <v>50000</v>
      </c>
      <c r="I51" s="272" t="s">
        <v>444</v>
      </c>
      <c r="J51" s="272" t="s">
        <v>444</v>
      </c>
      <c r="K51" s="273">
        <v>220000.00000000003</v>
      </c>
      <c r="L51" s="274">
        <v>220000</v>
      </c>
      <c r="M51" s="272" t="s">
        <v>444</v>
      </c>
      <c r="N51" s="272" t="s">
        <v>444</v>
      </c>
      <c r="O51" s="273">
        <v>220000.00000000003</v>
      </c>
      <c r="P51" s="274">
        <v>220000</v>
      </c>
      <c r="Q51" s="275" t="s">
        <v>444</v>
      </c>
      <c r="R51" s="276" t="s">
        <v>444</v>
      </c>
      <c r="S51" s="187">
        <v>1</v>
      </c>
      <c r="T51" s="187">
        <v>1</v>
      </c>
      <c r="U51" s="187" t="s">
        <v>478</v>
      </c>
      <c r="V51" s="187">
        <v>1</v>
      </c>
      <c r="W51" s="187">
        <v>1</v>
      </c>
      <c r="X51" s="187">
        <v>1</v>
      </c>
      <c r="Y51" s="187">
        <v>1</v>
      </c>
    </row>
    <row r="52" spans="1:25" x14ac:dyDescent="0.25">
      <c r="A52" t="s">
        <v>735</v>
      </c>
      <c r="B52" t="s">
        <v>736</v>
      </c>
      <c r="C52" s="187"/>
      <c r="D52" s="187" t="s">
        <v>657</v>
      </c>
      <c r="E52" s="272" t="s">
        <v>444</v>
      </c>
      <c r="F52" s="272" t="s">
        <v>444</v>
      </c>
      <c r="G52" s="273">
        <v>30000</v>
      </c>
      <c r="H52" s="274">
        <v>30000</v>
      </c>
      <c r="I52" s="272" t="s">
        <v>444</v>
      </c>
      <c r="J52" s="272" t="s">
        <v>444</v>
      </c>
      <c r="K52" s="273">
        <v>132000</v>
      </c>
      <c r="L52" s="274">
        <v>130000</v>
      </c>
      <c r="M52" s="272" t="s">
        <v>444</v>
      </c>
      <c r="N52" s="272" t="s">
        <v>444</v>
      </c>
      <c r="O52" s="273">
        <v>132000</v>
      </c>
      <c r="P52" s="274">
        <v>130000</v>
      </c>
      <c r="Q52" s="275">
        <v>40000</v>
      </c>
      <c r="R52" s="276">
        <v>40000</v>
      </c>
      <c r="S52" s="187">
        <v>1</v>
      </c>
      <c r="T52" s="187">
        <v>1</v>
      </c>
      <c r="U52" s="187" t="s">
        <v>478</v>
      </c>
      <c r="V52" s="187">
        <v>1</v>
      </c>
      <c r="W52" s="187">
        <v>1</v>
      </c>
      <c r="X52" s="187">
        <v>1</v>
      </c>
      <c r="Y52" s="187">
        <v>1</v>
      </c>
    </row>
    <row r="53" spans="1:25" x14ac:dyDescent="0.25">
      <c r="A53" t="s">
        <v>737</v>
      </c>
      <c r="B53" t="s">
        <v>738</v>
      </c>
      <c r="C53" s="187"/>
      <c r="D53" s="187" t="s">
        <v>657</v>
      </c>
      <c r="E53" s="272" t="s">
        <v>444</v>
      </c>
      <c r="F53" s="272" t="s">
        <v>444</v>
      </c>
      <c r="G53" s="273">
        <v>300</v>
      </c>
      <c r="H53" s="274">
        <v>300</v>
      </c>
      <c r="I53" s="272" t="s">
        <v>444</v>
      </c>
      <c r="J53" s="272" t="s">
        <v>444</v>
      </c>
      <c r="K53" s="273">
        <v>1320</v>
      </c>
      <c r="L53" s="274">
        <v>1300</v>
      </c>
      <c r="M53" s="272" t="s">
        <v>444</v>
      </c>
      <c r="N53" s="272" t="s">
        <v>444</v>
      </c>
      <c r="O53" s="273">
        <v>1320</v>
      </c>
      <c r="P53" s="274">
        <v>1300</v>
      </c>
      <c r="Q53" s="275">
        <v>490</v>
      </c>
      <c r="R53" s="276">
        <v>490</v>
      </c>
      <c r="S53" s="187">
        <v>1</v>
      </c>
      <c r="T53" s="187">
        <v>1</v>
      </c>
      <c r="U53" s="187" t="s">
        <v>478</v>
      </c>
      <c r="V53" s="187">
        <v>1</v>
      </c>
      <c r="W53" s="187">
        <v>1</v>
      </c>
      <c r="X53" s="187">
        <v>1</v>
      </c>
      <c r="Y53" s="187">
        <v>1</v>
      </c>
    </row>
    <row r="54" spans="1:25" ht="18.75" customHeight="1" x14ac:dyDescent="0.25">
      <c r="A54" t="s">
        <v>739</v>
      </c>
      <c r="B54" t="s">
        <v>740</v>
      </c>
      <c r="C54" s="187"/>
      <c r="D54" s="187" t="s">
        <v>657</v>
      </c>
      <c r="E54" s="272" t="s">
        <v>444</v>
      </c>
      <c r="F54" s="272" t="s">
        <v>444</v>
      </c>
      <c r="G54" s="273">
        <v>90</v>
      </c>
      <c r="H54" s="274">
        <v>90</v>
      </c>
      <c r="I54" s="272" t="s">
        <v>444</v>
      </c>
      <c r="J54" s="272" t="s">
        <v>444</v>
      </c>
      <c r="K54" s="273">
        <v>396.00000000000006</v>
      </c>
      <c r="L54" s="274">
        <v>400</v>
      </c>
      <c r="M54" s="272" t="s">
        <v>444</v>
      </c>
      <c r="N54" s="272" t="s">
        <v>444</v>
      </c>
      <c r="O54" s="273">
        <v>396.00000000000006</v>
      </c>
      <c r="P54" s="274">
        <v>400</v>
      </c>
      <c r="Q54" s="275">
        <v>1000</v>
      </c>
      <c r="R54" s="276">
        <v>1000</v>
      </c>
      <c r="S54" s="187">
        <v>1</v>
      </c>
      <c r="T54" s="187">
        <v>1</v>
      </c>
      <c r="U54" s="187" t="s">
        <v>478</v>
      </c>
      <c r="V54" s="187">
        <v>1</v>
      </c>
      <c r="W54" s="187">
        <v>1</v>
      </c>
      <c r="X54" s="187">
        <v>1</v>
      </c>
      <c r="Y54" s="187">
        <v>1</v>
      </c>
    </row>
    <row r="55" spans="1:25" x14ac:dyDescent="0.25">
      <c r="A55" t="s">
        <v>741</v>
      </c>
      <c r="B55" t="s">
        <v>742</v>
      </c>
      <c r="C55" s="187"/>
      <c r="D55" s="187" t="s">
        <v>444</v>
      </c>
      <c r="E55" s="272">
        <v>0.21739130434782608</v>
      </c>
      <c r="F55" s="272">
        <v>0.22</v>
      </c>
      <c r="G55" s="273" t="s">
        <v>444</v>
      </c>
      <c r="H55" s="274" t="s">
        <v>444</v>
      </c>
      <c r="I55" s="272">
        <v>5.6521739130434785</v>
      </c>
      <c r="J55" s="272">
        <v>5.7</v>
      </c>
      <c r="K55" s="273" t="s">
        <v>444</v>
      </c>
      <c r="L55" s="274" t="s">
        <v>444</v>
      </c>
      <c r="M55" s="272">
        <v>2.6086956521739131</v>
      </c>
      <c r="N55" s="272">
        <v>2.6</v>
      </c>
      <c r="O55" s="273" t="s">
        <v>444</v>
      </c>
      <c r="P55" s="274" t="s">
        <v>444</v>
      </c>
      <c r="Q55" s="275" t="s">
        <v>444</v>
      </c>
      <c r="R55" s="276" t="s">
        <v>444</v>
      </c>
      <c r="S55" s="187">
        <v>1</v>
      </c>
      <c r="T55" s="187">
        <v>1</v>
      </c>
      <c r="U55" s="187" t="s">
        <v>478</v>
      </c>
      <c r="V55" s="187">
        <v>1</v>
      </c>
      <c r="W55" s="187">
        <v>1</v>
      </c>
      <c r="X55" s="187">
        <v>1</v>
      </c>
      <c r="Y55" s="187">
        <v>1</v>
      </c>
    </row>
    <row r="56" spans="1:25" x14ac:dyDescent="0.25">
      <c r="A56" t="s">
        <v>743</v>
      </c>
      <c r="B56" t="s">
        <v>744</v>
      </c>
      <c r="C56" s="187"/>
      <c r="D56" s="187" t="s">
        <v>657</v>
      </c>
      <c r="E56" s="272" t="s">
        <v>444</v>
      </c>
      <c r="F56" s="272" t="s">
        <v>444</v>
      </c>
      <c r="G56" s="273">
        <v>0.4</v>
      </c>
      <c r="H56" s="274">
        <v>0.4</v>
      </c>
      <c r="I56" s="272" t="s">
        <v>444</v>
      </c>
      <c r="J56" s="272" t="s">
        <v>444</v>
      </c>
      <c r="K56" s="273">
        <v>1.7600000000000002</v>
      </c>
      <c r="L56" s="274">
        <v>1.8</v>
      </c>
      <c r="M56" s="272" t="s">
        <v>444</v>
      </c>
      <c r="N56" s="272" t="s">
        <v>444</v>
      </c>
      <c r="O56" s="273">
        <v>1.7600000000000002</v>
      </c>
      <c r="P56" s="274">
        <v>1.8</v>
      </c>
      <c r="Q56" s="275">
        <v>29</v>
      </c>
      <c r="R56" s="276">
        <v>29</v>
      </c>
      <c r="S56" s="187">
        <v>1</v>
      </c>
      <c r="T56" s="187">
        <v>1</v>
      </c>
      <c r="U56" s="187" t="s">
        <v>478</v>
      </c>
      <c r="V56" s="187">
        <v>1</v>
      </c>
      <c r="W56" s="187">
        <v>1</v>
      </c>
      <c r="X56" s="187">
        <v>1</v>
      </c>
      <c r="Y56" s="187">
        <v>1</v>
      </c>
    </row>
    <row r="57" spans="1:25" x14ac:dyDescent="0.25">
      <c r="A57" t="s">
        <v>745</v>
      </c>
      <c r="B57" t="s">
        <v>746</v>
      </c>
      <c r="C57" s="187"/>
      <c r="D57" s="187" t="s">
        <v>657</v>
      </c>
      <c r="E57" s="272">
        <v>3.3333333333333335E-3</v>
      </c>
      <c r="F57" s="272">
        <v>3.3E-3</v>
      </c>
      <c r="G57" s="273">
        <v>20</v>
      </c>
      <c r="H57" s="274">
        <v>20</v>
      </c>
      <c r="I57" s="272">
        <v>8.666666666666667E-2</v>
      </c>
      <c r="J57" s="272">
        <v>8.6999999999999994E-2</v>
      </c>
      <c r="K57" s="273">
        <v>88</v>
      </c>
      <c r="L57" s="274">
        <v>88</v>
      </c>
      <c r="M57" s="272">
        <v>0.04</v>
      </c>
      <c r="N57" s="272">
        <v>0.04</v>
      </c>
      <c r="O57" s="273">
        <v>88</v>
      </c>
      <c r="P57" s="274">
        <v>88</v>
      </c>
      <c r="Q57" s="275" t="s">
        <v>444</v>
      </c>
      <c r="R57" s="276" t="s">
        <v>444</v>
      </c>
      <c r="S57" s="187">
        <v>1</v>
      </c>
      <c r="T57" s="187">
        <v>1</v>
      </c>
      <c r="U57" s="187" t="s">
        <v>478</v>
      </c>
      <c r="V57" s="187">
        <v>1</v>
      </c>
      <c r="W57" s="187">
        <v>1</v>
      </c>
      <c r="X57" s="187">
        <v>1</v>
      </c>
      <c r="Y57" s="187">
        <v>1</v>
      </c>
    </row>
    <row r="58" spans="1:25" x14ac:dyDescent="0.25">
      <c r="A58" t="s">
        <v>747</v>
      </c>
      <c r="B58" t="s">
        <v>748</v>
      </c>
      <c r="C58" s="187"/>
      <c r="D58" s="187" t="s">
        <v>444</v>
      </c>
      <c r="E58" s="272">
        <v>1.2987012987012986E-2</v>
      </c>
      <c r="F58" s="272">
        <v>1.2999999999999999E-2</v>
      </c>
      <c r="G58" s="273" t="s">
        <v>444</v>
      </c>
      <c r="H58" s="274" t="s">
        <v>444</v>
      </c>
      <c r="I58" s="272">
        <v>0.33766233766233766</v>
      </c>
      <c r="J58" s="272">
        <v>0.34</v>
      </c>
      <c r="K58" s="273" t="s">
        <v>444</v>
      </c>
      <c r="L58" s="274" t="s">
        <v>444</v>
      </c>
      <c r="M58" s="272">
        <v>0.15584415584415584</v>
      </c>
      <c r="N58" s="272">
        <v>0.16</v>
      </c>
      <c r="O58" s="273" t="s">
        <v>444</v>
      </c>
      <c r="P58" s="274" t="s">
        <v>444</v>
      </c>
      <c r="Q58" s="275" t="s">
        <v>444</v>
      </c>
      <c r="R58" s="276" t="s">
        <v>444</v>
      </c>
      <c r="S58" s="187">
        <v>1</v>
      </c>
      <c r="T58" s="187">
        <v>1</v>
      </c>
      <c r="U58" s="187" t="s">
        <v>478</v>
      </c>
      <c r="V58" s="187">
        <v>1</v>
      </c>
      <c r="W58" s="187">
        <v>1</v>
      </c>
      <c r="X58" s="187">
        <v>1</v>
      </c>
      <c r="Y58" s="187">
        <v>1</v>
      </c>
    </row>
    <row r="59" spans="1:25" x14ac:dyDescent="0.25">
      <c r="A59" t="s">
        <v>63</v>
      </c>
      <c r="B59" t="s">
        <v>486</v>
      </c>
      <c r="C59" s="187" t="s">
        <v>749</v>
      </c>
      <c r="D59" s="187" t="s">
        <v>657</v>
      </c>
      <c r="E59" s="272">
        <v>3.0637254901960784E-5</v>
      </c>
      <c r="F59" s="272">
        <v>3.1000000000000001E-5</v>
      </c>
      <c r="G59" s="273">
        <v>8.3333333333333343E-2</v>
      </c>
      <c r="H59" s="274">
        <v>8.3000000000000004E-2</v>
      </c>
      <c r="I59" s="272">
        <v>5.1587301587301582E-4</v>
      </c>
      <c r="J59" s="272">
        <v>5.1999999999999995E-4</v>
      </c>
      <c r="K59" s="273">
        <v>0.88000000000000012</v>
      </c>
      <c r="L59" s="274">
        <v>0.88</v>
      </c>
      <c r="M59" s="272">
        <v>1E-3</v>
      </c>
      <c r="N59" s="272">
        <v>1E-3</v>
      </c>
      <c r="O59" s="273">
        <v>0.88000000000000012</v>
      </c>
      <c r="P59" s="274">
        <v>0.88</v>
      </c>
      <c r="Q59" s="275">
        <v>0.3</v>
      </c>
      <c r="R59" s="276">
        <v>0.3</v>
      </c>
      <c r="S59" s="187">
        <v>1</v>
      </c>
      <c r="T59" s="187">
        <v>1</v>
      </c>
      <c r="U59" s="187" t="s">
        <v>244</v>
      </c>
      <c r="V59" s="187">
        <v>1.6</v>
      </c>
      <c r="W59" s="187">
        <v>1</v>
      </c>
      <c r="X59" s="187">
        <v>2.4</v>
      </c>
      <c r="Y59" s="187">
        <v>1</v>
      </c>
    </row>
    <row r="60" spans="1:25" x14ac:dyDescent="0.25">
      <c r="A60" t="s">
        <v>750</v>
      </c>
      <c r="B60" t="s">
        <v>751</v>
      </c>
      <c r="C60" s="187" t="s">
        <v>749</v>
      </c>
      <c r="D60" s="187" t="s">
        <v>657</v>
      </c>
      <c r="E60" s="272">
        <v>3.0637254901960784E-5</v>
      </c>
      <c r="F60" s="272">
        <v>3.1000000000000001E-5</v>
      </c>
      <c r="G60" s="273">
        <v>2.0833333333333333E-3</v>
      </c>
      <c r="H60" s="274">
        <v>2.0999999999999999E-3</v>
      </c>
      <c r="I60" s="272">
        <v>5.1587301587301582E-4</v>
      </c>
      <c r="J60" s="272">
        <v>5.1999999999999995E-4</v>
      </c>
      <c r="K60" s="273">
        <v>2.2000000000000002E-2</v>
      </c>
      <c r="L60" s="274">
        <v>2.1999999999999999E-2</v>
      </c>
      <c r="M60" s="272">
        <v>1E-3</v>
      </c>
      <c r="N60" s="272">
        <v>1E-3</v>
      </c>
      <c r="O60" s="273">
        <v>2.2000000000000002E-2</v>
      </c>
      <c r="P60" s="274">
        <v>2.1999999999999999E-2</v>
      </c>
      <c r="Q60" s="275">
        <v>5.0000000000000001E-3</v>
      </c>
      <c r="R60" s="276">
        <v>5.0000000000000001E-3</v>
      </c>
      <c r="S60" s="187">
        <v>1</v>
      </c>
      <c r="T60" s="187">
        <v>1</v>
      </c>
      <c r="U60" s="187" t="s">
        <v>244</v>
      </c>
      <c r="V60" s="187">
        <v>1.6</v>
      </c>
      <c r="W60" s="187">
        <v>1</v>
      </c>
      <c r="X60" s="187">
        <v>2.4</v>
      </c>
      <c r="Y60" s="187">
        <v>1</v>
      </c>
    </row>
    <row r="61" spans="1:25" x14ac:dyDescent="0.25">
      <c r="A61" t="s">
        <v>48</v>
      </c>
      <c r="B61" t="s">
        <v>487</v>
      </c>
      <c r="C61" s="187" t="s">
        <v>678</v>
      </c>
      <c r="D61" s="187" t="s">
        <v>657</v>
      </c>
      <c r="E61" s="272" t="s">
        <v>444</v>
      </c>
      <c r="F61" s="272" t="s">
        <v>444</v>
      </c>
      <c r="G61" s="273">
        <v>0.1</v>
      </c>
      <c r="H61" s="274">
        <v>0.1</v>
      </c>
      <c r="I61" s="272" t="s">
        <v>444</v>
      </c>
      <c r="J61" s="272" t="s">
        <v>444</v>
      </c>
      <c r="K61" s="273">
        <v>0.44000000000000006</v>
      </c>
      <c r="L61" s="274">
        <v>0.44</v>
      </c>
      <c r="M61" s="272" t="s">
        <v>444</v>
      </c>
      <c r="N61" s="272" t="s">
        <v>444</v>
      </c>
      <c r="O61" s="273">
        <v>0.44000000000000006</v>
      </c>
      <c r="P61" s="274">
        <v>0.44</v>
      </c>
      <c r="Q61" s="275" t="s">
        <v>444</v>
      </c>
      <c r="R61" s="276" t="s">
        <v>444</v>
      </c>
      <c r="S61" s="187">
        <v>1</v>
      </c>
      <c r="T61" s="187">
        <v>1</v>
      </c>
      <c r="U61" s="187" t="s">
        <v>478</v>
      </c>
      <c r="V61" s="187">
        <v>1</v>
      </c>
      <c r="W61" s="187">
        <v>1</v>
      </c>
      <c r="X61" s="187">
        <v>1</v>
      </c>
      <c r="Y61" s="187">
        <v>1</v>
      </c>
    </row>
    <row r="62" spans="1:25" x14ac:dyDescent="0.25">
      <c r="A62">
        <v>148</v>
      </c>
      <c r="B62" t="s">
        <v>752</v>
      </c>
      <c r="C62" s="187" t="s">
        <v>667</v>
      </c>
      <c r="D62" s="187" t="s">
        <v>444</v>
      </c>
      <c r="E62" s="272">
        <v>9.4876660341555979E-4</v>
      </c>
      <c r="F62" s="272">
        <v>9.5E-4</v>
      </c>
      <c r="G62" s="273" t="s">
        <v>444</v>
      </c>
      <c r="H62" s="274" t="s">
        <v>444</v>
      </c>
      <c r="I62" s="272">
        <v>9.984639016897081E-3</v>
      </c>
      <c r="J62" s="272">
        <v>0.01</v>
      </c>
      <c r="K62" s="273" t="s">
        <v>444</v>
      </c>
      <c r="L62" s="274" t="s">
        <v>444</v>
      </c>
      <c r="M62" s="272">
        <v>1.935483870967742E-2</v>
      </c>
      <c r="N62" s="272">
        <v>1.9E-2</v>
      </c>
      <c r="O62" s="273" t="s">
        <v>444</v>
      </c>
      <c r="P62" s="274" t="s">
        <v>444</v>
      </c>
      <c r="Q62" s="275" t="s">
        <v>444</v>
      </c>
      <c r="R62" s="276" t="s">
        <v>444</v>
      </c>
      <c r="S62" s="187">
        <v>1</v>
      </c>
      <c r="T62" s="187">
        <v>1</v>
      </c>
      <c r="U62" s="187" t="s">
        <v>244</v>
      </c>
      <c r="V62" s="187">
        <v>1</v>
      </c>
      <c r="W62" s="187">
        <v>1</v>
      </c>
      <c r="X62" s="187">
        <v>1</v>
      </c>
      <c r="Y62" s="187">
        <v>1</v>
      </c>
    </row>
    <row r="63" spans="1:25" x14ac:dyDescent="0.25">
      <c r="A63" t="s">
        <v>50</v>
      </c>
      <c r="B63" t="s">
        <v>488</v>
      </c>
      <c r="C63" s="187" t="s">
        <v>678</v>
      </c>
      <c r="D63" s="187" t="s">
        <v>657</v>
      </c>
      <c r="E63" s="272" t="s">
        <v>444</v>
      </c>
      <c r="F63" s="272" t="s">
        <v>444</v>
      </c>
      <c r="G63" s="273" t="s">
        <v>444</v>
      </c>
      <c r="H63" s="274" t="s">
        <v>444</v>
      </c>
      <c r="I63" s="272" t="s">
        <v>444</v>
      </c>
      <c r="J63" s="272" t="s">
        <v>444</v>
      </c>
      <c r="K63" s="273" t="s">
        <v>444</v>
      </c>
      <c r="L63" s="274" t="s">
        <v>444</v>
      </c>
      <c r="M63" s="272" t="s">
        <v>444</v>
      </c>
      <c r="N63" s="272" t="s">
        <v>444</v>
      </c>
      <c r="O63" s="273" t="s">
        <v>444</v>
      </c>
      <c r="P63" s="274" t="s">
        <v>444</v>
      </c>
      <c r="Q63" s="275">
        <v>100</v>
      </c>
      <c r="R63" s="276">
        <v>100</v>
      </c>
      <c r="S63" s="187">
        <v>1</v>
      </c>
      <c r="T63" s="187">
        <v>1</v>
      </c>
      <c r="U63" s="187" t="s">
        <v>478</v>
      </c>
      <c r="V63" s="187">
        <v>1</v>
      </c>
      <c r="W63" s="187">
        <v>1</v>
      </c>
      <c r="X63" s="187">
        <v>1</v>
      </c>
      <c r="Y63" s="187">
        <v>1</v>
      </c>
    </row>
    <row r="64" spans="1:25" x14ac:dyDescent="0.25">
      <c r="A64" t="s">
        <v>753</v>
      </c>
      <c r="B64" t="s">
        <v>754</v>
      </c>
      <c r="C64" s="187"/>
      <c r="D64" s="187" t="s">
        <v>444</v>
      </c>
      <c r="E64" s="272">
        <v>2.3255813953488372E-2</v>
      </c>
      <c r="F64" s="272">
        <v>2.3E-2</v>
      </c>
      <c r="G64" s="273" t="s">
        <v>444</v>
      </c>
      <c r="H64" s="274" t="s">
        <v>444</v>
      </c>
      <c r="I64" s="272">
        <v>0.60465116279069764</v>
      </c>
      <c r="J64" s="272">
        <v>0.6</v>
      </c>
      <c r="K64" s="273" t="s">
        <v>444</v>
      </c>
      <c r="L64" s="274" t="s">
        <v>444</v>
      </c>
      <c r="M64" s="272">
        <v>0.27906976744186046</v>
      </c>
      <c r="N64" s="272">
        <v>0.28000000000000003</v>
      </c>
      <c r="O64" s="273" t="s">
        <v>444</v>
      </c>
      <c r="P64" s="274" t="s">
        <v>444</v>
      </c>
      <c r="Q64" s="275" t="s">
        <v>444</v>
      </c>
      <c r="R64" s="276" t="s">
        <v>444</v>
      </c>
      <c r="S64" s="187">
        <v>1</v>
      </c>
      <c r="T64" s="187">
        <v>1</v>
      </c>
      <c r="U64" s="187" t="s">
        <v>478</v>
      </c>
      <c r="V64" s="187">
        <v>1</v>
      </c>
      <c r="W64" s="187">
        <v>1</v>
      </c>
      <c r="X64" s="187">
        <v>1</v>
      </c>
      <c r="Y64" s="187">
        <v>1</v>
      </c>
    </row>
    <row r="65" spans="1:25" x14ac:dyDescent="0.25">
      <c r="A65" t="s">
        <v>755</v>
      </c>
      <c r="B65" t="s">
        <v>756</v>
      </c>
      <c r="C65" s="187"/>
      <c r="D65" s="187" t="s">
        <v>657</v>
      </c>
      <c r="E65" s="272" t="s">
        <v>444</v>
      </c>
      <c r="F65" s="272" t="s">
        <v>444</v>
      </c>
      <c r="G65" s="273">
        <v>600</v>
      </c>
      <c r="H65" s="274">
        <v>600</v>
      </c>
      <c r="I65" s="272" t="s">
        <v>444</v>
      </c>
      <c r="J65" s="272" t="s">
        <v>444</v>
      </c>
      <c r="K65" s="273">
        <v>2640</v>
      </c>
      <c r="L65" s="274">
        <v>2600</v>
      </c>
      <c r="M65" s="272" t="s">
        <v>444</v>
      </c>
      <c r="N65" s="272" t="s">
        <v>444</v>
      </c>
      <c r="O65" s="273">
        <v>2640</v>
      </c>
      <c r="P65" s="274">
        <v>2600</v>
      </c>
      <c r="Q65" s="275" t="s">
        <v>444</v>
      </c>
      <c r="R65" s="276" t="s">
        <v>444</v>
      </c>
      <c r="S65" s="187">
        <v>1</v>
      </c>
      <c r="T65" s="187">
        <v>1</v>
      </c>
      <c r="U65" s="187" t="s">
        <v>478</v>
      </c>
      <c r="V65" s="187">
        <v>1</v>
      </c>
      <c r="W65" s="187">
        <v>1</v>
      </c>
      <c r="X65" s="187">
        <v>1</v>
      </c>
      <c r="Y65" s="187">
        <v>1</v>
      </c>
    </row>
    <row r="66" spans="1:25" x14ac:dyDescent="0.25">
      <c r="A66" t="s">
        <v>757</v>
      </c>
      <c r="B66" t="s">
        <v>758</v>
      </c>
      <c r="C66" s="187"/>
      <c r="D66" s="187" t="s">
        <v>444</v>
      </c>
      <c r="E66" s="272">
        <v>1.5873015873015872E-2</v>
      </c>
      <c r="F66" s="272">
        <v>1.6E-2</v>
      </c>
      <c r="G66" s="273" t="s">
        <v>444</v>
      </c>
      <c r="H66" s="274" t="s">
        <v>444</v>
      </c>
      <c r="I66" s="272">
        <v>0.41269841269841268</v>
      </c>
      <c r="J66" s="272">
        <v>0.41</v>
      </c>
      <c r="K66" s="273" t="s">
        <v>444</v>
      </c>
      <c r="L66" s="274" t="s">
        <v>444</v>
      </c>
      <c r="M66" s="272">
        <v>0.19047619047619047</v>
      </c>
      <c r="N66" s="272">
        <v>0.19</v>
      </c>
      <c r="O66" s="273" t="s">
        <v>444</v>
      </c>
      <c r="P66" s="274" t="s">
        <v>444</v>
      </c>
      <c r="Q66" s="275" t="s">
        <v>444</v>
      </c>
      <c r="R66" s="276" t="s">
        <v>444</v>
      </c>
      <c r="S66" s="187">
        <v>1</v>
      </c>
      <c r="T66" s="187">
        <v>1</v>
      </c>
      <c r="U66" s="187" t="s">
        <v>478</v>
      </c>
      <c r="V66" s="187">
        <v>1</v>
      </c>
      <c r="W66" s="187">
        <v>1</v>
      </c>
      <c r="X66" s="187">
        <v>1</v>
      </c>
      <c r="Y66" s="187">
        <v>1</v>
      </c>
    </row>
    <row r="67" spans="1:25" x14ac:dyDescent="0.25">
      <c r="A67" t="s">
        <v>759</v>
      </c>
      <c r="B67" t="s">
        <v>760</v>
      </c>
      <c r="C67" s="187"/>
      <c r="D67" s="187" t="s">
        <v>657</v>
      </c>
      <c r="E67" s="272" t="s">
        <v>444</v>
      </c>
      <c r="F67" s="272" t="s">
        <v>444</v>
      </c>
      <c r="G67" s="273">
        <v>0.8</v>
      </c>
      <c r="H67" s="274">
        <v>0.8</v>
      </c>
      <c r="I67" s="272" t="s">
        <v>444</v>
      </c>
      <c r="J67" s="272" t="s">
        <v>444</v>
      </c>
      <c r="K67" s="273">
        <v>3.5200000000000005</v>
      </c>
      <c r="L67" s="274">
        <v>3.5</v>
      </c>
      <c r="M67" s="272" t="s">
        <v>444</v>
      </c>
      <c r="N67" s="272" t="s">
        <v>444</v>
      </c>
      <c r="O67" s="273">
        <v>3.5200000000000005</v>
      </c>
      <c r="P67" s="274">
        <v>3.5</v>
      </c>
      <c r="Q67" s="275">
        <v>340</v>
      </c>
      <c r="R67" s="276">
        <v>340</v>
      </c>
      <c r="S67" s="187">
        <v>1</v>
      </c>
      <c r="T67" s="187">
        <v>1</v>
      </c>
      <c r="U67" s="187" t="s">
        <v>478</v>
      </c>
      <c r="V67" s="187">
        <v>1</v>
      </c>
      <c r="W67" s="187">
        <v>1</v>
      </c>
      <c r="X67" s="187">
        <v>1</v>
      </c>
      <c r="Y67" s="187">
        <v>1</v>
      </c>
    </row>
    <row r="68" spans="1:25" x14ac:dyDescent="0.25">
      <c r="A68" t="s">
        <v>761</v>
      </c>
      <c r="B68" t="s">
        <v>762</v>
      </c>
      <c r="C68" s="187"/>
      <c r="D68" s="187" t="s">
        <v>657</v>
      </c>
      <c r="E68" s="272" t="s">
        <v>444</v>
      </c>
      <c r="F68" s="272" t="s">
        <v>444</v>
      </c>
      <c r="G68" s="273">
        <v>6000</v>
      </c>
      <c r="H68" s="274">
        <v>6000</v>
      </c>
      <c r="I68" s="272" t="s">
        <v>444</v>
      </c>
      <c r="J68" s="272" t="s">
        <v>444</v>
      </c>
      <c r="K68" s="273">
        <v>26400.000000000004</v>
      </c>
      <c r="L68" s="274">
        <v>26000</v>
      </c>
      <c r="M68" s="272" t="s">
        <v>444</v>
      </c>
      <c r="N68" s="272" t="s">
        <v>444</v>
      </c>
      <c r="O68" s="273">
        <v>26400.000000000004</v>
      </c>
      <c r="P68" s="274">
        <v>26000</v>
      </c>
      <c r="Q68" s="275" t="s">
        <v>444</v>
      </c>
      <c r="R68" s="276" t="s">
        <v>444</v>
      </c>
      <c r="S68" s="187">
        <v>1</v>
      </c>
      <c r="T68" s="187">
        <v>1</v>
      </c>
      <c r="U68" s="187" t="s">
        <v>478</v>
      </c>
      <c r="V68" s="187">
        <v>1</v>
      </c>
      <c r="W68" s="187">
        <v>1</v>
      </c>
      <c r="X68" s="187">
        <v>1</v>
      </c>
      <c r="Y68" s="187">
        <v>1</v>
      </c>
    </row>
    <row r="69" spans="1:25" x14ac:dyDescent="0.25">
      <c r="A69" t="s">
        <v>763</v>
      </c>
      <c r="B69" t="s">
        <v>764</v>
      </c>
      <c r="C69" s="187" t="s">
        <v>765</v>
      </c>
      <c r="D69" s="187" t="s">
        <v>444</v>
      </c>
      <c r="E69" s="272">
        <v>1.0309278350515464E-2</v>
      </c>
      <c r="F69" s="272">
        <v>0.01</v>
      </c>
      <c r="G69" s="273" t="s">
        <v>444</v>
      </c>
      <c r="H69" s="274" t="s">
        <v>444</v>
      </c>
      <c r="I69" s="272">
        <v>0.26804123711340205</v>
      </c>
      <c r="J69" s="272">
        <v>0.27</v>
      </c>
      <c r="K69" s="273" t="s">
        <v>444</v>
      </c>
      <c r="L69" s="274" t="s">
        <v>444</v>
      </c>
      <c r="M69" s="272">
        <v>0.12371134020618557</v>
      </c>
      <c r="N69" s="272">
        <v>0.12</v>
      </c>
      <c r="O69" s="273" t="s">
        <v>444</v>
      </c>
      <c r="P69" s="274" t="s">
        <v>444</v>
      </c>
      <c r="Q69" s="275" t="s">
        <v>444</v>
      </c>
      <c r="R69" s="276" t="s">
        <v>444</v>
      </c>
      <c r="S69" s="187">
        <v>1</v>
      </c>
      <c r="T69" s="187">
        <v>1</v>
      </c>
      <c r="U69" s="187" t="s">
        <v>478</v>
      </c>
      <c r="V69" s="187">
        <v>1</v>
      </c>
      <c r="W69" s="187">
        <v>1</v>
      </c>
      <c r="X69" s="187">
        <v>1</v>
      </c>
      <c r="Y69" s="187">
        <v>1</v>
      </c>
    </row>
    <row r="70" spans="1:25" x14ac:dyDescent="0.25">
      <c r="A70" t="s">
        <v>766</v>
      </c>
      <c r="B70" t="s">
        <v>767</v>
      </c>
      <c r="C70" s="187"/>
      <c r="D70" s="187" t="s">
        <v>444</v>
      </c>
      <c r="E70" s="272">
        <v>0.15151515151515149</v>
      </c>
      <c r="F70" s="272">
        <v>0.15</v>
      </c>
      <c r="G70" s="273" t="s">
        <v>444</v>
      </c>
      <c r="H70" s="274" t="s">
        <v>444</v>
      </c>
      <c r="I70" s="272">
        <v>3.9393939393939386</v>
      </c>
      <c r="J70" s="272">
        <v>3.9</v>
      </c>
      <c r="K70" s="273" t="s">
        <v>444</v>
      </c>
      <c r="L70" s="274" t="s">
        <v>444</v>
      </c>
      <c r="M70" s="272">
        <v>1.8181818181818179</v>
      </c>
      <c r="N70" s="272">
        <v>1.8</v>
      </c>
      <c r="O70" s="273" t="s">
        <v>444</v>
      </c>
      <c r="P70" s="274" t="s">
        <v>444</v>
      </c>
      <c r="Q70" s="275" t="s">
        <v>444</v>
      </c>
      <c r="R70" s="276" t="s">
        <v>444</v>
      </c>
      <c r="S70" s="187">
        <v>1</v>
      </c>
      <c r="T70" s="187">
        <v>1</v>
      </c>
      <c r="U70" s="187" t="s">
        <v>478</v>
      </c>
      <c r="V70" s="187">
        <v>1</v>
      </c>
      <c r="W70" s="187">
        <v>1</v>
      </c>
      <c r="X70" s="187">
        <v>1</v>
      </c>
      <c r="Y70" s="187">
        <v>1</v>
      </c>
    </row>
    <row r="71" spans="1:25" x14ac:dyDescent="0.25">
      <c r="A71" t="s">
        <v>768</v>
      </c>
      <c r="B71" t="s">
        <v>769</v>
      </c>
      <c r="C71" s="187"/>
      <c r="D71" s="187" t="s">
        <v>444</v>
      </c>
      <c r="E71" s="272">
        <v>9.0909090909090898E-4</v>
      </c>
      <c r="F71" s="272">
        <v>9.1E-4</v>
      </c>
      <c r="G71" s="273" t="s">
        <v>444</v>
      </c>
      <c r="H71" s="274" t="s">
        <v>444</v>
      </c>
      <c r="I71" s="272">
        <v>2.3636363636363632E-2</v>
      </c>
      <c r="J71" s="272">
        <v>2.4E-2</v>
      </c>
      <c r="K71" s="273" t="s">
        <v>444</v>
      </c>
      <c r="L71" s="274" t="s">
        <v>444</v>
      </c>
      <c r="M71" s="272">
        <v>1.0909090909090908E-2</v>
      </c>
      <c r="N71" s="272">
        <v>1.0999999999999999E-2</v>
      </c>
      <c r="O71" s="273" t="s">
        <v>444</v>
      </c>
      <c r="P71" s="274" t="s">
        <v>444</v>
      </c>
      <c r="Q71" s="275" t="s">
        <v>444</v>
      </c>
      <c r="R71" s="276" t="s">
        <v>444</v>
      </c>
      <c r="S71" s="187">
        <v>1</v>
      </c>
      <c r="T71" s="187">
        <v>1</v>
      </c>
      <c r="U71" s="187" t="s">
        <v>478</v>
      </c>
      <c r="V71" s="187">
        <v>1</v>
      </c>
      <c r="W71" s="187">
        <v>1</v>
      </c>
      <c r="X71" s="187">
        <v>1</v>
      </c>
      <c r="Y71" s="187">
        <v>1</v>
      </c>
    </row>
    <row r="72" spans="1:25" x14ac:dyDescent="0.25">
      <c r="A72" t="s">
        <v>770</v>
      </c>
      <c r="B72" t="s">
        <v>771</v>
      </c>
      <c r="C72" s="187"/>
      <c r="D72" s="187" t="s">
        <v>657</v>
      </c>
      <c r="E72" s="272" t="s">
        <v>444</v>
      </c>
      <c r="F72" s="272" t="s">
        <v>444</v>
      </c>
      <c r="G72" s="273" t="s">
        <v>444</v>
      </c>
      <c r="H72" s="274" t="s">
        <v>444</v>
      </c>
      <c r="I72" s="272" t="s">
        <v>444</v>
      </c>
      <c r="J72" s="272" t="s">
        <v>444</v>
      </c>
      <c r="K72" s="273" t="s">
        <v>444</v>
      </c>
      <c r="L72" s="274" t="s">
        <v>444</v>
      </c>
      <c r="M72" s="272" t="s">
        <v>444</v>
      </c>
      <c r="N72" s="272" t="s">
        <v>444</v>
      </c>
      <c r="O72" s="273" t="s">
        <v>444</v>
      </c>
      <c r="P72" s="274" t="s">
        <v>444</v>
      </c>
      <c r="Q72" s="275">
        <v>10</v>
      </c>
      <c r="R72" s="276">
        <v>10</v>
      </c>
      <c r="S72" s="187">
        <v>1</v>
      </c>
      <c r="T72" s="187">
        <v>1</v>
      </c>
      <c r="U72" s="187" t="s">
        <v>478</v>
      </c>
      <c r="V72" s="187">
        <v>1</v>
      </c>
      <c r="W72" s="187">
        <v>1</v>
      </c>
      <c r="X72" s="187">
        <v>1</v>
      </c>
      <c r="Y72" s="187">
        <v>1</v>
      </c>
    </row>
    <row r="73" spans="1:25" x14ac:dyDescent="0.25">
      <c r="A73" t="s">
        <v>772</v>
      </c>
      <c r="B73" t="s">
        <v>773</v>
      </c>
      <c r="C73" s="187" t="s">
        <v>667</v>
      </c>
      <c r="D73" s="187" t="s">
        <v>657</v>
      </c>
      <c r="E73" s="272">
        <v>9.8039215686274506E-5</v>
      </c>
      <c r="F73" s="272">
        <v>9.7999999999999997E-5</v>
      </c>
      <c r="G73" s="273">
        <v>0.2</v>
      </c>
      <c r="H73" s="274">
        <v>0.2</v>
      </c>
      <c r="I73" s="272">
        <v>1.0317460317460316E-3</v>
      </c>
      <c r="J73" s="272">
        <v>1E-3</v>
      </c>
      <c r="K73" s="273">
        <v>0.88000000000000012</v>
      </c>
      <c r="L73" s="274">
        <v>0.88</v>
      </c>
      <c r="M73" s="272">
        <v>2E-3</v>
      </c>
      <c r="N73" s="272">
        <v>2E-3</v>
      </c>
      <c r="O73" s="273">
        <v>0.88000000000000012</v>
      </c>
      <c r="P73" s="274">
        <v>0.88</v>
      </c>
      <c r="Q73" s="275">
        <v>1.9</v>
      </c>
      <c r="R73" s="276">
        <v>1.9</v>
      </c>
      <c r="S73" s="187">
        <v>1</v>
      </c>
      <c r="T73" s="187">
        <v>1</v>
      </c>
      <c r="U73" s="187" t="s">
        <v>244</v>
      </c>
      <c r="V73" s="187">
        <v>1</v>
      </c>
      <c r="W73" s="187">
        <v>1</v>
      </c>
      <c r="X73" s="187">
        <v>1</v>
      </c>
      <c r="Y73" s="187">
        <v>1</v>
      </c>
    </row>
    <row r="74" spans="1:25" x14ac:dyDescent="0.25">
      <c r="A74" t="s">
        <v>774</v>
      </c>
      <c r="B74" t="s">
        <v>775</v>
      </c>
      <c r="C74" s="187"/>
      <c r="D74" s="187" t="s">
        <v>657</v>
      </c>
      <c r="E74" s="272">
        <v>9.0909090909090912E-2</v>
      </c>
      <c r="F74" s="272">
        <v>9.0999999999999998E-2</v>
      </c>
      <c r="G74" s="273">
        <v>60</v>
      </c>
      <c r="H74" s="274">
        <v>60</v>
      </c>
      <c r="I74" s="272">
        <v>2.3636363636363638</v>
      </c>
      <c r="J74" s="272">
        <v>2.4</v>
      </c>
      <c r="K74" s="273">
        <v>264</v>
      </c>
      <c r="L74" s="274">
        <v>260</v>
      </c>
      <c r="M74" s="272">
        <v>1.0909090909090908</v>
      </c>
      <c r="N74" s="272">
        <v>1.1000000000000001</v>
      </c>
      <c r="O74" s="273">
        <v>264</v>
      </c>
      <c r="P74" s="274">
        <v>260</v>
      </c>
      <c r="Q74" s="275">
        <v>12000</v>
      </c>
      <c r="R74" s="276">
        <v>12000</v>
      </c>
      <c r="S74" s="187">
        <v>1</v>
      </c>
      <c r="T74" s="187">
        <v>1</v>
      </c>
      <c r="U74" s="187" t="s">
        <v>478</v>
      </c>
      <c r="V74" s="187">
        <v>1</v>
      </c>
      <c r="W74" s="187">
        <v>1</v>
      </c>
      <c r="X74" s="187">
        <v>1</v>
      </c>
      <c r="Y74" s="187">
        <v>1</v>
      </c>
    </row>
    <row r="75" spans="1:25" x14ac:dyDescent="0.25">
      <c r="A75" t="s">
        <v>776</v>
      </c>
      <c r="B75" t="s">
        <v>777</v>
      </c>
      <c r="C75" s="187"/>
      <c r="D75" s="187" t="s">
        <v>444</v>
      </c>
      <c r="E75" s="272">
        <v>2.9411764705882348E-3</v>
      </c>
      <c r="F75" s="272">
        <v>2.8999999999999998E-3</v>
      </c>
      <c r="G75" s="273" t="s">
        <v>444</v>
      </c>
      <c r="H75" s="274" t="s">
        <v>444</v>
      </c>
      <c r="I75" s="272">
        <v>7.647058823529411E-2</v>
      </c>
      <c r="J75" s="272">
        <v>7.5999999999999998E-2</v>
      </c>
      <c r="K75" s="273" t="s">
        <v>444</v>
      </c>
      <c r="L75" s="274" t="s">
        <v>444</v>
      </c>
      <c r="M75" s="272">
        <v>3.5294117647058816E-2</v>
      </c>
      <c r="N75" s="272">
        <v>3.5000000000000003E-2</v>
      </c>
      <c r="O75" s="273" t="s">
        <v>444</v>
      </c>
      <c r="P75" s="274" t="s">
        <v>444</v>
      </c>
      <c r="Q75" s="275" t="s">
        <v>444</v>
      </c>
      <c r="R75" s="276" t="s">
        <v>444</v>
      </c>
      <c r="S75" s="187">
        <v>1</v>
      </c>
      <c r="T75" s="187">
        <v>1</v>
      </c>
      <c r="U75" s="187" t="s">
        <v>478</v>
      </c>
      <c r="V75" s="187">
        <v>1</v>
      </c>
      <c r="W75" s="187">
        <v>1</v>
      </c>
      <c r="X75" s="187">
        <v>1</v>
      </c>
      <c r="Y75" s="187">
        <v>1</v>
      </c>
    </row>
    <row r="76" spans="1:25" x14ac:dyDescent="0.25">
      <c r="A76" t="s">
        <v>778</v>
      </c>
      <c r="B76" t="s">
        <v>779</v>
      </c>
      <c r="C76" s="187"/>
      <c r="D76" s="187" t="s">
        <v>444</v>
      </c>
      <c r="E76" s="272">
        <v>0.625</v>
      </c>
      <c r="F76" s="272">
        <v>0.63</v>
      </c>
      <c r="G76" s="273" t="s">
        <v>444</v>
      </c>
      <c r="H76" s="274" t="s">
        <v>444</v>
      </c>
      <c r="I76" s="272">
        <v>16.25</v>
      </c>
      <c r="J76" s="272">
        <v>16</v>
      </c>
      <c r="K76" s="273" t="s">
        <v>444</v>
      </c>
      <c r="L76" s="274" t="s">
        <v>444</v>
      </c>
      <c r="M76" s="272">
        <v>7.5</v>
      </c>
      <c r="N76" s="272">
        <v>7.5</v>
      </c>
      <c r="O76" s="273" t="s">
        <v>444</v>
      </c>
      <c r="P76" s="274" t="s">
        <v>444</v>
      </c>
      <c r="Q76" s="275" t="s">
        <v>444</v>
      </c>
      <c r="R76" s="276" t="s">
        <v>444</v>
      </c>
      <c r="S76" s="187">
        <v>1</v>
      </c>
      <c r="T76" s="187">
        <v>1</v>
      </c>
      <c r="U76" s="187" t="s">
        <v>478</v>
      </c>
      <c r="V76" s="187">
        <v>1</v>
      </c>
      <c r="W76" s="187">
        <v>1</v>
      </c>
      <c r="X76" s="187">
        <v>1</v>
      </c>
      <c r="Y76" s="187">
        <v>1</v>
      </c>
    </row>
    <row r="77" spans="1:25" x14ac:dyDescent="0.25">
      <c r="A77" t="s">
        <v>780</v>
      </c>
      <c r="B77" t="s">
        <v>781</v>
      </c>
      <c r="C77" s="187"/>
      <c r="D77" s="187" t="s">
        <v>657</v>
      </c>
      <c r="E77" s="272" t="s">
        <v>444</v>
      </c>
      <c r="F77" s="272" t="s">
        <v>444</v>
      </c>
      <c r="G77" s="273" t="s">
        <v>444</v>
      </c>
      <c r="H77" s="274" t="s">
        <v>444</v>
      </c>
      <c r="I77" s="272" t="s">
        <v>444</v>
      </c>
      <c r="J77" s="272" t="s">
        <v>444</v>
      </c>
      <c r="K77" s="273" t="s">
        <v>444</v>
      </c>
      <c r="L77" s="274" t="s">
        <v>444</v>
      </c>
      <c r="M77" s="272" t="s">
        <v>444</v>
      </c>
      <c r="N77" s="272" t="s">
        <v>444</v>
      </c>
      <c r="O77" s="273" t="s">
        <v>444</v>
      </c>
      <c r="P77" s="274" t="s">
        <v>444</v>
      </c>
      <c r="Q77" s="275">
        <v>790</v>
      </c>
      <c r="R77" s="276">
        <v>790</v>
      </c>
      <c r="S77" s="187">
        <v>1</v>
      </c>
      <c r="T77" s="187">
        <v>1</v>
      </c>
      <c r="U77" s="187" t="s">
        <v>478</v>
      </c>
      <c r="V77" s="187">
        <v>1</v>
      </c>
      <c r="W77" s="187">
        <v>1</v>
      </c>
      <c r="X77" s="187">
        <v>1</v>
      </c>
      <c r="Y77" s="187">
        <v>1</v>
      </c>
    </row>
    <row r="78" spans="1:25" x14ac:dyDescent="0.25">
      <c r="A78" t="s">
        <v>782</v>
      </c>
      <c r="B78" t="s">
        <v>783</v>
      </c>
      <c r="C78" s="187"/>
      <c r="D78" s="187" t="s">
        <v>657</v>
      </c>
      <c r="E78" s="272">
        <v>58.82352941176471</v>
      </c>
      <c r="F78" s="272">
        <v>59</v>
      </c>
      <c r="G78" s="273">
        <v>600</v>
      </c>
      <c r="H78" s="274">
        <v>600</v>
      </c>
      <c r="I78" s="272">
        <v>619.04761904761904</v>
      </c>
      <c r="J78" s="272">
        <v>620</v>
      </c>
      <c r="K78" s="273">
        <v>2640</v>
      </c>
      <c r="L78" s="274">
        <v>2600</v>
      </c>
      <c r="M78" s="272">
        <v>1200</v>
      </c>
      <c r="N78" s="272">
        <v>1200</v>
      </c>
      <c r="O78" s="273">
        <v>2640</v>
      </c>
      <c r="P78" s="274">
        <v>2600</v>
      </c>
      <c r="Q78" s="275">
        <v>2100</v>
      </c>
      <c r="R78" s="276">
        <v>2100</v>
      </c>
      <c r="S78" s="187">
        <v>1</v>
      </c>
      <c r="T78" s="187">
        <v>1</v>
      </c>
      <c r="U78" s="187" t="s">
        <v>244</v>
      </c>
      <c r="V78" s="187">
        <v>1</v>
      </c>
      <c r="W78" s="187">
        <v>1</v>
      </c>
      <c r="X78" s="187">
        <v>1</v>
      </c>
      <c r="Y78" s="187">
        <v>1</v>
      </c>
    </row>
    <row r="79" spans="1:25" x14ac:dyDescent="0.25">
      <c r="A79" t="s">
        <v>784</v>
      </c>
      <c r="B79" t="s">
        <v>785</v>
      </c>
      <c r="C79" s="187"/>
      <c r="D79" s="187" t="s">
        <v>657</v>
      </c>
      <c r="E79" s="272" t="s">
        <v>444</v>
      </c>
      <c r="F79" s="272" t="s">
        <v>444</v>
      </c>
      <c r="G79" s="273">
        <v>4</v>
      </c>
      <c r="H79" s="274">
        <v>4</v>
      </c>
      <c r="I79" s="272" t="s">
        <v>444</v>
      </c>
      <c r="J79" s="272" t="s">
        <v>444</v>
      </c>
      <c r="K79" s="273">
        <v>17.600000000000001</v>
      </c>
      <c r="L79" s="274">
        <v>18</v>
      </c>
      <c r="M79" s="272" t="s">
        <v>444</v>
      </c>
      <c r="N79" s="272" t="s">
        <v>444</v>
      </c>
      <c r="O79" s="273">
        <v>17.600000000000001</v>
      </c>
      <c r="P79" s="274">
        <v>18</v>
      </c>
      <c r="Q79" s="275">
        <v>230</v>
      </c>
      <c r="R79" s="276">
        <v>230</v>
      </c>
      <c r="S79" s="187">
        <v>1</v>
      </c>
      <c r="T79" s="187">
        <v>1</v>
      </c>
      <c r="U79" s="187" t="s">
        <v>478</v>
      </c>
      <c r="V79" s="187">
        <v>1</v>
      </c>
      <c r="W79" s="187">
        <v>1</v>
      </c>
      <c r="X79" s="187">
        <v>1</v>
      </c>
      <c r="Y79" s="187">
        <v>1</v>
      </c>
    </row>
    <row r="80" spans="1:25" x14ac:dyDescent="0.25">
      <c r="A80" t="s">
        <v>786</v>
      </c>
      <c r="B80" t="s">
        <v>787</v>
      </c>
      <c r="C80" s="187"/>
      <c r="D80" s="187" t="s">
        <v>657</v>
      </c>
      <c r="E80" s="272">
        <v>0.25</v>
      </c>
      <c r="F80" s="272">
        <v>0.25</v>
      </c>
      <c r="G80" s="273">
        <v>32</v>
      </c>
      <c r="H80" s="274">
        <v>32</v>
      </c>
      <c r="I80" s="272">
        <v>6.5</v>
      </c>
      <c r="J80" s="272">
        <v>6.5</v>
      </c>
      <c r="K80" s="273">
        <v>140.80000000000001</v>
      </c>
      <c r="L80" s="274">
        <v>140</v>
      </c>
      <c r="M80" s="272">
        <v>3</v>
      </c>
      <c r="N80" s="272">
        <v>3</v>
      </c>
      <c r="O80" s="273">
        <v>140.80000000000001</v>
      </c>
      <c r="P80" s="274">
        <v>140</v>
      </c>
      <c r="Q80" s="275">
        <v>36</v>
      </c>
      <c r="R80" s="276">
        <v>36</v>
      </c>
      <c r="S80" s="187">
        <v>1</v>
      </c>
      <c r="T80" s="187">
        <v>1</v>
      </c>
      <c r="U80" s="187" t="s">
        <v>478</v>
      </c>
      <c r="V80" s="187">
        <v>1</v>
      </c>
      <c r="W80" s="187">
        <v>1</v>
      </c>
      <c r="X80" s="187">
        <v>1</v>
      </c>
      <c r="Y80" s="187">
        <v>1</v>
      </c>
    </row>
    <row r="81" spans="1:25" x14ac:dyDescent="0.25">
      <c r="A81" t="s">
        <v>788</v>
      </c>
      <c r="B81" t="s">
        <v>789</v>
      </c>
      <c r="C81" s="187"/>
      <c r="D81" s="187" t="s">
        <v>664</v>
      </c>
      <c r="E81" s="272" t="s">
        <v>444</v>
      </c>
      <c r="F81" s="272" t="s">
        <v>444</v>
      </c>
      <c r="G81" s="273">
        <v>0.54</v>
      </c>
      <c r="H81" s="274">
        <v>0.54</v>
      </c>
      <c r="I81" s="272" t="s">
        <v>444</v>
      </c>
      <c r="J81" s="272" t="s">
        <v>444</v>
      </c>
      <c r="K81" s="273">
        <v>2.3760000000000003</v>
      </c>
      <c r="L81" s="274">
        <v>2.4</v>
      </c>
      <c r="M81" s="272" t="s">
        <v>444</v>
      </c>
      <c r="N81" s="272" t="s">
        <v>444</v>
      </c>
      <c r="O81" s="273">
        <v>2.3760000000000003</v>
      </c>
      <c r="P81" s="274">
        <v>2.4</v>
      </c>
      <c r="Q81" s="275">
        <v>18</v>
      </c>
      <c r="R81" s="276">
        <v>18</v>
      </c>
      <c r="S81" s="187">
        <v>1</v>
      </c>
      <c r="T81" s="187">
        <v>1</v>
      </c>
      <c r="U81" s="187" t="s">
        <v>478</v>
      </c>
      <c r="V81" s="187">
        <v>1</v>
      </c>
      <c r="W81" s="187">
        <v>1</v>
      </c>
      <c r="X81" s="187">
        <v>1</v>
      </c>
      <c r="Y81" s="187">
        <v>1</v>
      </c>
    </row>
    <row r="82" spans="1:25" x14ac:dyDescent="0.25">
      <c r="A82" t="s">
        <v>790</v>
      </c>
      <c r="B82" t="s">
        <v>791</v>
      </c>
      <c r="C82" s="187"/>
      <c r="D82" s="187" t="s">
        <v>444</v>
      </c>
      <c r="E82" s="272">
        <v>2.1739130434782607E-4</v>
      </c>
      <c r="F82" s="272">
        <v>2.2000000000000001E-4</v>
      </c>
      <c r="G82" s="273" t="s">
        <v>444</v>
      </c>
      <c r="H82" s="274" t="s">
        <v>444</v>
      </c>
      <c r="I82" s="272">
        <v>5.6521739130434775E-3</v>
      </c>
      <c r="J82" s="272">
        <v>5.7000000000000002E-3</v>
      </c>
      <c r="K82" s="273" t="s">
        <v>444</v>
      </c>
      <c r="L82" s="274" t="s">
        <v>444</v>
      </c>
      <c r="M82" s="272">
        <v>2.6086956521739128E-3</v>
      </c>
      <c r="N82" s="272">
        <v>2.5999999999999999E-3</v>
      </c>
      <c r="O82" s="273" t="s">
        <v>444</v>
      </c>
      <c r="P82" s="274" t="s">
        <v>444</v>
      </c>
      <c r="Q82" s="275" t="s">
        <v>444</v>
      </c>
      <c r="R82" s="276" t="s">
        <v>444</v>
      </c>
      <c r="S82" s="187">
        <v>1</v>
      </c>
      <c r="T82" s="187">
        <v>1</v>
      </c>
      <c r="U82" s="187" t="s">
        <v>478</v>
      </c>
      <c r="V82" s="187">
        <v>1</v>
      </c>
      <c r="W82" s="187">
        <v>1</v>
      </c>
      <c r="X82" s="187">
        <v>1</v>
      </c>
      <c r="Y82" s="187">
        <v>1</v>
      </c>
    </row>
    <row r="83" spans="1:25" x14ac:dyDescent="0.25">
      <c r="A83">
        <v>200</v>
      </c>
      <c r="B83" t="s">
        <v>113</v>
      </c>
      <c r="C83" s="187"/>
      <c r="D83" s="187" t="s">
        <v>657</v>
      </c>
      <c r="E83" s="272">
        <v>0.1</v>
      </c>
      <c r="F83" s="272">
        <v>0.1</v>
      </c>
      <c r="G83" s="273">
        <v>5</v>
      </c>
      <c r="H83" s="274">
        <v>5</v>
      </c>
      <c r="I83" s="272">
        <v>2.6</v>
      </c>
      <c r="J83" s="272">
        <v>2.6</v>
      </c>
      <c r="K83" s="273">
        <v>22</v>
      </c>
      <c r="L83" s="274">
        <v>22</v>
      </c>
      <c r="M83" s="272">
        <v>1.2000000000000002</v>
      </c>
      <c r="N83" s="272">
        <v>1.2</v>
      </c>
      <c r="O83" s="273">
        <v>22</v>
      </c>
      <c r="P83" s="274">
        <v>22</v>
      </c>
      <c r="Q83" s="275" t="s">
        <v>444</v>
      </c>
      <c r="R83" s="276" t="s">
        <v>444</v>
      </c>
      <c r="S83" s="187">
        <v>1</v>
      </c>
      <c r="T83" s="187">
        <v>1</v>
      </c>
      <c r="U83" s="187" t="s">
        <v>478</v>
      </c>
      <c r="V83" s="187">
        <v>1</v>
      </c>
      <c r="W83" s="187">
        <v>1</v>
      </c>
      <c r="X83" s="187">
        <v>1</v>
      </c>
      <c r="Y83" s="187">
        <v>1</v>
      </c>
    </row>
    <row r="84" spans="1:25" x14ac:dyDescent="0.25">
      <c r="A84" t="s">
        <v>792</v>
      </c>
      <c r="B84" t="s">
        <v>793</v>
      </c>
      <c r="C84" s="187"/>
      <c r="D84" s="187" t="s">
        <v>657</v>
      </c>
      <c r="E84" s="272" t="s">
        <v>444</v>
      </c>
      <c r="F84" s="272" t="s">
        <v>444</v>
      </c>
      <c r="G84" s="273">
        <v>0.2</v>
      </c>
      <c r="H84" s="274">
        <v>0.2</v>
      </c>
      <c r="I84" s="272" t="s">
        <v>444</v>
      </c>
      <c r="J84" s="272" t="s">
        <v>444</v>
      </c>
      <c r="K84" s="273">
        <v>0.88000000000000012</v>
      </c>
      <c r="L84" s="274">
        <v>0.88</v>
      </c>
      <c r="M84" s="272" t="s">
        <v>444</v>
      </c>
      <c r="N84" s="272" t="s">
        <v>444</v>
      </c>
      <c r="O84" s="273">
        <v>0.88000000000000012</v>
      </c>
      <c r="P84" s="274">
        <v>0.88</v>
      </c>
      <c r="Q84" s="275" t="s">
        <v>444</v>
      </c>
      <c r="R84" s="276" t="s">
        <v>444</v>
      </c>
      <c r="S84" s="187">
        <v>1</v>
      </c>
      <c r="T84" s="187">
        <v>1</v>
      </c>
      <c r="U84" s="187" t="s">
        <v>478</v>
      </c>
      <c r="V84" s="187">
        <v>1</v>
      </c>
      <c r="W84" s="187">
        <v>1</v>
      </c>
      <c r="X84" s="187">
        <v>1</v>
      </c>
      <c r="Y84" s="187">
        <v>1</v>
      </c>
    </row>
    <row r="85" spans="1:25" x14ac:dyDescent="0.25">
      <c r="A85" t="s">
        <v>794</v>
      </c>
      <c r="B85" t="s">
        <v>795</v>
      </c>
      <c r="C85" s="187"/>
      <c r="D85" s="187" t="s">
        <v>657</v>
      </c>
      <c r="E85" s="272" t="s">
        <v>444</v>
      </c>
      <c r="F85" s="272" t="s">
        <v>444</v>
      </c>
      <c r="G85" s="273">
        <v>0.1</v>
      </c>
      <c r="H85" s="274">
        <v>0.1</v>
      </c>
      <c r="I85" s="272" t="s">
        <v>444</v>
      </c>
      <c r="J85" s="272" t="s">
        <v>444</v>
      </c>
      <c r="K85" s="273">
        <v>0.44000000000000006</v>
      </c>
      <c r="L85" s="274">
        <v>0.44</v>
      </c>
      <c r="M85" s="272" t="s">
        <v>444</v>
      </c>
      <c r="N85" s="272" t="s">
        <v>444</v>
      </c>
      <c r="O85" s="273">
        <v>0.44000000000000006</v>
      </c>
      <c r="P85" s="274">
        <v>0.44</v>
      </c>
      <c r="Q85" s="275" t="s">
        <v>444</v>
      </c>
      <c r="R85" s="276" t="s">
        <v>444</v>
      </c>
      <c r="S85" s="187">
        <v>1</v>
      </c>
      <c r="T85" s="187">
        <v>1</v>
      </c>
      <c r="U85" s="187" t="s">
        <v>478</v>
      </c>
      <c r="V85" s="187">
        <v>1</v>
      </c>
      <c r="W85" s="187">
        <v>1</v>
      </c>
      <c r="X85" s="187">
        <v>1</v>
      </c>
      <c r="Y85" s="187">
        <v>1</v>
      </c>
    </row>
    <row r="86" spans="1:25" x14ac:dyDescent="0.25">
      <c r="A86" t="s">
        <v>796</v>
      </c>
      <c r="B86" t="s">
        <v>797</v>
      </c>
      <c r="C86" s="187"/>
      <c r="D86" s="187" t="s">
        <v>664</v>
      </c>
      <c r="E86" s="272" t="s">
        <v>444</v>
      </c>
      <c r="F86" s="272" t="s">
        <v>444</v>
      </c>
      <c r="G86" s="273">
        <v>0.3</v>
      </c>
      <c r="H86" s="274">
        <v>0.3</v>
      </c>
      <c r="I86" s="272" t="s">
        <v>444</v>
      </c>
      <c r="J86" s="272" t="s">
        <v>444</v>
      </c>
      <c r="K86" s="273">
        <v>1.32</v>
      </c>
      <c r="L86" s="274">
        <v>1.3</v>
      </c>
      <c r="M86" s="272" t="s">
        <v>444</v>
      </c>
      <c r="N86" s="272" t="s">
        <v>444</v>
      </c>
      <c r="O86" s="273">
        <v>1.32</v>
      </c>
      <c r="P86" s="274">
        <v>1.3</v>
      </c>
      <c r="Q86" s="275" t="s">
        <v>444</v>
      </c>
      <c r="R86" s="276" t="s">
        <v>444</v>
      </c>
      <c r="S86" s="187">
        <v>1</v>
      </c>
      <c r="T86" s="187">
        <v>1</v>
      </c>
      <c r="U86" s="187" t="s">
        <v>478</v>
      </c>
      <c r="V86" s="187">
        <v>1</v>
      </c>
      <c r="W86" s="187">
        <v>1</v>
      </c>
      <c r="X86" s="187">
        <v>1</v>
      </c>
      <c r="Y86" s="187">
        <v>1</v>
      </c>
    </row>
    <row r="87" spans="1:25" x14ac:dyDescent="0.25">
      <c r="A87" t="s">
        <v>798</v>
      </c>
      <c r="B87" t="s">
        <v>799</v>
      </c>
      <c r="C87" s="187"/>
      <c r="D87" s="187" t="s">
        <v>664</v>
      </c>
      <c r="E87" s="272" t="s">
        <v>444</v>
      </c>
      <c r="F87" s="272" t="s">
        <v>444</v>
      </c>
      <c r="G87" s="273">
        <v>40000</v>
      </c>
      <c r="H87" s="274">
        <v>40000</v>
      </c>
      <c r="I87" s="272" t="s">
        <v>444</v>
      </c>
      <c r="J87" s="272" t="s">
        <v>444</v>
      </c>
      <c r="K87" s="273">
        <v>176000</v>
      </c>
      <c r="L87" s="274">
        <v>180000</v>
      </c>
      <c r="M87" s="272" t="s">
        <v>444</v>
      </c>
      <c r="N87" s="272" t="s">
        <v>444</v>
      </c>
      <c r="O87" s="273">
        <v>176000</v>
      </c>
      <c r="P87" s="274">
        <v>180000</v>
      </c>
      <c r="Q87" s="275" t="s">
        <v>444</v>
      </c>
      <c r="R87" s="276" t="s">
        <v>444</v>
      </c>
      <c r="S87" s="187">
        <v>1</v>
      </c>
      <c r="T87" s="187">
        <v>1</v>
      </c>
      <c r="U87" s="187" t="s">
        <v>478</v>
      </c>
      <c r="V87" s="187">
        <v>1</v>
      </c>
      <c r="W87" s="187">
        <v>1</v>
      </c>
      <c r="X87" s="187">
        <v>1</v>
      </c>
      <c r="Y87" s="187">
        <v>1</v>
      </c>
    </row>
    <row r="88" spans="1:25" x14ac:dyDescent="0.25">
      <c r="A88" t="s">
        <v>800</v>
      </c>
      <c r="B88" t="s">
        <v>801</v>
      </c>
      <c r="C88" s="187"/>
      <c r="D88" s="187" t="s">
        <v>444</v>
      </c>
      <c r="E88" s="272">
        <v>7.6923076923076923E-4</v>
      </c>
      <c r="F88" s="272">
        <v>7.6999999999999996E-4</v>
      </c>
      <c r="G88" s="273" t="s">
        <v>444</v>
      </c>
      <c r="H88" s="274" t="s">
        <v>444</v>
      </c>
      <c r="I88" s="272">
        <v>0.02</v>
      </c>
      <c r="J88" s="272">
        <v>0.02</v>
      </c>
      <c r="K88" s="273" t="s">
        <v>444</v>
      </c>
      <c r="L88" s="274" t="s">
        <v>444</v>
      </c>
      <c r="M88" s="272">
        <v>9.2307692307692299E-3</v>
      </c>
      <c r="N88" s="272">
        <v>9.1999999999999998E-3</v>
      </c>
      <c r="O88" s="273" t="s">
        <v>444</v>
      </c>
      <c r="P88" s="274" t="s">
        <v>444</v>
      </c>
      <c r="Q88" s="275" t="s">
        <v>444</v>
      </c>
      <c r="R88" s="276" t="s">
        <v>444</v>
      </c>
      <c r="S88" s="187">
        <v>1</v>
      </c>
      <c r="T88" s="187">
        <v>1</v>
      </c>
      <c r="U88" s="187" t="s">
        <v>478</v>
      </c>
      <c r="V88" s="187">
        <v>1</v>
      </c>
      <c r="W88" s="187">
        <v>1</v>
      </c>
      <c r="X88" s="187">
        <v>1</v>
      </c>
      <c r="Y88" s="187">
        <v>1</v>
      </c>
    </row>
    <row r="89" spans="1:25" x14ac:dyDescent="0.25">
      <c r="A89" t="s">
        <v>802</v>
      </c>
      <c r="B89" t="s">
        <v>803</v>
      </c>
      <c r="C89" s="187"/>
      <c r="D89" s="187" t="s">
        <v>657</v>
      </c>
      <c r="E89" s="272" t="s">
        <v>444</v>
      </c>
      <c r="F89" s="272" t="s">
        <v>444</v>
      </c>
      <c r="G89" s="273">
        <v>80</v>
      </c>
      <c r="H89" s="274">
        <v>80</v>
      </c>
      <c r="I89" s="272" t="s">
        <v>444</v>
      </c>
      <c r="J89" s="272" t="s">
        <v>444</v>
      </c>
      <c r="K89" s="273">
        <v>352</v>
      </c>
      <c r="L89" s="274">
        <v>350</v>
      </c>
      <c r="M89" s="272" t="s">
        <v>444</v>
      </c>
      <c r="N89" s="272" t="s">
        <v>444</v>
      </c>
      <c r="O89" s="273">
        <v>352</v>
      </c>
      <c r="P89" s="274">
        <v>350</v>
      </c>
      <c r="Q89" s="275" t="s">
        <v>444</v>
      </c>
      <c r="R89" s="276" t="s">
        <v>444</v>
      </c>
      <c r="S89" s="187">
        <v>1</v>
      </c>
      <c r="T89" s="187">
        <v>1</v>
      </c>
      <c r="U89" s="187" t="s">
        <v>478</v>
      </c>
      <c r="V89" s="187">
        <v>1</v>
      </c>
      <c r="W89" s="187">
        <v>1</v>
      </c>
      <c r="X89" s="187">
        <v>1</v>
      </c>
      <c r="Y89" s="187">
        <v>1</v>
      </c>
    </row>
    <row r="90" spans="1:25" x14ac:dyDescent="0.25">
      <c r="A90" t="s">
        <v>804</v>
      </c>
      <c r="B90" t="s">
        <v>805</v>
      </c>
      <c r="C90" s="187"/>
      <c r="D90" s="187" t="s">
        <v>657</v>
      </c>
      <c r="E90" s="272" t="s">
        <v>444</v>
      </c>
      <c r="F90" s="272" t="s">
        <v>444</v>
      </c>
      <c r="G90" s="273" t="s">
        <v>444</v>
      </c>
      <c r="H90" s="274" t="s">
        <v>444</v>
      </c>
      <c r="I90" s="272" t="s">
        <v>444</v>
      </c>
      <c r="J90" s="272" t="s">
        <v>444</v>
      </c>
      <c r="K90" s="273" t="s">
        <v>444</v>
      </c>
      <c r="L90" s="274" t="s">
        <v>444</v>
      </c>
      <c r="M90" s="272" t="s">
        <v>444</v>
      </c>
      <c r="N90" s="272" t="s">
        <v>444</v>
      </c>
      <c r="O90" s="273" t="s">
        <v>444</v>
      </c>
      <c r="P90" s="274" t="s">
        <v>444</v>
      </c>
      <c r="Q90" s="275">
        <v>0.49</v>
      </c>
      <c r="R90" s="276">
        <v>0.49</v>
      </c>
      <c r="S90" s="187">
        <v>1</v>
      </c>
      <c r="T90" s="187">
        <v>1</v>
      </c>
      <c r="U90" s="187" t="s">
        <v>478</v>
      </c>
      <c r="V90" s="187">
        <v>1</v>
      </c>
      <c r="W90" s="187">
        <v>1</v>
      </c>
      <c r="X90" s="187">
        <v>1</v>
      </c>
      <c r="Y90" s="187">
        <v>1</v>
      </c>
    </row>
    <row r="91" spans="1:25" x14ac:dyDescent="0.25">
      <c r="A91" t="s">
        <v>806</v>
      </c>
      <c r="B91" t="s">
        <v>807</v>
      </c>
      <c r="C91" s="187"/>
      <c r="D91" s="187" t="s">
        <v>444</v>
      </c>
      <c r="E91" s="272">
        <v>1.1235955056179775E-2</v>
      </c>
      <c r="F91" s="272">
        <v>1.0999999999999999E-2</v>
      </c>
      <c r="G91" s="273" t="s">
        <v>444</v>
      </c>
      <c r="H91" s="274" t="s">
        <v>444</v>
      </c>
      <c r="I91" s="272">
        <v>0.29213483146067415</v>
      </c>
      <c r="J91" s="272">
        <v>0.28999999999999998</v>
      </c>
      <c r="K91" s="273" t="s">
        <v>444</v>
      </c>
      <c r="L91" s="274" t="s">
        <v>444</v>
      </c>
      <c r="M91" s="272">
        <v>0.1348314606741573</v>
      </c>
      <c r="N91" s="272">
        <v>0.13</v>
      </c>
      <c r="O91" s="273" t="s">
        <v>444</v>
      </c>
      <c r="P91" s="274" t="s">
        <v>444</v>
      </c>
      <c r="Q91" s="275" t="s">
        <v>444</v>
      </c>
      <c r="R91" s="276" t="s">
        <v>444</v>
      </c>
      <c r="S91" s="187">
        <v>1</v>
      </c>
      <c r="T91" s="187">
        <v>1</v>
      </c>
      <c r="U91" s="187" t="s">
        <v>478</v>
      </c>
      <c r="V91" s="187">
        <v>1</v>
      </c>
      <c r="W91" s="187">
        <v>1</v>
      </c>
      <c r="X91" s="187">
        <v>1</v>
      </c>
      <c r="Y91" s="187">
        <v>1</v>
      </c>
    </row>
    <row r="92" spans="1:25" x14ac:dyDescent="0.25">
      <c r="A92" t="s">
        <v>808</v>
      </c>
      <c r="B92" t="s">
        <v>809</v>
      </c>
      <c r="C92" s="187"/>
      <c r="D92" s="187" t="s">
        <v>657</v>
      </c>
      <c r="E92" s="272">
        <v>0.19999999999999998</v>
      </c>
      <c r="F92" s="272">
        <v>0.2</v>
      </c>
      <c r="G92" s="273">
        <v>30</v>
      </c>
      <c r="H92" s="274">
        <v>30</v>
      </c>
      <c r="I92" s="272">
        <v>5.1999999999999993</v>
      </c>
      <c r="J92" s="272">
        <v>5.2</v>
      </c>
      <c r="K92" s="273">
        <v>132</v>
      </c>
      <c r="L92" s="274">
        <v>130</v>
      </c>
      <c r="M92" s="272">
        <v>2.4</v>
      </c>
      <c r="N92" s="272">
        <v>2.4</v>
      </c>
      <c r="O92" s="273">
        <v>132</v>
      </c>
      <c r="P92" s="274">
        <v>130</v>
      </c>
      <c r="Q92" s="275">
        <v>7200</v>
      </c>
      <c r="R92" s="276">
        <v>7200</v>
      </c>
      <c r="S92" s="187">
        <v>1</v>
      </c>
      <c r="T92" s="187">
        <v>1</v>
      </c>
      <c r="U92" s="187" t="s">
        <v>478</v>
      </c>
      <c r="V92" s="187">
        <v>1</v>
      </c>
      <c r="W92" s="187">
        <v>1</v>
      </c>
      <c r="X92" s="187">
        <v>1</v>
      </c>
      <c r="Y92" s="187">
        <v>1</v>
      </c>
    </row>
    <row r="93" spans="1:25" x14ac:dyDescent="0.25">
      <c r="A93" t="s">
        <v>810</v>
      </c>
      <c r="B93" t="s">
        <v>811</v>
      </c>
      <c r="C93" s="187"/>
      <c r="D93" s="187" t="s">
        <v>444</v>
      </c>
      <c r="E93" s="272">
        <v>4.5454545454545452E-3</v>
      </c>
      <c r="F93" s="272">
        <v>4.4999999999999997E-3</v>
      </c>
      <c r="G93" s="273" t="s">
        <v>444</v>
      </c>
      <c r="H93" s="274" t="s">
        <v>444</v>
      </c>
      <c r="I93" s="272">
        <v>0.11818181818181818</v>
      </c>
      <c r="J93" s="272">
        <v>0.12</v>
      </c>
      <c r="K93" s="273" t="s">
        <v>444</v>
      </c>
      <c r="L93" s="274" t="s">
        <v>444</v>
      </c>
      <c r="M93" s="272">
        <v>5.4545454545454543E-2</v>
      </c>
      <c r="N93" s="272">
        <v>5.5E-2</v>
      </c>
      <c r="O93" s="273" t="s">
        <v>444</v>
      </c>
      <c r="P93" s="274" t="s">
        <v>444</v>
      </c>
      <c r="Q93" s="275" t="s">
        <v>444</v>
      </c>
      <c r="R93" s="276" t="s">
        <v>444</v>
      </c>
      <c r="S93" s="187">
        <v>1</v>
      </c>
      <c r="T93" s="187">
        <v>1</v>
      </c>
      <c r="U93" s="187" t="s">
        <v>478</v>
      </c>
      <c r="V93" s="187">
        <v>1</v>
      </c>
      <c r="W93" s="187">
        <v>1</v>
      </c>
      <c r="X93" s="187">
        <v>1</v>
      </c>
      <c r="Y93" s="187">
        <v>1</v>
      </c>
    </row>
    <row r="94" spans="1:25" x14ac:dyDescent="0.25">
      <c r="A94" t="s">
        <v>812</v>
      </c>
      <c r="B94" t="s">
        <v>813</v>
      </c>
      <c r="C94" s="187"/>
      <c r="D94" s="187" t="s">
        <v>444</v>
      </c>
      <c r="E94" s="272">
        <v>7.1428571428571419E-6</v>
      </c>
      <c r="F94" s="272">
        <v>7.0999999999999998E-6</v>
      </c>
      <c r="G94" s="273" t="s">
        <v>444</v>
      </c>
      <c r="H94" s="274" t="s">
        <v>444</v>
      </c>
      <c r="I94" s="272">
        <v>1.8571428571428569E-4</v>
      </c>
      <c r="J94" s="272">
        <v>1.9000000000000001E-4</v>
      </c>
      <c r="K94" s="273" t="s">
        <v>444</v>
      </c>
      <c r="L94" s="274" t="s">
        <v>444</v>
      </c>
      <c r="M94" s="272">
        <v>8.5714285714285699E-5</v>
      </c>
      <c r="N94" s="272">
        <v>8.6000000000000003E-5</v>
      </c>
      <c r="O94" s="273" t="s">
        <v>444</v>
      </c>
      <c r="P94" s="274" t="s">
        <v>444</v>
      </c>
      <c r="Q94" s="275" t="s">
        <v>444</v>
      </c>
      <c r="R94" s="276" t="s">
        <v>444</v>
      </c>
      <c r="S94" s="187">
        <v>1</v>
      </c>
      <c r="T94" s="187">
        <v>1</v>
      </c>
      <c r="U94" s="187" t="s">
        <v>478</v>
      </c>
      <c r="V94" s="187">
        <v>1</v>
      </c>
      <c r="W94" s="187">
        <v>1</v>
      </c>
      <c r="X94" s="187">
        <v>1</v>
      </c>
      <c r="Y94" s="187">
        <v>1</v>
      </c>
    </row>
    <row r="95" spans="1:25" x14ac:dyDescent="0.25">
      <c r="A95" t="s">
        <v>814</v>
      </c>
      <c r="B95" t="s">
        <v>815</v>
      </c>
      <c r="C95" s="187"/>
      <c r="D95" s="187" t="s">
        <v>444</v>
      </c>
      <c r="E95" s="272">
        <v>7.1428571428571419E-6</v>
      </c>
      <c r="F95" s="272">
        <v>7.0999999999999998E-6</v>
      </c>
      <c r="G95" s="273" t="s">
        <v>444</v>
      </c>
      <c r="H95" s="274" t="s">
        <v>444</v>
      </c>
      <c r="I95" s="272">
        <v>1.8571428571428569E-4</v>
      </c>
      <c r="J95" s="272">
        <v>1.9000000000000001E-4</v>
      </c>
      <c r="K95" s="273" t="s">
        <v>444</v>
      </c>
      <c r="L95" s="274" t="s">
        <v>444</v>
      </c>
      <c r="M95" s="272">
        <v>8.5714285714285699E-5</v>
      </c>
      <c r="N95" s="272">
        <v>8.6000000000000003E-5</v>
      </c>
      <c r="O95" s="273" t="s">
        <v>444</v>
      </c>
      <c r="P95" s="274" t="s">
        <v>444</v>
      </c>
      <c r="Q95" s="275" t="s">
        <v>444</v>
      </c>
      <c r="R95" s="276" t="s">
        <v>444</v>
      </c>
      <c r="S95" s="187">
        <v>1</v>
      </c>
      <c r="T95" s="187">
        <v>1</v>
      </c>
      <c r="U95" s="187" t="s">
        <v>478</v>
      </c>
      <c r="V95" s="187">
        <v>1</v>
      </c>
      <c r="W95" s="187">
        <v>1</v>
      </c>
      <c r="X95" s="187">
        <v>1</v>
      </c>
      <c r="Y95" s="187">
        <v>1</v>
      </c>
    </row>
    <row r="96" spans="1:25" x14ac:dyDescent="0.25">
      <c r="A96" t="s">
        <v>816</v>
      </c>
      <c r="B96" t="s">
        <v>817</v>
      </c>
      <c r="C96" s="187"/>
      <c r="D96" s="187" t="s">
        <v>444</v>
      </c>
      <c r="E96" s="272">
        <v>7.1428571428571419E-6</v>
      </c>
      <c r="F96" s="272">
        <v>7.0999999999999998E-6</v>
      </c>
      <c r="G96" s="273" t="s">
        <v>444</v>
      </c>
      <c r="H96" s="274" t="s">
        <v>444</v>
      </c>
      <c r="I96" s="272">
        <v>1.8571428571428569E-4</v>
      </c>
      <c r="J96" s="272">
        <v>1.9000000000000001E-4</v>
      </c>
      <c r="K96" s="273" t="s">
        <v>444</v>
      </c>
      <c r="L96" s="274" t="s">
        <v>444</v>
      </c>
      <c r="M96" s="272">
        <v>8.5714285714285699E-5</v>
      </c>
      <c r="N96" s="272">
        <v>8.6000000000000003E-5</v>
      </c>
      <c r="O96" s="273" t="s">
        <v>444</v>
      </c>
      <c r="P96" s="274" t="s">
        <v>444</v>
      </c>
      <c r="Q96" s="275" t="s">
        <v>444</v>
      </c>
      <c r="R96" s="276" t="s">
        <v>444</v>
      </c>
      <c r="S96" s="187">
        <v>1</v>
      </c>
      <c r="T96" s="187">
        <v>1</v>
      </c>
      <c r="U96" s="187" t="s">
        <v>478</v>
      </c>
      <c r="V96" s="187">
        <v>1</v>
      </c>
      <c r="W96" s="187">
        <v>1</v>
      </c>
      <c r="X96" s="187">
        <v>1</v>
      </c>
      <c r="Y96" s="187">
        <v>1</v>
      </c>
    </row>
    <row r="97" spans="1:25" x14ac:dyDescent="0.25">
      <c r="A97" t="s">
        <v>818</v>
      </c>
      <c r="B97" t="s">
        <v>819</v>
      </c>
      <c r="C97" s="187"/>
      <c r="D97" s="187" t="s">
        <v>657</v>
      </c>
      <c r="E97" s="272" t="s">
        <v>444</v>
      </c>
      <c r="F97" s="272" t="s">
        <v>444</v>
      </c>
      <c r="G97" s="273" t="s">
        <v>444</v>
      </c>
      <c r="H97" s="274" t="s">
        <v>444</v>
      </c>
      <c r="I97" s="272" t="s">
        <v>444</v>
      </c>
      <c r="J97" s="272" t="s">
        <v>444</v>
      </c>
      <c r="K97" s="273" t="s">
        <v>444</v>
      </c>
      <c r="L97" s="274" t="s">
        <v>444</v>
      </c>
      <c r="M97" s="272" t="s">
        <v>444</v>
      </c>
      <c r="N97" s="272" t="s">
        <v>444</v>
      </c>
      <c r="O97" s="273" t="s">
        <v>444</v>
      </c>
      <c r="P97" s="274" t="s">
        <v>444</v>
      </c>
      <c r="Q97" s="275">
        <v>6</v>
      </c>
      <c r="R97" s="276">
        <v>6</v>
      </c>
      <c r="S97" s="187">
        <v>1</v>
      </c>
      <c r="T97" s="187">
        <v>1</v>
      </c>
      <c r="U97" s="187" t="s">
        <v>478</v>
      </c>
      <c r="V97" s="187">
        <v>1</v>
      </c>
      <c r="W97" s="187">
        <v>1</v>
      </c>
      <c r="X97" s="187">
        <v>1</v>
      </c>
      <c r="Y97" s="187">
        <v>1</v>
      </c>
    </row>
    <row r="98" spans="1:25" x14ac:dyDescent="0.25">
      <c r="A98" t="s">
        <v>820</v>
      </c>
      <c r="B98" t="s">
        <v>821</v>
      </c>
      <c r="C98" s="187"/>
      <c r="D98" s="187" t="s">
        <v>657</v>
      </c>
      <c r="E98" s="272">
        <v>4.3478260869565216E-2</v>
      </c>
      <c r="F98" s="272">
        <v>4.2999999999999997E-2</v>
      </c>
      <c r="G98" s="273">
        <v>3</v>
      </c>
      <c r="H98" s="274">
        <v>3</v>
      </c>
      <c r="I98" s="272">
        <v>1.1304347826086956</v>
      </c>
      <c r="J98" s="272">
        <v>1.1000000000000001</v>
      </c>
      <c r="K98" s="273">
        <v>13.200000000000001</v>
      </c>
      <c r="L98" s="274">
        <v>13</v>
      </c>
      <c r="M98" s="272">
        <v>0.52173913043478259</v>
      </c>
      <c r="N98" s="272">
        <v>0.52</v>
      </c>
      <c r="O98" s="273">
        <v>13.200000000000001</v>
      </c>
      <c r="P98" s="274">
        <v>13</v>
      </c>
      <c r="Q98" s="275">
        <v>1300</v>
      </c>
      <c r="R98" s="276">
        <v>1300</v>
      </c>
      <c r="S98" s="187">
        <v>1</v>
      </c>
      <c r="T98" s="187">
        <v>1</v>
      </c>
      <c r="U98" s="187" t="s">
        <v>478</v>
      </c>
      <c r="V98" s="187">
        <v>1</v>
      </c>
      <c r="W98" s="187">
        <v>1</v>
      </c>
      <c r="X98" s="187">
        <v>1</v>
      </c>
      <c r="Y98" s="187">
        <v>1</v>
      </c>
    </row>
    <row r="99" spans="1:25" x14ac:dyDescent="0.25">
      <c r="A99" t="s">
        <v>822</v>
      </c>
      <c r="B99" t="s">
        <v>823</v>
      </c>
      <c r="C99" s="187"/>
      <c r="D99" s="187" t="s">
        <v>664</v>
      </c>
      <c r="E99" s="272" t="s">
        <v>444</v>
      </c>
      <c r="F99" s="272" t="s">
        <v>444</v>
      </c>
      <c r="G99" s="273">
        <v>20</v>
      </c>
      <c r="H99" s="274">
        <v>20</v>
      </c>
      <c r="I99" s="272" t="s">
        <v>444</v>
      </c>
      <c r="J99" s="272" t="s">
        <v>444</v>
      </c>
      <c r="K99" s="273">
        <v>88</v>
      </c>
      <c r="L99" s="274">
        <v>88</v>
      </c>
      <c r="M99" s="272" t="s">
        <v>444</v>
      </c>
      <c r="N99" s="272" t="s">
        <v>444</v>
      </c>
      <c r="O99" s="273">
        <v>88</v>
      </c>
      <c r="P99" s="274">
        <v>88</v>
      </c>
      <c r="Q99" s="275" t="s">
        <v>444</v>
      </c>
      <c r="R99" s="276" t="s">
        <v>444</v>
      </c>
      <c r="S99" s="187">
        <v>1</v>
      </c>
      <c r="T99" s="187">
        <v>1</v>
      </c>
      <c r="U99" s="187" t="s">
        <v>478</v>
      </c>
      <c r="V99" s="187">
        <v>1</v>
      </c>
      <c r="W99" s="187">
        <v>1</v>
      </c>
      <c r="X99" s="187">
        <v>1</v>
      </c>
      <c r="Y99" s="187">
        <v>1</v>
      </c>
    </row>
    <row r="100" spans="1:25" x14ac:dyDescent="0.25">
      <c r="A100" t="s">
        <v>824</v>
      </c>
      <c r="B100" t="s">
        <v>825</v>
      </c>
      <c r="C100" s="187"/>
      <c r="D100" s="187" t="s">
        <v>657</v>
      </c>
      <c r="E100" s="272" t="s">
        <v>444</v>
      </c>
      <c r="F100" s="272" t="s">
        <v>444</v>
      </c>
      <c r="G100" s="273">
        <v>8</v>
      </c>
      <c r="H100" s="274">
        <v>8</v>
      </c>
      <c r="I100" s="272" t="s">
        <v>444</v>
      </c>
      <c r="J100" s="272" t="s">
        <v>444</v>
      </c>
      <c r="K100" s="273">
        <v>35.200000000000003</v>
      </c>
      <c r="L100" s="274">
        <v>35</v>
      </c>
      <c r="M100" s="272" t="s">
        <v>444</v>
      </c>
      <c r="N100" s="272" t="s">
        <v>444</v>
      </c>
      <c r="O100" s="273">
        <v>35.200000000000003</v>
      </c>
      <c r="P100" s="274">
        <v>35</v>
      </c>
      <c r="Q100" s="275" t="s">
        <v>444</v>
      </c>
      <c r="R100" s="276" t="s">
        <v>444</v>
      </c>
      <c r="S100" s="187">
        <v>1</v>
      </c>
      <c r="T100" s="187">
        <v>1</v>
      </c>
      <c r="U100" s="187" t="s">
        <v>478</v>
      </c>
      <c r="V100" s="187">
        <v>1</v>
      </c>
      <c r="W100" s="187">
        <v>1</v>
      </c>
      <c r="X100" s="187">
        <v>1</v>
      </c>
      <c r="Y100" s="187">
        <v>1</v>
      </c>
    </row>
    <row r="101" spans="1:25" x14ac:dyDescent="0.25">
      <c r="A101" t="s">
        <v>54</v>
      </c>
      <c r="B101" t="s">
        <v>490</v>
      </c>
      <c r="C101" s="187"/>
      <c r="D101" s="187" t="s">
        <v>657</v>
      </c>
      <c r="E101" s="272">
        <v>0.39999999999999997</v>
      </c>
      <c r="F101" s="272">
        <v>0.4</v>
      </c>
      <c r="G101" s="273">
        <v>260</v>
      </c>
      <c r="H101" s="274">
        <v>260</v>
      </c>
      <c r="I101" s="272">
        <v>10.399999999999999</v>
      </c>
      <c r="J101" s="272">
        <v>10</v>
      </c>
      <c r="K101" s="273">
        <v>1144</v>
      </c>
      <c r="L101" s="274">
        <v>1100</v>
      </c>
      <c r="M101" s="272">
        <v>4.8</v>
      </c>
      <c r="N101" s="272">
        <v>4.8</v>
      </c>
      <c r="O101" s="273">
        <v>1144</v>
      </c>
      <c r="P101" s="274">
        <v>1100</v>
      </c>
      <c r="Q101" s="275">
        <v>22000</v>
      </c>
      <c r="R101" s="276">
        <v>22000</v>
      </c>
      <c r="S101" s="187">
        <v>1</v>
      </c>
      <c r="T101" s="187">
        <v>1</v>
      </c>
      <c r="U101" s="187" t="s">
        <v>478</v>
      </c>
      <c r="V101" s="187">
        <v>1</v>
      </c>
      <c r="W101" s="187">
        <v>1</v>
      </c>
      <c r="X101" s="187">
        <v>1</v>
      </c>
      <c r="Y101" s="187">
        <v>1</v>
      </c>
    </row>
    <row r="102" spans="1:25" x14ac:dyDescent="0.25">
      <c r="A102" t="s">
        <v>826</v>
      </c>
      <c r="B102" t="s">
        <v>827</v>
      </c>
      <c r="C102" s="187"/>
      <c r="D102" s="187" t="s">
        <v>657</v>
      </c>
      <c r="E102" s="272">
        <v>1.6666666666666668E-3</v>
      </c>
      <c r="F102" s="272">
        <v>1.6999999999999999E-3</v>
      </c>
      <c r="G102" s="273">
        <v>9</v>
      </c>
      <c r="H102" s="274">
        <v>9</v>
      </c>
      <c r="I102" s="272">
        <v>4.3333333333333335E-2</v>
      </c>
      <c r="J102" s="272">
        <v>4.2999999999999997E-2</v>
      </c>
      <c r="K102" s="273">
        <v>39.6</v>
      </c>
      <c r="L102" s="274">
        <v>40</v>
      </c>
      <c r="M102" s="272">
        <v>0.02</v>
      </c>
      <c r="N102" s="272">
        <v>0.02</v>
      </c>
      <c r="O102" s="273">
        <v>39.6</v>
      </c>
      <c r="P102" s="274">
        <v>40</v>
      </c>
      <c r="Q102" s="275" t="s">
        <v>444</v>
      </c>
      <c r="R102" s="276" t="s">
        <v>444</v>
      </c>
      <c r="S102" s="187">
        <v>1</v>
      </c>
      <c r="T102" s="187">
        <v>1</v>
      </c>
      <c r="U102" s="187" t="s">
        <v>478</v>
      </c>
      <c r="V102" s="187">
        <v>1</v>
      </c>
      <c r="W102" s="187">
        <v>1</v>
      </c>
      <c r="X102" s="187">
        <v>1</v>
      </c>
      <c r="Y102" s="187">
        <v>1</v>
      </c>
    </row>
    <row r="103" spans="1:25" x14ac:dyDescent="0.25">
      <c r="A103" t="s">
        <v>828</v>
      </c>
      <c r="B103" t="s">
        <v>829</v>
      </c>
      <c r="C103" s="187"/>
      <c r="D103" s="187" t="s">
        <v>657</v>
      </c>
      <c r="E103" s="272">
        <v>3.8461538461538464E-2</v>
      </c>
      <c r="F103" s="272">
        <v>3.7999999999999999E-2</v>
      </c>
      <c r="G103" s="273">
        <v>7</v>
      </c>
      <c r="H103" s="274">
        <v>7</v>
      </c>
      <c r="I103" s="272">
        <v>1</v>
      </c>
      <c r="J103" s="272">
        <v>1</v>
      </c>
      <c r="K103" s="273">
        <v>30.800000000000004</v>
      </c>
      <c r="L103" s="274">
        <v>31</v>
      </c>
      <c r="M103" s="272">
        <v>0.46153846153846156</v>
      </c>
      <c r="N103" s="272">
        <v>0.46</v>
      </c>
      <c r="O103" s="273">
        <v>30.800000000000004</v>
      </c>
      <c r="P103" s="274">
        <v>31</v>
      </c>
      <c r="Q103" s="275" t="s">
        <v>444</v>
      </c>
      <c r="R103" s="276" t="s">
        <v>444</v>
      </c>
      <c r="S103" s="187">
        <v>1</v>
      </c>
      <c r="T103" s="187">
        <v>1</v>
      </c>
      <c r="U103" s="187" t="s">
        <v>478</v>
      </c>
      <c r="V103" s="187">
        <v>1</v>
      </c>
      <c r="W103" s="187">
        <v>1</v>
      </c>
      <c r="X103" s="187">
        <v>1</v>
      </c>
      <c r="Y103" s="187">
        <v>1</v>
      </c>
    </row>
    <row r="104" spans="1:25" x14ac:dyDescent="0.25">
      <c r="A104" t="s">
        <v>830</v>
      </c>
      <c r="B104" t="s">
        <v>831</v>
      </c>
      <c r="C104" s="187"/>
      <c r="D104" s="187" t="s">
        <v>657</v>
      </c>
      <c r="E104" s="272" t="s">
        <v>444</v>
      </c>
      <c r="F104" s="272" t="s">
        <v>444</v>
      </c>
      <c r="G104" s="273">
        <v>400</v>
      </c>
      <c r="H104" s="274">
        <v>400</v>
      </c>
      <c r="I104" s="272" t="s">
        <v>444</v>
      </c>
      <c r="J104" s="272" t="s">
        <v>444</v>
      </c>
      <c r="K104" s="273">
        <v>1760.0000000000002</v>
      </c>
      <c r="L104" s="274">
        <v>1800</v>
      </c>
      <c r="M104" s="272" t="s">
        <v>444</v>
      </c>
      <c r="N104" s="272" t="s">
        <v>444</v>
      </c>
      <c r="O104" s="273">
        <v>1760.0000000000002</v>
      </c>
      <c r="P104" s="274">
        <v>1800</v>
      </c>
      <c r="Q104" s="275">
        <v>2000</v>
      </c>
      <c r="R104" s="276">
        <v>2000</v>
      </c>
      <c r="S104" s="187">
        <v>1</v>
      </c>
      <c r="T104" s="187">
        <v>1</v>
      </c>
      <c r="U104" s="187" t="s">
        <v>478</v>
      </c>
      <c r="V104" s="187">
        <v>1</v>
      </c>
      <c r="W104" s="187">
        <v>1</v>
      </c>
      <c r="X104" s="187">
        <v>1</v>
      </c>
      <c r="Y104" s="187">
        <v>1</v>
      </c>
    </row>
    <row r="105" spans="1:25" x14ac:dyDescent="0.25">
      <c r="A105" t="s">
        <v>832</v>
      </c>
      <c r="B105" t="s">
        <v>833</v>
      </c>
      <c r="C105" s="187"/>
      <c r="D105" s="187" t="s">
        <v>657</v>
      </c>
      <c r="E105" s="272" t="s">
        <v>444</v>
      </c>
      <c r="F105" s="272" t="s">
        <v>444</v>
      </c>
      <c r="G105" s="273">
        <v>82</v>
      </c>
      <c r="H105" s="274">
        <v>82</v>
      </c>
      <c r="I105" s="272" t="s">
        <v>444</v>
      </c>
      <c r="J105" s="272" t="s">
        <v>444</v>
      </c>
      <c r="K105" s="273">
        <v>360.8</v>
      </c>
      <c r="L105" s="274">
        <v>360</v>
      </c>
      <c r="M105" s="272" t="s">
        <v>444</v>
      </c>
      <c r="N105" s="272" t="s">
        <v>444</v>
      </c>
      <c r="O105" s="273">
        <v>360.8</v>
      </c>
      <c r="P105" s="274">
        <v>360</v>
      </c>
      <c r="Q105" s="275">
        <v>29000</v>
      </c>
      <c r="R105" s="276">
        <v>29000</v>
      </c>
      <c r="S105" s="187">
        <v>1</v>
      </c>
      <c r="T105" s="187">
        <v>1</v>
      </c>
      <c r="U105" s="187" t="s">
        <v>478</v>
      </c>
      <c r="V105" s="187">
        <v>1</v>
      </c>
      <c r="W105" s="187">
        <v>1</v>
      </c>
      <c r="X105" s="187">
        <v>1</v>
      </c>
      <c r="Y105" s="187">
        <v>1</v>
      </c>
    </row>
    <row r="106" spans="1:25" x14ac:dyDescent="0.25">
      <c r="A106" t="s">
        <v>834</v>
      </c>
      <c r="B106" t="s">
        <v>835</v>
      </c>
      <c r="C106" s="187"/>
      <c r="D106" s="187" t="s">
        <v>657</v>
      </c>
      <c r="E106" s="272" t="s">
        <v>444</v>
      </c>
      <c r="F106" s="272" t="s">
        <v>444</v>
      </c>
      <c r="G106" s="273">
        <v>70</v>
      </c>
      <c r="H106" s="274">
        <v>70</v>
      </c>
      <c r="I106" s="272" t="s">
        <v>444</v>
      </c>
      <c r="J106" s="272" t="s">
        <v>444</v>
      </c>
      <c r="K106" s="273">
        <v>308</v>
      </c>
      <c r="L106" s="274">
        <v>310</v>
      </c>
      <c r="M106" s="272" t="s">
        <v>444</v>
      </c>
      <c r="N106" s="272" t="s">
        <v>444</v>
      </c>
      <c r="O106" s="273">
        <v>308</v>
      </c>
      <c r="P106" s="274">
        <v>310</v>
      </c>
      <c r="Q106" s="275">
        <v>370</v>
      </c>
      <c r="R106" s="276">
        <v>370</v>
      </c>
      <c r="S106" s="187">
        <v>1</v>
      </c>
      <c r="T106" s="187">
        <v>1</v>
      </c>
      <c r="U106" s="187" t="s">
        <v>478</v>
      </c>
      <c r="V106" s="187">
        <v>1</v>
      </c>
      <c r="W106" s="187">
        <v>1</v>
      </c>
      <c r="X106" s="187">
        <v>1</v>
      </c>
      <c r="Y106" s="187">
        <v>1</v>
      </c>
    </row>
    <row r="107" spans="1:25" x14ac:dyDescent="0.25">
      <c r="A107" t="s">
        <v>836</v>
      </c>
      <c r="B107" t="s">
        <v>837</v>
      </c>
      <c r="C107" s="187"/>
      <c r="D107" s="187" t="s">
        <v>657</v>
      </c>
      <c r="E107" s="272" t="s">
        <v>444</v>
      </c>
      <c r="F107" s="272" t="s">
        <v>444</v>
      </c>
      <c r="G107" s="273">
        <v>60</v>
      </c>
      <c r="H107" s="274">
        <v>60</v>
      </c>
      <c r="I107" s="272" t="s">
        <v>444</v>
      </c>
      <c r="J107" s="272" t="s">
        <v>444</v>
      </c>
      <c r="K107" s="273">
        <v>264</v>
      </c>
      <c r="L107" s="274">
        <v>260</v>
      </c>
      <c r="M107" s="272" t="s">
        <v>444</v>
      </c>
      <c r="N107" s="272" t="s">
        <v>444</v>
      </c>
      <c r="O107" s="273">
        <v>264</v>
      </c>
      <c r="P107" s="274">
        <v>260</v>
      </c>
      <c r="Q107" s="275">
        <v>140</v>
      </c>
      <c r="R107" s="276">
        <v>140</v>
      </c>
      <c r="S107" s="187">
        <v>1</v>
      </c>
      <c r="T107" s="187">
        <v>1</v>
      </c>
      <c r="U107" s="187" t="s">
        <v>478</v>
      </c>
      <c r="V107" s="187">
        <v>1</v>
      </c>
      <c r="W107" s="187">
        <v>1</v>
      </c>
      <c r="X107" s="187">
        <v>1</v>
      </c>
      <c r="Y107" s="187">
        <v>1</v>
      </c>
    </row>
    <row r="108" spans="1:25" x14ac:dyDescent="0.25">
      <c r="A108" t="s">
        <v>838</v>
      </c>
      <c r="B108" t="s">
        <v>839</v>
      </c>
      <c r="C108" s="187"/>
      <c r="D108" s="187" t="s">
        <v>657</v>
      </c>
      <c r="E108" s="272" t="s">
        <v>444</v>
      </c>
      <c r="F108" s="272" t="s">
        <v>444</v>
      </c>
      <c r="G108" s="273">
        <v>60</v>
      </c>
      <c r="H108" s="274">
        <v>60</v>
      </c>
      <c r="I108" s="272" t="s">
        <v>444</v>
      </c>
      <c r="J108" s="272" t="s">
        <v>444</v>
      </c>
      <c r="K108" s="273">
        <v>264</v>
      </c>
      <c r="L108" s="274">
        <v>260</v>
      </c>
      <c r="M108" s="272" t="s">
        <v>444</v>
      </c>
      <c r="N108" s="272" t="s">
        <v>444</v>
      </c>
      <c r="O108" s="273">
        <v>264</v>
      </c>
      <c r="P108" s="274">
        <v>260</v>
      </c>
      <c r="Q108" s="275">
        <v>93</v>
      </c>
      <c r="R108" s="276">
        <v>93</v>
      </c>
      <c r="S108" s="187">
        <v>1</v>
      </c>
      <c r="T108" s="187">
        <v>1</v>
      </c>
      <c r="U108" s="187" t="s">
        <v>478</v>
      </c>
      <c r="V108" s="187">
        <v>1</v>
      </c>
      <c r="W108" s="187">
        <v>1</v>
      </c>
      <c r="X108" s="187">
        <v>1</v>
      </c>
      <c r="Y108" s="187">
        <v>1</v>
      </c>
    </row>
    <row r="109" spans="1:25" x14ac:dyDescent="0.25">
      <c r="A109" t="s">
        <v>840</v>
      </c>
      <c r="B109" t="s">
        <v>841</v>
      </c>
      <c r="C109" s="187"/>
      <c r="D109" s="187" t="s">
        <v>657</v>
      </c>
      <c r="E109" s="272" t="s">
        <v>444</v>
      </c>
      <c r="F109" s="272" t="s">
        <v>444</v>
      </c>
      <c r="G109" s="273">
        <v>1</v>
      </c>
      <c r="H109" s="274">
        <v>1</v>
      </c>
      <c r="I109" s="272" t="s">
        <v>444</v>
      </c>
      <c r="J109" s="272" t="s">
        <v>444</v>
      </c>
      <c r="K109" s="273">
        <v>4.4000000000000004</v>
      </c>
      <c r="L109" s="274">
        <v>4.4000000000000004</v>
      </c>
      <c r="M109" s="272" t="s">
        <v>444</v>
      </c>
      <c r="N109" s="272" t="s">
        <v>444</v>
      </c>
      <c r="O109" s="273">
        <v>4.4000000000000004</v>
      </c>
      <c r="P109" s="274">
        <v>4.4000000000000004</v>
      </c>
      <c r="Q109" s="275" t="s">
        <v>444</v>
      </c>
      <c r="R109" s="276" t="s">
        <v>444</v>
      </c>
      <c r="S109" s="187">
        <v>1</v>
      </c>
      <c r="T109" s="187">
        <v>1</v>
      </c>
      <c r="U109" s="187" t="s">
        <v>478</v>
      </c>
      <c r="V109" s="187">
        <v>1</v>
      </c>
      <c r="W109" s="187">
        <v>1</v>
      </c>
      <c r="X109" s="187">
        <v>1</v>
      </c>
      <c r="Y109" s="187">
        <v>1</v>
      </c>
    </row>
    <row r="110" spans="1:25" x14ac:dyDescent="0.25">
      <c r="A110" t="s">
        <v>842</v>
      </c>
      <c r="B110" t="s">
        <v>843</v>
      </c>
      <c r="C110" s="187" t="s">
        <v>667</v>
      </c>
      <c r="D110" s="187" t="s">
        <v>657</v>
      </c>
      <c r="E110" s="272">
        <v>1.9607843137254901E-4</v>
      </c>
      <c r="F110" s="272">
        <v>2.0000000000000001E-4</v>
      </c>
      <c r="G110" s="273">
        <v>30</v>
      </c>
      <c r="H110" s="274">
        <v>30</v>
      </c>
      <c r="I110" s="272">
        <v>2.0634920634920633E-3</v>
      </c>
      <c r="J110" s="272">
        <v>2.0999999999999999E-3</v>
      </c>
      <c r="K110" s="273">
        <v>132</v>
      </c>
      <c r="L110" s="274">
        <v>130</v>
      </c>
      <c r="M110" s="272">
        <v>4.0000000000000001E-3</v>
      </c>
      <c r="N110" s="272">
        <v>4.0000000000000001E-3</v>
      </c>
      <c r="O110" s="273">
        <v>132</v>
      </c>
      <c r="P110" s="274">
        <v>130</v>
      </c>
      <c r="Q110" s="275">
        <v>160</v>
      </c>
      <c r="R110" s="276">
        <v>160</v>
      </c>
      <c r="S110" s="187">
        <v>1</v>
      </c>
      <c r="T110" s="187">
        <v>1</v>
      </c>
      <c r="U110" s="187" t="s">
        <v>244</v>
      </c>
      <c r="V110" s="187">
        <v>1</v>
      </c>
      <c r="W110" s="187">
        <v>1</v>
      </c>
      <c r="X110" s="187">
        <v>1</v>
      </c>
      <c r="Y110" s="187">
        <v>1</v>
      </c>
    </row>
    <row r="111" spans="1:25" x14ac:dyDescent="0.25">
      <c r="A111" t="s">
        <v>844</v>
      </c>
      <c r="B111" t="s">
        <v>845</v>
      </c>
      <c r="C111" s="187"/>
      <c r="D111" s="187" t="s">
        <v>444</v>
      </c>
      <c r="E111" s="272">
        <v>7.6923076923076927E-2</v>
      </c>
      <c r="F111" s="272">
        <v>7.6999999999999999E-2</v>
      </c>
      <c r="G111" s="273" t="s">
        <v>444</v>
      </c>
      <c r="H111" s="274" t="s">
        <v>444</v>
      </c>
      <c r="I111" s="272">
        <v>2</v>
      </c>
      <c r="J111" s="272">
        <v>2</v>
      </c>
      <c r="K111" s="273" t="s">
        <v>444</v>
      </c>
      <c r="L111" s="274" t="s">
        <v>444</v>
      </c>
      <c r="M111" s="272">
        <v>0.92307692307692313</v>
      </c>
      <c r="N111" s="272">
        <v>0.92</v>
      </c>
      <c r="O111" s="273" t="s">
        <v>444</v>
      </c>
      <c r="P111" s="274" t="s">
        <v>444</v>
      </c>
      <c r="Q111" s="275" t="s">
        <v>444</v>
      </c>
      <c r="R111" s="276" t="s">
        <v>444</v>
      </c>
      <c r="S111" s="187">
        <v>1</v>
      </c>
      <c r="T111" s="187">
        <v>1</v>
      </c>
      <c r="U111" s="187" t="s">
        <v>478</v>
      </c>
      <c r="V111" s="187">
        <v>1</v>
      </c>
      <c r="W111" s="187">
        <v>1</v>
      </c>
      <c r="X111" s="187">
        <v>1</v>
      </c>
      <c r="Y111" s="187">
        <v>1</v>
      </c>
    </row>
    <row r="112" spans="1:25" x14ac:dyDescent="0.25">
      <c r="A112">
        <v>239</v>
      </c>
      <c r="B112" t="s">
        <v>846</v>
      </c>
      <c r="C112" s="187" t="s">
        <v>700</v>
      </c>
      <c r="D112" s="187" t="s">
        <v>657</v>
      </c>
      <c r="E112" s="272" t="s">
        <v>444</v>
      </c>
      <c r="F112" s="272" t="s">
        <v>444</v>
      </c>
      <c r="G112" s="273">
        <v>2.2807017543859649</v>
      </c>
      <c r="H112" s="274">
        <v>2.2999999999999998</v>
      </c>
      <c r="I112" s="272" t="s">
        <v>444</v>
      </c>
      <c r="J112" s="272" t="s">
        <v>444</v>
      </c>
      <c r="K112" s="273">
        <v>19.724137931034488</v>
      </c>
      <c r="L112" s="274">
        <v>20</v>
      </c>
      <c r="M112" s="272" t="s">
        <v>444</v>
      </c>
      <c r="N112" s="272" t="s">
        <v>444</v>
      </c>
      <c r="O112" s="273">
        <v>19.724137931034484</v>
      </c>
      <c r="P112" s="274">
        <v>20</v>
      </c>
      <c r="Q112" s="275">
        <v>240</v>
      </c>
      <c r="R112" s="276">
        <v>240</v>
      </c>
      <c r="S112" s="187">
        <v>1</v>
      </c>
      <c r="T112" s="187">
        <v>1</v>
      </c>
      <c r="U112" s="187" t="s">
        <v>478</v>
      </c>
      <c r="V112" s="187">
        <v>1</v>
      </c>
      <c r="W112" s="187">
        <v>1</v>
      </c>
      <c r="X112" s="187">
        <v>5.7</v>
      </c>
      <c r="Y112" s="187">
        <v>2.9</v>
      </c>
    </row>
    <row r="113" spans="1:25" x14ac:dyDescent="0.25">
      <c r="A113" t="s">
        <v>847</v>
      </c>
      <c r="B113" t="s">
        <v>848</v>
      </c>
      <c r="C113" s="187"/>
      <c r="D113" s="187" t="s">
        <v>657</v>
      </c>
      <c r="E113" s="272" t="s">
        <v>444</v>
      </c>
      <c r="F113" s="272" t="s">
        <v>444</v>
      </c>
      <c r="G113" s="273" t="s">
        <v>444</v>
      </c>
      <c r="H113" s="274" t="s">
        <v>444</v>
      </c>
      <c r="I113" s="272" t="s">
        <v>444</v>
      </c>
      <c r="J113" s="272" t="s">
        <v>444</v>
      </c>
      <c r="K113" s="273" t="s">
        <v>444</v>
      </c>
      <c r="L113" s="274" t="s">
        <v>444</v>
      </c>
      <c r="M113" s="272" t="s">
        <v>444</v>
      </c>
      <c r="N113" s="272" t="s">
        <v>444</v>
      </c>
      <c r="O113" s="273" t="s">
        <v>444</v>
      </c>
      <c r="P113" s="274" t="s">
        <v>444</v>
      </c>
      <c r="Q113" s="275">
        <v>16</v>
      </c>
      <c r="R113" s="276">
        <v>16</v>
      </c>
      <c r="S113" s="187">
        <v>1</v>
      </c>
      <c r="T113" s="187">
        <v>1</v>
      </c>
      <c r="U113" s="187" t="s">
        <v>478</v>
      </c>
      <c r="V113" s="187">
        <v>1</v>
      </c>
      <c r="W113" s="187">
        <v>1</v>
      </c>
      <c r="X113" s="187">
        <v>1</v>
      </c>
      <c r="Y113" s="187">
        <v>1</v>
      </c>
    </row>
    <row r="114" spans="1:25" x14ac:dyDescent="0.25">
      <c r="A114" t="s">
        <v>60</v>
      </c>
      <c r="B114" t="s">
        <v>59</v>
      </c>
      <c r="C114" s="187"/>
      <c r="D114" s="187" t="s">
        <v>657</v>
      </c>
      <c r="E114" s="272">
        <v>0.16666666666666666</v>
      </c>
      <c r="F114" s="272">
        <v>0.17</v>
      </c>
      <c r="G114" s="273">
        <v>9</v>
      </c>
      <c r="H114" s="274">
        <v>9</v>
      </c>
      <c r="I114" s="272">
        <v>4.333333333333333</v>
      </c>
      <c r="J114" s="272">
        <v>4.3</v>
      </c>
      <c r="K114" s="273">
        <v>39.6</v>
      </c>
      <c r="L114" s="274">
        <v>40</v>
      </c>
      <c r="M114" s="272">
        <v>2</v>
      </c>
      <c r="N114" s="272">
        <v>2</v>
      </c>
      <c r="O114" s="273">
        <v>39.6</v>
      </c>
      <c r="P114" s="274">
        <v>40</v>
      </c>
      <c r="Q114" s="275">
        <v>49</v>
      </c>
      <c r="R114" s="276">
        <v>49</v>
      </c>
      <c r="S114" s="187">
        <v>1</v>
      </c>
      <c r="T114" s="187">
        <v>1</v>
      </c>
      <c r="U114" s="187" t="s">
        <v>478</v>
      </c>
      <c r="V114" s="187">
        <v>1</v>
      </c>
      <c r="W114" s="187">
        <v>1</v>
      </c>
      <c r="X114" s="187">
        <v>1</v>
      </c>
      <c r="Y114" s="187">
        <v>1</v>
      </c>
    </row>
    <row r="115" spans="1:25" x14ac:dyDescent="0.25">
      <c r="A115" t="s">
        <v>849</v>
      </c>
      <c r="B115" t="s">
        <v>850</v>
      </c>
      <c r="C115" s="187"/>
      <c r="D115" s="187" t="s">
        <v>664</v>
      </c>
      <c r="E115" s="272" t="s">
        <v>444</v>
      </c>
      <c r="F115" s="272" t="s">
        <v>444</v>
      </c>
      <c r="G115" s="273">
        <v>0.08</v>
      </c>
      <c r="H115" s="274">
        <v>0.08</v>
      </c>
      <c r="I115" s="272" t="s">
        <v>444</v>
      </c>
      <c r="J115" s="272" t="s">
        <v>444</v>
      </c>
      <c r="K115" s="273">
        <v>0.35200000000000004</v>
      </c>
      <c r="L115" s="274">
        <v>0.35</v>
      </c>
      <c r="M115" s="272" t="s">
        <v>444</v>
      </c>
      <c r="N115" s="272" t="s">
        <v>444</v>
      </c>
      <c r="O115" s="273">
        <v>0.35200000000000004</v>
      </c>
      <c r="P115" s="274">
        <v>0.35</v>
      </c>
      <c r="Q115" s="275">
        <v>4.0999999999999996</v>
      </c>
      <c r="R115" s="276">
        <v>4.0999999999999996</v>
      </c>
      <c r="S115" s="187">
        <v>1</v>
      </c>
      <c r="T115" s="187">
        <v>1</v>
      </c>
      <c r="U115" s="187" t="s">
        <v>478</v>
      </c>
      <c r="V115" s="187">
        <v>1</v>
      </c>
      <c r="W115" s="187">
        <v>1</v>
      </c>
      <c r="X115" s="187">
        <v>1</v>
      </c>
      <c r="Y115" s="187">
        <v>1</v>
      </c>
    </row>
    <row r="116" spans="1:25" x14ac:dyDescent="0.25">
      <c r="A116" t="s">
        <v>851</v>
      </c>
      <c r="B116" t="s">
        <v>852</v>
      </c>
      <c r="C116" s="187"/>
      <c r="D116" s="187" t="s">
        <v>444</v>
      </c>
      <c r="E116" s="272">
        <v>7.6923076923076923E-4</v>
      </c>
      <c r="F116" s="272">
        <v>7.6999999999999996E-4</v>
      </c>
      <c r="G116" s="273" t="s">
        <v>444</v>
      </c>
      <c r="H116" s="274" t="s">
        <v>444</v>
      </c>
      <c r="I116" s="272">
        <v>0.02</v>
      </c>
      <c r="J116" s="272">
        <v>0.02</v>
      </c>
      <c r="K116" s="273" t="s">
        <v>444</v>
      </c>
      <c r="L116" s="274" t="s">
        <v>444</v>
      </c>
      <c r="M116" s="272">
        <v>9.2307692307692299E-3</v>
      </c>
      <c r="N116" s="272">
        <v>9.1999999999999998E-3</v>
      </c>
      <c r="O116" s="273" t="s">
        <v>444</v>
      </c>
      <c r="P116" s="274" t="s">
        <v>444</v>
      </c>
      <c r="Q116" s="275" t="s">
        <v>444</v>
      </c>
      <c r="R116" s="276" t="s">
        <v>444</v>
      </c>
      <c r="S116" s="187">
        <v>1</v>
      </c>
      <c r="T116" s="187">
        <v>1</v>
      </c>
      <c r="U116" s="187" t="s">
        <v>478</v>
      </c>
      <c r="V116" s="187">
        <v>1</v>
      </c>
      <c r="W116" s="187">
        <v>1</v>
      </c>
      <c r="X116" s="187">
        <v>1</v>
      </c>
      <c r="Y116" s="187">
        <v>1</v>
      </c>
    </row>
    <row r="117" spans="1:25" x14ac:dyDescent="0.25">
      <c r="A117" t="s">
        <v>853</v>
      </c>
      <c r="B117" t="s">
        <v>854</v>
      </c>
      <c r="C117" s="187"/>
      <c r="D117" s="187" t="s">
        <v>444</v>
      </c>
      <c r="E117" s="272">
        <v>3.8461538461538462E-4</v>
      </c>
      <c r="F117" s="272">
        <v>3.8000000000000002E-4</v>
      </c>
      <c r="G117" s="273" t="s">
        <v>444</v>
      </c>
      <c r="H117" s="274" t="s">
        <v>444</v>
      </c>
      <c r="I117" s="272">
        <v>0.01</v>
      </c>
      <c r="J117" s="272">
        <v>0.01</v>
      </c>
      <c r="K117" s="273" t="s">
        <v>444</v>
      </c>
      <c r="L117" s="274" t="s">
        <v>444</v>
      </c>
      <c r="M117" s="272">
        <v>4.6153846153846149E-3</v>
      </c>
      <c r="N117" s="272">
        <v>4.5999999999999999E-3</v>
      </c>
      <c r="O117" s="273" t="s">
        <v>444</v>
      </c>
      <c r="P117" s="274" t="s">
        <v>444</v>
      </c>
      <c r="Q117" s="275" t="s">
        <v>444</v>
      </c>
      <c r="R117" s="276" t="s">
        <v>444</v>
      </c>
      <c r="S117" s="187">
        <v>1</v>
      </c>
      <c r="T117" s="187">
        <v>1</v>
      </c>
      <c r="U117" s="187" t="s">
        <v>478</v>
      </c>
      <c r="V117" s="187">
        <v>1</v>
      </c>
      <c r="W117" s="187">
        <v>1</v>
      </c>
      <c r="X117" s="187">
        <v>1</v>
      </c>
      <c r="Y117" s="187">
        <v>1</v>
      </c>
    </row>
    <row r="118" spans="1:25" x14ac:dyDescent="0.25">
      <c r="A118" t="s">
        <v>855</v>
      </c>
      <c r="B118" t="s">
        <v>856</v>
      </c>
      <c r="C118" s="187"/>
      <c r="D118" s="187" t="s">
        <v>444</v>
      </c>
      <c r="E118" s="272">
        <v>1.9607843137254902E-3</v>
      </c>
      <c r="F118" s="272">
        <v>2E-3</v>
      </c>
      <c r="G118" s="273" t="s">
        <v>444</v>
      </c>
      <c r="H118" s="274" t="s">
        <v>444</v>
      </c>
      <c r="I118" s="272">
        <v>5.0980392156862744E-2</v>
      </c>
      <c r="J118" s="272">
        <v>5.0999999999999997E-2</v>
      </c>
      <c r="K118" s="273" t="s">
        <v>444</v>
      </c>
      <c r="L118" s="274" t="s">
        <v>444</v>
      </c>
      <c r="M118" s="272">
        <v>2.3529411764705882E-2</v>
      </c>
      <c r="N118" s="272">
        <v>2.4E-2</v>
      </c>
      <c r="O118" s="273" t="s">
        <v>444</v>
      </c>
      <c r="P118" s="274" t="s">
        <v>444</v>
      </c>
      <c r="Q118" s="275" t="s">
        <v>444</v>
      </c>
      <c r="R118" s="276" t="s">
        <v>444</v>
      </c>
      <c r="S118" s="187">
        <v>1</v>
      </c>
      <c r="T118" s="187">
        <v>1</v>
      </c>
      <c r="U118" s="187" t="s">
        <v>478</v>
      </c>
      <c r="V118" s="187">
        <v>1</v>
      </c>
      <c r="W118" s="187">
        <v>1</v>
      </c>
      <c r="X118" s="187">
        <v>1</v>
      </c>
      <c r="Y118" s="187">
        <v>1</v>
      </c>
    </row>
    <row r="119" spans="1:25" x14ac:dyDescent="0.25">
      <c r="A119" t="s">
        <v>857</v>
      </c>
      <c r="B119" t="s">
        <v>858</v>
      </c>
      <c r="C119" s="187"/>
      <c r="D119" s="187" t="s">
        <v>444</v>
      </c>
      <c r="E119" s="272">
        <v>4.5454545454545456E-2</v>
      </c>
      <c r="F119" s="272">
        <v>4.4999999999999998E-2</v>
      </c>
      <c r="G119" s="273" t="s">
        <v>444</v>
      </c>
      <c r="H119" s="274" t="s">
        <v>444</v>
      </c>
      <c r="I119" s="272">
        <v>1.1818181818181819</v>
      </c>
      <c r="J119" s="272">
        <v>1.2</v>
      </c>
      <c r="K119" s="273" t="s">
        <v>444</v>
      </c>
      <c r="L119" s="274" t="s">
        <v>444</v>
      </c>
      <c r="M119" s="272">
        <v>0.54545454545454541</v>
      </c>
      <c r="N119" s="272">
        <v>0.55000000000000004</v>
      </c>
      <c r="O119" s="273" t="s">
        <v>444</v>
      </c>
      <c r="P119" s="274" t="s">
        <v>444</v>
      </c>
      <c r="Q119" s="275" t="s">
        <v>444</v>
      </c>
      <c r="R119" s="276" t="s">
        <v>444</v>
      </c>
      <c r="S119" s="187">
        <v>1</v>
      </c>
      <c r="T119" s="187">
        <v>1</v>
      </c>
      <c r="U119" s="187" t="s">
        <v>478</v>
      </c>
      <c r="V119" s="187">
        <v>1</v>
      </c>
      <c r="W119" s="187">
        <v>1</v>
      </c>
      <c r="X119" s="187">
        <v>1</v>
      </c>
      <c r="Y119" s="187">
        <v>1</v>
      </c>
    </row>
    <row r="120" spans="1:25" x14ac:dyDescent="0.25">
      <c r="A120" t="s">
        <v>859</v>
      </c>
      <c r="B120" t="s">
        <v>860</v>
      </c>
      <c r="C120" s="187" t="s">
        <v>700</v>
      </c>
      <c r="D120" s="187" t="s">
        <v>444</v>
      </c>
      <c r="E120" s="272">
        <v>1.6835016835016833E-4</v>
      </c>
      <c r="F120" s="272">
        <v>1.7000000000000001E-4</v>
      </c>
      <c r="G120" s="273" t="s">
        <v>444</v>
      </c>
      <c r="H120" s="274" t="s">
        <v>444</v>
      </c>
      <c r="I120" s="272">
        <v>1.8181818181818177E-2</v>
      </c>
      <c r="J120" s="272">
        <v>1.7999999999999999E-2</v>
      </c>
      <c r="K120" s="273" t="s">
        <v>444</v>
      </c>
      <c r="L120" s="274" t="s">
        <v>444</v>
      </c>
      <c r="M120" s="272">
        <v>8.3916083916083899E-3</v>
      </c>
      <c r="N120" s="272">
        <v>8.3999999999999995E-3</v>
      </c>
      <c r="O120" s="273" t="s">
        <v>444</v>
      </c>
      <c r="P120" s="274" t="s">
        <v>444</v>
      </c>
      <c r="Q120" s="275" t="s">
        <v>444</v>
      </c>
      <c r="R120" s="276" t="s">
        <v>444</v>
      </c>
      <c r="S120" s="187">
        <v>1</v>
      </c>
      <c r="T120" s="187">
        <v>1</v>
      </c>
      <c r="U120" s="187" t="s">
        <v>478</v>
      </c>
      <c r="V120" s="187">
        <v>5.4</v>
      </c>
      <c r="W120" s="187">
        <v>1.3</v>
      </c>
      <c r="X120" s="187">
        <v>1</v>
      </c>
      <c r="Y120" s="187">
        <v>1</v>
      </c>
    </row>
    <row r="121" spans="1:25" x14ac:dyDescent="0.25">
      <c r="A121" t="s">
        <v>861</v>
      </c>
      <c r="B121" t="s">
        <v>862</v>
      </c>
      <c r="C121" s="187" t="s">
        <v>700</v>
      </c>
      <c r="D121" s="187" t="s">
        <v>444</v>
      </c>
      <c r="E121" s="272">
        <v>1.6835016835016833E-4</v>
      </c>
      <c r="F121" s="272">
        <v>1.7000000000000001E-4</v>
      </c>
      <c r="G121" s="273" t="s">
        <v>444</v>
      </c>
      <c r="H121" s="274" t="s">
        <v>444</v>
      </c>
      <c r="I121" s="272">
        <v>1.8181818181818177E-2</v>
      </c>
      <c r="J121" s="272">
        <v>1.7999999999999999E-2</v>
      </c>
      <c r="K121" s="273" t="s">
        <v>444</v>
      </c>
      <c r="L121" s="274" t="s">
        <v>444</v>
      </c>
      <c r="M121" s="272">
        <v>8.3916083916083899E-3</v>
      </c>
      <c r="N121" s="272">
        <v>8.3999999999999995E-3</v>
      </c>
      <c r="O121" s="273" t="s">
        <v>444</v>
      </c>
      <c r="P121" s="274" t="s">
        <v>444</v>
      </c>
      <c r="Q121" s="275" t="s">
        <v>444</v>
      </c>
      <c r="R121" s="276" t="s">
        <v>444</v>
      </c>
      <c r="S121" s="187">
        <v>1</v>
      </c>
      <c r="T121" s="187">
        <v>1</v>
      </c>
      <c r="U121" s="187" t="s">
        <v>478</v>
      </c>
      <c r="V121" s="187">
        <v>5.4</v>
      </c>
      <c r="W121" s="187">
        <v>1.3</v>
      </c>
      <c r="X121" s="187">
        <v>1</v>
      </c>
      <c r="Y121" s="187">
        <v>1</v>
      </c>
    </row>
    <row r="122" spans="1:25" x14ac:dyDescent="0.25">
      <c r="A122" t="s">
        <v>863</v>
      </c>
      <c r="B122" t="s">
        <v>864</v>
      </c>
      <c r="C122" s="187" t="s">
        <v>700</v>
      </c>
      <c r="D122" s="187" t="s">
        <v>444</v>
      </c>
      <c r="E122" s="272">
        <v>1.6835016835016833E-4</v>
      </c>
      <c r="F122" s="272">
        <v>1.7000000000000001E-4</v>
      </c>
      <c r="G122" s="273" t="s">
        <v>444</v>
      </c>
      <c r="H122" s="274" t="s">
        <v>444</v>
      </c>
      <c r="I122" s="272">
        <v>1.8181818181818177E-2</v>
      </c>
      <c r="J122" s="272">
        <v>1.7999999999999999E-2</v>
      </c>
      <c r="K122" s="273" t="s">
        <v>444</v>
      </c>
      <c r="L122" s="274" t="s">
        <v>444</v>
      </c>
      <c r="M122" s="272">
        <v>8.3916083916083899E-3</v>
      </c>
      <c r="N122" s="272">
        <v>8.3999999999999995E-3</v>
      </c>
      <c r="O122" s="273" t="s">
        <v>444</v>
      </c>
      <c r="P122" s="274" t="s">
        <v>444</v>
      </c>
      <c r="Q122" s="275" t="s">
        <v>444</v>
      </c>
      <c r="R122" s="276" t="s">
        <v>444</v>
      </c>
      <c r="S122" s="187">
        <v>1</v>
      </c>
      <c r="T122" s="187">
        <v>1</v>
      </c>
      <c r="U122" s="187" t="s">
        <v>478</v>
      </c>
      <c r="V122" s="187">
        <v>5.4</v>
      </c>
      <c r="W122" s="187">
        <v>1.3</v>
      </c>
      <c r="X122" s="187">
        <v>1</v>
      </c>
      <c r="Y122" s="187">
        <v>1</v>
      </c>
    </row>
    <row r="123" spans="1:25" x14ac:dyDescent="0.25">
      <c r="A123" t="s">
        <v>865</v>
      </c>
      <c r="B123" t="s">
        <v>866</v>
      </c>
      <c r="C123" s="187" t="s">
        <v>700</v>
      </c>
      <c r="D123" s="187" t="s">
        <v>444</v>
      </c>
      <c r="E123" s="272">
        <v>5.9737156511350056E-4</v>
      </c>
      <c r="F123" s="272">
        <v>5.9999999999999995E-4</v>
      </c>
      <c r="G123" s="273" t="s">
        <v>444</v>
      </c>
      <c r="H123" s="274" t="s">
        <v>444</v>
      </c>
      <c r="I123" s="272">
        <v>6.4516129032258063E-2</v>
      </c>
      <c r="J123" s="272">
        <v>6.5000000000000002E-2</v>
      </c>
      <c r="K123" s="273" t="s">
        <v>444</v>
      </c>
      <c r="L123" s="274" t="s">
        <v>444</v>
      </c>
      <c r="M123" s="272">
        <v>2.9776674937965261E-2</v>
      </c>
      <c r="N123" s="272">
        <v>0.03</v>
      </c>
      <c r="O123" s="273" t="s">
        <v>444</v>
      </c>
      <c r="P123" s="274" t="s">
        <v>444</v>
      </c>
      <c r="Q123" s="275" t="s">
        <v>444</v>
      </c>
      <c r="R123" s="276" t="s">
        <v>444</v>
      </c>
      <c r="S123" s="187">
        <v>1</v>
      </c>
      <c r="T123" s="187">
        <v>1</v>
      </c>
      <c r="U123" s="187" t="s">
        <v>478</v>
      </c>
      <c r="V123" s="187">
        <v>5.4</v>
      </c>
      <c r="W123" s="187">
        <v>1.3</v>
      </c>
      <c r="X123" s="187">
        <v>1</v>
      </c>
      <c r="Y123" s="187">
        <v>1</v>
      </c>
    </row>
    <row r="124" spans="1:25" x14ac:dyDescent="0.25">
      <c r="A124" t="s">
        <v>867</v>
      </c>
      <c r="B124" t="s">
        <v>868</v>
      </c>
      <c r="C124" s="187"/>
      <c r="D124" s="187" t="s">
        <v>657</v>
      </c>
      <c r="E124" s="272" t="s">
        <v>444</v>
      </c>
      <c r="F124" s="272" t="s">
        <v>444</v>
      </c>
      <c r="G124" s="273">
        <v>0.2</v>
      </c>
      <c r="H124" s="274">
        <v>0.2</v>
      </c>
      <c r="I124" s="272" t="s">
        <v>444</v>
      </c>
      <c r="J124" s="272" t="s">
        <v>444</v>
      </c>
      <c r="K124" s="273">
        <v>0.88000000000000012</v>
      </c>
      <c r="L124" s="274">
        <v>0.88</v>
      </c>
      <c r="M124" s="272" t="s">
        <v>444</v>
      </c>
      <c r="N124" s="272" t="s">
        <v>444</v>
      </c>
      <c r="O124" s="273">
        <v>0.88000000000000012</v>
      </c>
      <c r="P124" s="274">
        <v>0.88</v>
      </c>
      <c r="Q124" s="275">
        <v>110</v>
      </c>
      <c r="R124" s="276">
        <v>110</v>
      </c>
      <c r="S124" s="187">
        <v>1</v>
      </c>
      <c r="T124" s="187">
        <v>1</v>
      </c>
      <c r="U124" s="187" t="s">
        <v>478</v>
      </c>
      <c r="V124" s="187">
        <v>1</v>
      </c>
      <c r="W124" s="187">
        <v>1</v>
      </c>
      <c r="X124" s="187">
        <v>1</v>
      </c>
      <c r="Y124" s="187">
        <v>1</v>
      </c>
    </row>
    <row r="125" spans="1:25" x14ac:dyDescent="0.25">
      <c r="A125" t="s">
        <v>869</v>
      </c>
      <c r="B125" t="s">
        <v>870</v>
      </c>
      <c r="C125" s="187"/>
      <c r="D125" s="187" t="s">
        <v>657</v>
      </c>
      <c r="E125" s="272" t="s">
        <v>444</v>
      </c>
      <c r="F125" s="272" t="s">
        <v>444</v>
      </c>
      <c r="G125" s="273">
        <v>30</v>
      </c>
      <c r="H125" s="274">
        <v>30</v>
      </c>
      <c r="I125" s="272" t="s">
        <v>444</v>
      </c>
      <c r="J125" s="272" t="s">
        <v>444</v>
      </c>
      <c r="K125" s="273">
        <v>132</v>
      </c>
      <c r="L125" s="274">
        <v>130</v>
      </c>
      <c r="M125" s="272" t="s">
        <v>444</v>
      </c>
      <c r="N125" s="272" t="s">
        <v>444</v>
      </c>
      <c r="O125" s="273">
        <v>132</v>
      </c>
      <c r="P125" s="274">
        <v>130</v>
      </c>
      <c r="Q125" s="275">
        <v>58000</v>
      </c>
      <c r="R125" s="276">
        <v>58000</v>
      </c>
      <c r="S125" s="187">
        <v>1</v>
      </c>
      <c r="T125" s="187">
        <v>1</v>
      </c>
      <c r="U125" s="187" t="s">
        <v>478</v>
      </c>
      <c r="V125" s="187">
        <v>1</v>
      </c>
      <c r="W125" s="187">
        <v>1</v>
      </c>
      <c r="X125" s="187">
        <v>1</v>
      </c>
      <c r="Y125" s="187">
        <v>1</v>
      </c>
    </row>
    <row r="126" spans="1:25" x14ac:dyDescent="0.25">
      <c r="A126" t="s">
        <v>871</v>
      </c>
      <c r="B126" t="s">
        <v>872</v>
      </c>
      <c r="C126" s="187"/>
      <c r="D126" s="187" t="s">
        <v>664</v>
      </c>
      <c r="E126" s="272" t="s">
        <v>444</v>
      </c>
      <c r="F126" s="272" t="s">
        <v>444</v>
      </c>
      <c r="G126" s="273">
        <v>6.9000000000000006E-2</v>
      </c>
      <c r="H126" s="274">
        <v>6.9000000000000006E-2</v>
      </c>
      <c r="I126" s="272" t="s">
        <v>444</v>
      </c>
      <c r="J126" s="272" t="s">
        <v>444</v>
      </c>
      <c r="K126" s="273">
        <v>0.30360000000000004</v>
      </c>
      <c r="L126" s="274">
        <v>0.3</v>
      </c>
      <c r="M126" s="272" t="s">
        <v>444</v>
      </c>
      <c r="N126" s="272" t="s">
        <v>444</v>
      </c>
      <c r="O126" s="273">
        <v>0.30360000000000004</v>
      </c>
      <c r="P126" s="274">
        <v>0.3</v>
      </c>
      <c r="Q126" s="275">
        <v>0.21</v>
      </c>
      <c r="R126" s="276">
        <v>0.21</v>
      </c>
      <c r="S126" s="187">
        <v>1</v>
      </c>
      <c r="T126" s="187">
        <v>1</v>
      </c>
      <c r="U126" s="187" t="s">
        <v>478</v>
      </c>
      <c r="V126" s="187">
        <v>1</v>
      </c>
      <c r="W126" s="187">
        <v>1</v>
      </c>
      <c r="X126" s="187">
        <v>1</v>
      </c>
      <c r="Y126" s="187">
        <v>1</v>
      </c>
    </row>
    <row r="127" spans="1:25" x14ac:dyDescent="0.25">
      <c r="A127" t="s">
        <v>62</v>
      </c>
      <c r="B127" t="s">
        <v>61</v>
      </c>
      <c r="C127" s="187"/>
      <c r="D127" s="187" t="s">
        <v>657</v>
      </c>
      <c r="E127" s="272" t="s">
        <v>444</v>
      </c>
      <c r="F127" s="272" t="s">
        <v>444</v>
      </c>
      <c r="G127" s="273">
        <v>700</v>
      </c>
      <c r="H127" s="274">
        <v>700</v>
      </c>
      <c r="I127" s="272" t="s">
        <v>444</v>
      </c>
      <c r="J127" s="272" t="s">
        <v>444</v>
      </c>
      <c r="K127" s="273">
        <v>3080.0000000000005</v>
      </c>
      <c r="L127" s="274">
        <v>3100</v>
      </c>
      <c r="M127" s="272" t="s">
        <v>444</v>
      </c>
      <c r="N127" s="272" t="s">
        <v>444</v>
      </c>
      <c r="O127" s="273">
        <v>3080.0000000000005</v>
      </c>
      <c r="P127" s="274">
        <v>3100</v>
      </c>
      <c r="Q127" s="275" t="s">
        <v>444</v>
      </c>
      <c r="R127" s="276" t="s">
        <v>444</v>
      </c>
      <c r="S127" s="187">
        <v>1</v>
      </c>
      <c r="T127" s="187">
        <v>1</v>
      </c>
      <c r="U127" s="187" t="s">
        <v>478</v>
      </c>
      <c r="V127" s="187">
        <v>1</v>
      </c>
      <c r="W127" s="187">
        <v>1</v>
      </c>
      <c r="X127" s="187">
        <v>1</v>
      </c>
      <c r="Y127" s="187">
        <v>1</v>
      </c>
    </row>
    <row r="128" spans="1:25" x14ac:dyDescent="0.25">
      <c r="A128" t="s">
        <v>873</v>
      </c>
      <c r="B128" t="s">
        <v>874</v>
      </c>
      <c r="C128" s="187"/>
      <c r="D128" s="187" t="s">
        <v>657</v>
      </c>
      <c r="E128" s="272">
        <v>2.0408163265306123E-4</v>
      </c>
      <c r="F128" s="272">
        <v>2.0000000000000001E-4</v>
      </c>
      <c r="G128" s="273">
        <v>0.03</v>
      </c>
      <c r="H128" s="274">
        <v>0.03</v>
      </c>
      <c r="I128" s="272">
        <v>5.3061224489795921E-3</v>
      </c>
      <c r="J128" s="272">
        <v>5.3E-3</v>
      </c>
      <c r="K128" s="273">
        <v>0.13200000000000001</v>
      </c>
      <c r="L128" s="274">
        <v>0.13</v>
      </c>
      <c r="M128" s="272">
        <v>2.4489795918367346E-3</v>
      </c>
      <c r="N128" s="272">
        <v>2.3999999999999998E-3</v>
      </c>
      <c r="O128" s="273">
        <v>0.13200000000000001</v>
      </c>
      <c r="P128" s="274">
        <v>0.13</v>
      </c>
      <c r="Q128" s="275">
        <v>5.2</v>
      </c>
      <c r="R128" s="276">
        <v>5.2</v>
      </c>
      <c r="S128" s="187">
        <v>1</v>
      </c>
      <c r="T128" s="187">
        <v>1</v>
      </c>
      <c r="U128" s="187" t="s">
        <v>478</v>
      </c>
      <c r="V128" s="187">
        <v>1</v>
      </c>
      <c r="W128" s="187">
        <v>1</v>
      </c>
      <c r="X128" s="187">
        <v>1</v>
      </c>
      <c r="Y128" s="187">
        <v>1</v>
      </c>
    </row>
    <row r="129" spans="1:25" x14ac:dyDescent="0.25">
      <c r="A129" t="s">
        <v>65</v>
      </c>
      <c r="B129" t="s">
        <v>491</v>
      </c>
      <c r="C129" s="187"/>
      <c r="D129" s="187" t="s">
        <v>657</v>
      </c>
      <c r="E129" s="272" t="s">
        <v>444</v>
      </c>
      <c r="F129" s="272" t="s">
        <v>444</v>
      </c>
      <c r="G129" s="273">
        <v>20</v>
      </c>
      <c r="H129" s="274">
        <v>20</v>
      </c>
      <c r="I129" s="272" t="s">
        <v>444</v>
      </c>
      <c r="J129" s="272" t="s">
        <v>444</v>
      </c>
      <c r="K129" s="273">
        <v>88</v>
      </c>
      <c r="L129" s="274">
        <v>88</v>
      </c>
      <c r="M129" s="272" t="s">
        <v>444</v>
      </c>
      <c r="N129" s="272" t="s">
        <v>444</v>
      </c>
      <c r="O129" s="273">
        <v>88</v>
      </c>
      <c r="P129" s="274">
        <v>88</v>
      </c>
      <c r="Q129" s="275">
        <v>2100</v>
      </c>
      <c r="R129" s="276">
        <v>2100</v>
      </c>
      <c r="S129" s="187">
        <v>1</v>
      </c>
      <c r="T129" s="187">
        <v>1</v>
      </c>
      <c r="U129" s="187" t="s">
        <v>478</v>
      </c>
      <c r="V129" s="187">
        <v>1</v>
      </c>
      <c r="W129" s="187">
        <v>1</v>
      </c>
      <c r="X129" s="187">
        <v>1</v>
      </c>
      <c r="Y129" s="187">
        <v>1</v>
      </c>
    </row>
    <row r="130" spans="1:25" x14ac:dyDescent="0.25">
      <c r="A130" t="s">
        <v>875</v>
      </c>
      <c r="B130" t="s">
        <v>876</v>
      </c>
      <c r="C130" s="187" t="s">
        <v>700</v>
      </c>
      <c r="D130" s="187" t="s">
        <v>657</v>
      </c>
      <c r="E130" s="272" t="s">
        <v>444</v>
      </c>
      <c r="F130" s="272" t="s">
        <v>444</v>
      </c>
      <c r="G130" s="273">
        <v>2.1311475409836067</v>
      </c>
      <c r="H130" s="274">
        <v>2.1</v>
      </c>
      <c r="I130" s="272" t="s">
        <v>444</v>
      </c>
      <c r="J130" s="272" t="s">
        <v>444</v>
      </c>
      <c r="K130" s="273">
        <v>19.066666666666666</v>
      </c>
      <c r="L130" s="274">
        <v>19</v>
      </c>
      <c r="M130" s="272" t="s">
        <v>444</v>
      </c>
      <c r="N130" s="272" t="s">
        <v>444</v>
      </c>
      <c r="O130" s="273">
        <v>19.066666666666666</v>
      </c>
      <c r="P130" s="274">
        <v>19</v>
      </c>
      <c r="Q130" s="275">
        <v>16</v>
      </c>
      <c r="R130" s="276">
        <v>16</v>
      </c>
      <c r="S130" s="187">
        <v>1</v>
      </c>
      <c r="T130" s="187">
        <v>1</v>
      </c>
      <c r="U130" s="187" t="s">
        <v>478</v>
      </c>
      <c r="V130" s="187">
        <v>1</v>
      </c>
      <c r="W130" s="187">
        <v>1</v>
      </c>
      <c r="X130" s="187">
        <v>6.1</v>
      </c>
      <c r="Y130" s="187">
        <v>3</v>
      </c>
    </row>
    <row r="131" spans="1:25" x14ac:dyDescent="0.25">
      <c r="A131" t="s">
        <v>877</v>
      </c>
      <c r="B131" t="s">
        <v>878</v>
      </c>
      <c r="C131" s="187"/>
      <c r="D131" s="187" t="s">
        <v>657</v>
      </c>
      <c r="E131" s="272" t="s">
        <v>444</v>
      </c>
      <c r="F131" s="272" t="s">
        <v>444</v>
      </c>
      <c r="G131" s="273">
        <v>2</v>
      </c>
      <c r="H131" s="274">
        <v>2</v>
      </c>
      <c r="I131" s="272" t="s">
        <v>444</v>
      </c>
      <c r="J131" s="272" t="s">
        <v>444</v>
      </c>
      <c r="K131" s="273">
        <v>8.8000000000000007</v>
      </c>
      <c r="L131" s="274">
        <v>8.8000000000000007</v>
      </c>
      <c r="M131" s="272" t="s">
        <v>444</v>
      </c>
      <c r="N131" s="272" t="s">
        <v>444</v>
      </c>
      <c r="O131" s="273">
        <v>8.8000000000000007</v>
      </c>
      <c r="P131" s="274">
        <v>8.8000000000000007</v>
      </c>
      <c r="Q131" s="275">
        <v>98</v>
      </c>
      <c r="R131" s="276">
        <v>98</v>
      </c>
      <c r="S131" s="187">
        <v>1</v>
      </c>
      <c r="T131" s="187">
        <v>1</v>
      </c>
      <c r="U131" s="187" t="s">
        <v>478</v>
      </c>
      <c r="V131" s="187">
        <v>1</v>
      </c>
      <c r="W131" s="187">
        <v>1</v>
      </c>
      <c r="X131" s="187">
        <v>1</v>
      </c>
      <c r="Y131" s="187">
        <v>1</v>
      </c>
    </row>
    <row r="132" spans="1:25" x14ac:dyDescent="0.25">
      <c r="A132" t="s">
        <v>879</v>
      </c>
      <c r="B132" t="s">
        <v>880</v>
      </c>
      <c r="C132" s="187"/>
      <c r="D132" s="187" t="s">
        <v>657</v>
      </c>
      <c r="E132" s="272" t="s">
        <v>444</v>
      </c>
      <c r="F132" s="272" t="s">
        <v>444</v>
      </c>
      <c r="G132" s="273">
        <v>2000</v>
      </c>
      <c r="H132" s="274">
        <v>2000</v>
      </c>
      <c r="I132" s="272" t="s">
        <v>444</v>
      </c>
      <c r="J132" s="272" t="s">
        <v>444</v>
      </c>
      <c r="K132" s="273">
        <v>8800</v>
      </c>
      <c r="L132" s="274">
        <v>8800</v>
      </c>
      <c r="M132" s="272" t="s">
        <v>444</v>
      </c>
      <c r="N132" s="272" t="s">
        <v>444</v>
      </c>
      <c r="O132" s="273">
        <v>8800</v>
      </c>
      <c r="P132" s="274">
        <v>8800</v>
      </c>
      <c r="Q132" s="275" t="s">
        <v>444</v>
      </c>
      <c r="R132" s="276" t="s">
        <v>444</v>
      </c>
      <c r="S132" s="187">
        <v>1</v>
      </c>
      <c r="T132" s="187">
        <v>1</v>
      </c>
      <c r="U132" s="187" t="s">
        <v>478</v>
      </c>
      <c r="V132" s="187">
        <v>1</v>
      </c>
      <c r="W132" s="187">
        <v>1</v>
      </c>
      <c r="X132" s="187">
        <v>1</v>
      </c>
      <c r="Y132" s="187">
        <v>1</v>
      </c>
    </row>
    <row r="133" spans="1:25" x14ac:dyDescent="0.25">
      <c r="A133" t="s">
        <v>881</v>
      </c>
      <c r="B133" t="s">
        <v>882</v>
      </c>
      <c r="C133" s="187"/>
      <c r="D133" s="187" t="s">
        <v>657</v>
      </c>
      <c r="E133" s="272" t="s">
        <v>444</v>
      </c>
      <c r="F133" s="272" t="s">
        <v>444</v>
      </c>
      <c r="G133" s="273">
        <v>200</v>
      </c>
      <c r="H133" s="274">
        <v>200</v>
      </c>
      <c r="I133" s="272" t="s">
        <v>444</v>
      </c>
      <c r="J133" s="272" t="s">
        <v>444</v>
      </c>
      <c r="K133" s="273">
        <v>880.00000000000011</v>
      </c>
      <c r="L133" s="274">
        <v>880</v>
      </c>
      <c r="M133" s="272" t="s">
        <v>444</v>
      </c>
      <c r="N133" s="272" t="s">
        <v>444</v>
      </c>
      <c r="O133" s="273">
        <v>880.00000000000011</v>
      </c>
      <c r="P133" s="274">
        <v>880</v>
      </c>
      <c r="Q133" s="275">
        <v>3200</v>
      </c>
      <c r="R133" s="276">
        <v>3200</v>
      </c>
      <c r="S133" s="187">
        <v>1</v>
      </c>
      <c r="T133" s="187">
        <v>1</v>
      </c>
      <c r="U133" s="187" t="s">
        <v>478</v>
      </c>
      <c r="V133" s="187">
        <v>1</v>
      </c>
      <c r="W133" s="187">
        <v>1</v>
      </c>
      <c r="X133" s="187">
        <v>1</v>
      </c>
      <c r="Y133" s="187">
        <v>1</v>
      </c>
    </row>
    <row r="134" spans="1:25" x14ac:dyDescent="0.25">
      <c r="A134" t="s">
        <v>883</v>
      </c>
      <c r="B134" t="s">
        <v>884</v>
      </c>
      <c r="C134" s="187"/>
      <c r="D134" s="187" t="s">
        <v>657</v>
      </c>
      <c r="E134" s="272" t="s">
        <v>444</v>
      </c>
      <c r="F134" s="272" t="s">
        <v>444</v>
      </c>
      <c r="G134" s="273">
        <v>400</v>
      </c>
      <c r="H134" s="274">
        <v>400</v>
      </c>
      <c r="I134" s="272" t="s">
        <v>444</v>
      </c>
      <c r="J134" s="272" t="s">
        <v>444</v>
      </c>
      <c r="K134" s="273">
        <v>1760.0000000000002</v>
      </c>
      <c r="L134" s="274">
        <v>1800</v>
      </c>
      <c r="M134" s="272" t="s">
        <v>444</v>
      </c>
      <c r="N134" s="272" t="s">
        <v>444</v>
      </c>
      <c r="O134" s="273">
        <v>1760.0000000000002</v>
      </c>
      <c r="P134" s="274">
        <v>1800</v>
      </c>
      <c r="Q134" s="275" t="s">
        <v>444</v>
      </c>
      <c r="R134" s="276" t="s">
        <v>444</v>
      </c>
      <c r="S134" s="187">
        <v>1</v>
      </c>
      <c r="T134" s="187">
        <v>1</v>
      </c>
      <c r="U134" s="187" t="s">
        <v>478</v>
      </c>
      <c r="V134" s="187">
        <v>1</v>
      </c>
      <c r="W134" s="187">
        <v>1</v>
      </c>
      <c r="X134" s="187">
        <v>1</v>
      </c>
      <c r="Y134" s="187">
        <v>1</v>
      </c>
    </row>
    <row r="135" spans="1:25" x14ac:dyDescent="0.25">
      <c r="A135" t="s">
        <v>69</v>
      </c>
      <c r="B135" t="s">
        <v>492</v>
      </c>
      <c r="C135" s="187" t="s">
        <v>711</v>
      </c>
      <c r="D135" s="187" t="s">
        <v>657</v>
      </c>
      <c r="E135" s="272" t="s">
        <v>444</v>
      </c>
      <c r="F135" s="272" t="s">
        <v>444</v>
      </c>
      <c r="G135" s="273">
        <v>0.15</v>
      </c>
      <c r="H135" s="274">
        <v>0.15</v>
      </c>
      <c r="I135" s="272" t="s">
        <v>444</v>
      </c>
      <c r="J135" s="272" t="s">
        <v>444</v>
      </c>
      <c r="K135" s="273">
        <v>0.66</v>
      </c>
      <c r="L135" s="274">
        <v>0.66</v>
      </c>
      <c r="M135" s="272" t="s">
        <v>444</v>
      </c>
      <c r="N135" s="272" t="s">
        <v>444</v>
      </c>
      <c r="O135" s="273">
        <v>0.66</v>
      </c>
      <c r="P135" s="274">
        <v>0.66</v>
      </c>
      <c r="Q135" s="275">
        <v>0.15</v>
      </c>
      <c r="R135" s="276">
        <v>0.15</v>
      </c>
      <c r="S135" s="187">
        <v>1</v>
      </c>
      <c r="T135" s="187">
        <v>1</v>
      </c>
      <c r="U135" s="187" t="s">
        <v>478</v>
      </c>
      <c r="V135" s="187">
        <v>11</v>
      </c>
      <c r="W135" s="187">
        <v>5.8</v>
      </c>
      <c r="X135" s="187">
        <v>1</v>
      </c>
      <c r="Y135" s="187">
        <v>1</v>
      </c>
    </row>
    <row r="136" spans="1:25" x14ac:dyDescent="0.25">
      <c r="A136" t="s">
        <v>885</v>
      </c>
      <c r="B136" t="s">
        <v>886</v>
      </c>
      <c r="C136" s="187"/>
      <c r="D136" s="187" t="s">
        <v>664</v>
      </c>
      <c r="E136" s="272" t="s">
        <v>444</v>
      </c>
      <c r="F136" s="272" t="s">
        <v>444</v>
      </c>
      <c r="G136" s="273">
        <v>0.7</v>
      </c>
      <c r="H136" s="274">
        <v>0.7</v>
      </c>
      <c r="I136" s="272" t="s">
        <v>444</v>
      </c>
      <c r="J136" s="272" t="s">
        <v>444</v>
      </c>
      <c r="K136" s="273">
        <v>3.08</v>
      </c>
      <c r="L136" s="274">
        <v>3.1</v>
      </c>
      <c r="M136" s="272" t="s">
        <v>444</v>
      </c>
      <c r="N136" s="272" t="s">
        <v>444</v>
      </c>
      <c r="O136" s="273">
        <v>3.08</v>
      </c>
      <c r="P136" s="274">
        <v>3.1</v>
      </c>
      <c r="Q136" s="275" t="s">
        <v>444</v>
      </c>
      <c r="R136" s="276" t="s">
        <v>444</v>
      </c>
      <c r="S136" s="187">
        <v>1</v>
      </c>
      <c r="T136" s="187">
        <v>1</v>
      </c>
      <c r="U136" s="187" t="s">
        <v>478</v>
      </c>
      <c r="V136" s="187">
        <v>1</v>
      </c>
      <c r="W136" s="187">
        <v>1</v>
      </c>
      <c r="X136" s="187">
        <v>1</v>
      </c>
      <c r="Y136" s="187">
        <v>1</v>
      </c>
    </row>
    <row r="137" spans="1:25" x14ac:dyDescent="0.25">
      <c r="A137" t="s">
        <v>71</v>
      </c>
      <c r="B137" t="s">
        <v>493</v>
      </c>
      <c r="C137" s="187" t="s">
        <v>678</v>
      </c>
      <c r="D137" s="187" t="s">
        <v>657</v>
      </c>
      <c r="E137" s="272" t="s">
        <v>444</v>
      </c>
      <c r="F137" s="272" t="s">
        <v>444</v>
      </c>
      <c r="G137" s="273">
        <v>0.09</v>
      </c>
      <c r="H137" s="274">
        <v>0.09</v>
      </c>
      <c r="I137" s="272" t="s">
        <v>444</v>
      </c>
      <c r="J137" s="272" t="s">
        <v>444</v>
      </c>
      <c r="K137" s="273">
        <v>0.39600000000000002</v>
      </c>
      <c r="L137" s="274">
        <v>0.4</v>
      </c>
      <c r="M137" s="272" t="s">
        <v>444</v>
      </c>
      <c r="N137" s="272" t="s">
        <v>444</v>
      </c>
      <c r="O137" s="273">
        <v>0.39600000000000002</v>
      </c>
      <c r="P137" s="274">
        <v>0.4</v>
      </c>
      <c r="Q137" s="275">
        <v>0.3</v>
      </c>
      <c r="R137" s="276">
        <v>0.3</v>
      </c>
      <c r="S137" s="187">
        <v>1</v>
      </c>
      <c r="T137" s="187">
        <v>1</v>
      </c>
      <c r="U137" s="187" t="s">
        <v>478</v>
      </c>
      <c r="V137" s="187">
        <v>1</v>
      </c>
      <c r="W137" s="187">
        <v>1</v>
      </c>
      <c r="X137" s="187">
        <v>1</v>
      </c>
      <c r="Y137" s="187">
        <v>1</v>
      </c>
    </row>
    <row r="138" spans="1:25" x14ac:dyDescent="0.25">
      <c r="A138" t="s">
        <v>73</v>
      </c>
      <c r="B138" t="s">
        <v>494</v>
      </c>
      <c r="C138" s="187" t="s">
        <v>711</v>
      </c>
      <c r="D138" s="187" t="s">
        <v>657</v>
      </c>
      <c r="E138" s="272" t="s">
        <v>444</v>
      </c>
      <c r="F138" s="272" t="s">
        <v>444</v>
      </c>
      <c r="G138" s="273">
        <v>7.6923076923076927E-2</v>
      </c>
      <c r="H138" s="274">
        <v>7.6999999999999999E-2</v>
      </c>
      <c r="I138" s="272" t="s">
        <v>444</v>
      </c>
      <c r="J138" s="272" t="s">
        <v>444</v>
      </c>
      <c r="K138" s="273">
        <v>0.62857142857142856</v>
      </c>
      <c r="L138" s="274">
        <v>0.63</v>
      </c>
      <c r="M138" s="272" t="s">
        <v>444</v>
      </c>
      <c r="N138" s="272" t="s">
        <v>444</v>
      </c>
      <c r="O138" s="273">
        <v>0.62857142857142856</v>
      </c>
      <c r="P138" s="274">
        <v>0.63</v>
      </c>
      <c r="Q138" s="275">
        <v>0.6</v>
      </c>
      <c r="R138" s="276">
        <v>0.6</v>
      </c>
      <c r="S138" s="187">
        <v>1</v>
      </c>
      <c r="T138" s="187">
        <v>1</v>
      </c>
      <c r="U138" s="187" t="s">
        <v>478</v>
      </c>
      <c r="V138" s="187">
        <v>1</v>
      </c>
      <c r="W138" s="187">
        <v>1</v>
      </c>
      <c r="X138" s="187">
        <v>3.9</v>
      </c>
      <c r="Y138" s="187">
        <v>2.1</v>
      </c>
    </row>
    <row r="139" spans="1:25" x14ac:dyDescent="0.25">
      <c r="A139" t="s">
        <v>887</v>
      </c>
      <c r="B139" t="s">
        <v>888</v>
      </c>
      <c r="C139" s="187"/>
      <c r="D139" s="187" t="s">
        <v>657</v>
      </c>
      <c r="E139" s="272" t="s">
        <v>444</v>
      </c>
      <c r="F139" s="272" t="s">
        <v>444</v>
      </c>
      <c r="G139" s="273">
        <v>4000</v>
      </c>
      <c r="H139" s="274">
        <v>4000</v>
      </c>
      <c r="I139" s="272" t="s">
        <v>444</v>
      </c>
      <c r="J139" s="272" t="s">
        <v>444</v>
      </c>
      <c r="K139" s="273">
        <v>17600</v>
      </c>
      <c r="L139" s="274">
        <v>18000</v>
      </c>
      <c r="M139" s="272" t="s">
        <v>444</v>
      </c>
      <c r="N139" s="272" t="s">
        <v>444</v>
      </c>
      <c r="O139" s="273">
        <v>17600</v>
      </c>
      <c r="P139" s="274">
        <v>18000</v>
      </c>
      <c r="Q139" s="275">
        <v>28000</v>
      </c>
      <c r="R139" s="276">
        <v>28000</v>
      </c>
      <c r="S139" s="187">
        <v>1</v>
      </c>
      <c r="T139" s="187">
        <v>1</v>
      </c>
      <c r="U139" s="187" t="s">
        <v>478</v>
      </c>
      <c r="V139" s="187">
        <v>1</v>
      </c>
      <c r="W139" s="187">
        <v>1</v>
      </c>
      <c r="X139" s="187">
        <v>1</v>
      </c>
      <c r="Y139" s="187">
        <v>1</v>
      </c>
    </row>
    <row r="140" spans="1:25" ht="18.75" customHeight="1" x14ac:dyDescent="0.25">
      <c r="A140" t="s">
        <v>889</v>
      </c>
      <c r="B140" t="s">
        <v>890</v>
      </c>
      <c r="C140" s="187"/>
      <c r="D140" s="187" t="s">
        <v>444</v>
      </c>
      <c r="E140" s="272">
        <v>2.3255813953488372E-3</v>
      </c>
      <c r="F140" s="272">
        <v>2.3E-3</v>
      </c>
      <c r="G140" s="273" t="s">
        <v>444</v>
      </c>
      <c r="H140" s="274" t="s">
        <v>444</v>
      </c>
      <c r="I140" s="272">
        <v>6.0465116279069767E-2</v>
      </c>
      <c r="J140" s="272">
        <v>0.06</v>
      </c>
      <c r="K140" s="273" t="s">
        <v>444</v>
      </c>
      <c r="L140" s="274" t="s">
        <v>444</v>
      </c>
      <c r="M140" s="272">
        <v>2.7906976744186046E-2</v>
      </c>
      <c r="N140" s="272">
        <v>2.8000000000000001E-2</v>
      </c>
      <c r="O140" s="273" t="s">
        <v>444</v>
      </c>
      <c r="P140" s="274" t="s">
        <v>444</v>
      </c>
      <c r="Q140" s="275" t="s">
        <v>444</v>
      </c>
      <c r="R140" s="276" t="s">
        <v>444</v>
      </c>
      <c r="S140" s="187">
        <v>1</v>
      </c>
      <c r="T140" s="187">
        <v>1</v>
      </c>
      <c r="U140" s="187" t="s">
        <v>478</v>
      </c>
      <c r="V140" s="187">
        <v>1</v>
      </c>
      <c r="W140" s="187">
        <v>1</v>
      </c>
      <c r="X140" s="187">
        <v>1</v>
      </c>
      <c r="Y140" s="187">
        <v>1</v>
      </c>
    </row>
    <row r="141" spans="1:25" ht="18.75" customHeight="1" x14ac:dyDescent="0.25">
      <c r="A141" t="s">
        <v>891</v>
      </c>
      <c r="B141" t="s">
        <v>892</v>
      </c>
      <c r="C141" s="187"/>
      <c r="D141" s="187" t="s">
        <v>664</v>
      </c>
      <c r="E141" s="272">
        <v>3.0193236714975844E-4</v>
      </c>
      <c r="F141" s="272">
        <v>2.9999999999999997E-4</v>
      </c>
      <c r="G141" s="273">
        <v>20</v>
      </c>
      <c r="H141" s="274">
        <v>20</v>
      </c>
      <c r="I141" s="272">
        <v>2.2608695652173914E-2</v>
      </c>
      <c r="J141" s="272">
        <v>2.3E-2</v>
      </c>
      <c r="K141" s="273">
        <v>88</v>
      </c>
      <c r="L141" s="274">
        <v>88</v>
      </c>
      <c r="M141" s="272">
        <v>1.0434782608695653E-2</v>
      </c>
      <c r="N141" s="272">
        <v>0.01</v>
      </c>
      <c r="O141" s="273">
        <v>88</v>
      </c>
      <c r="P141" s="274">
        <v>88</v>
      </c>
      <c r="Q141" s="275" t="s">
        <v>444</v>
      </c>
      <c r="R141" s="276" t="s">
        <v>444</v>
      </c>
      <c r="S141" s="187">
        <v>1</v>
      </c>
      <c r="T141" s="187">
        <v>1</v>
      </c>
      <c r="U141" s="187" t="s">
        <v>478</v>
      </c>
      <c r="V141" s="187">
        <v>7.2</v>
      </c>
      <c r="W141" s="187">
        <v>2.5</v>
      </c>
      <c r="X141" s="187">
        <v>1</v>
      </c>
      <c r="Y141" s="187">
        <v>1</v>
      </c>
    </row>
    <row r="142" spans="1:25" x14ac:dyDescent="0.25">
      <c r="A142" t="s">
        <v>893</v>
      </c>
      <c r="B142" t="s">
        <v>894</v>
      </c>
      <c r="C142" s="187"/>
      <c r="D142" s="187" t="s">
        <v>657</v>
      </c>
      <c r="E142" s="272" t="s">
        <v>444</v>
      </c>
      <c r="F142" s="272" t="s">
        <v>444</v>
      </c>
      <c r="G142" s="273">
        <v>0.08</v>
      </c>
      <c r="H142" s="274">
        <v>0.08</v>
      </c>
      <c r="I142" s="272" t="s">
        <v>444</v>
      </c>
      <c r="J142" s="272" t="s">
        <v>444</v>
      </c>
      <c r="K142" s="273">
        <v>0.35200000000000004</v>
      </c>
      <c r="L142" s="274">
        <v>0.35</v>
      </c>
      <c r="M142" s="272" t="s">
        <v>444</v>
      </c>
      <c r="N142" s="272" t="s">
        <v>444</v>
      </c>
      <c r="O142" s="273">
        <v>0.35200000000000004</v>
      </c>
      <c r="P142" s="274">
        <v>0.35</v>
      </c>
      <c r="Q142" s="275">
        <v>12</v>
      </c>
      <c r="R142" s="276">
        <v>12</v>
      </c>
      <c r="S142" s="187">
        <v>1</v>
      </c>
      <c r="T142" s="187">
        <v>1</v>
      </c>
      <c r="U142" s="187" t="s">
        <v>478</v>
      </c>
      <c r="V142" s="187">
        <v>1</v>
      </c>
      <c r="W142" s="187">
        <v>1</v>
      </c>
      <c r="X142" s="187">
        <v>1</v>
      </c>
      <c r="Y142" s="187">
        <v>1</v>
      </c>
    </row>
    <row r="143" spans="1:25" x14ac:dyDescent="0.25">
      <c r="A143" t="s">
        <v>895</v>
      </c>
      <c r="B143" t="s">
        <v>896</v>
      </c>
      <c r="C143" s="187"/>
      <c r="D143" s="187" t="s">
        <v>657</v>
      </c>
      <c r="E143" s="272" t="s">
        <v>444</v>
      </c>
      <c r="F143" s="272" t="s">
        <v>444</v>
      </c>
      <c r="G143" s="273">
        <v>3000</v>
      </c>
      <c r="H143" s="274">
        <v>3000</v>
      </c>
      <c r="I143" s="272" t="s">
        <v>444</v>
      </c>
      <c r="J143" s="272" t="s">
        <v>444</v>
      </c>
      <c r="K143" s="273">
        <v>13200.000000000002</v>
      </c>
      <c r="L143" s="274">
        <v>13000</v>
      </c>
      <c r="M143" s="272" t="s">
        <v>444</v>
      </c>
      <c r="N143" s="272" t="s">
        <v>444</v>
      </c>
      <c r="O143" s="273">
        <v>13200.000000000002</v>
      </c>
      <c r="P143" s="274">
        <v>13000</v>
      </c>
      <c r="Q143" s="275" t="s">
        <v>444</v>
      </c>
      <c r="R143" s="276" t="s">
        <v>444</v>
      </c>
      <c r="S143" s="187">
        <v>1</v>
      </c>
      <c r="T143" s="187">
        <v>1</v>
      </c>
      <c r="U143" s="187" t="s">
        <v>478</v>
      </c>
      <c r="V143" s="187">
        <v>1</v>
      </c>
      <c r="W143" s="187">
        <v>1</v>
      </c>
      <c r="X143" s="187">
        <v>1</v>
      </c>
      <c r="Y143" s="187">
        <v>1</v>
      </c>
    </row>
    <row r="144" spans="1:25" x14ac:dyDescent="0.25">
      <c r="A144" t="s">
        <v>897</v>
      </c>
      <c r="B144" t="s">
        <v>898</v>
      </c>
      <c r="C144" s="187"/>
      <c r="D144" s="187" t="s">
        <v>657</v>
      </c>
      <c r="E144" s="272" t="s">
        <v>444</v>
      </c>
      <c r="F144" s="272" t="s">
        <v>444</v>
      </c>
      <c r="G144" s="273">
        <v>1</v>
      </c>
      <c r="H144" s="274">
        <v>1</v>
      </c>
      <c r="I144" s="272" t="s">
        <v>444</v>
      </c>
      <c r="J144" s="272" t="s">
        <v>444</v>
      </c>
      <c r="K144" s="273">
        <v>4.4000000000000004</v>
      </c>
      <c r="L144" s="274">
        <v>4.4000000000000004</v>
      </c>
      <c r="M144" s="272" t="s">
        <v>444</v>
      </c>
      <c r="N144" s="272" t="s">
        <v>444</v>
      </c>
      <c r="O144" s="273">
        <v>4.4000000000000004</v>
      </c>
      <c r="P144" s="274">
        <v>4.4000000000000004</v>
      </c>
      <c r="Q144" s="275" t="s">
        <v>444</v>
      </c>
      <c r="R144" s="276" t="s">
        <v>444</v>
      </c>
      <c r="S144" s="187">
        <v>1</v>
      </c>
      <c r="T144" s="187">
        <v>1</v>
      </c>
      <c r="U144" s="187" t="s">
        <v>478</v>
      </c>
      <c r="V144" s="187">
        <v>1</v>
      </c>
      <c r="W144" s="187">
        <v>1</v>
      </c>
      <c r="X144" s="187">
        <v>1</v>
      </c>
      <c r="Y144" s="187">
        <v>1</v>
      </c>
    </row>
    <row r="145" spans="1:25" x14ac:dyDescent="0.25">
      <c r="A145" t="s">
        <v>899</v>
      </c>
      <c r="B145" t="s">
        <v>900</v>
      </c>
      <c r="C145" s="187"/>
      <c r="D145" s="187" t="s">
        <v>664</v>
      </c>
      <c r="E145" s="272" t="s">
        <v>444</v>
      </c>
      <c r="F145" s="272" t="s">
        <v>444</v>
      </c>
      <c r="G145" s="273">
        <v>700</v>
      </c>
      <c r="H145" s="274">
        <v>700</v>
      </c>
      <c r="I145" s="272" t="s">
        <v>444</v>
      </c>
      <c r="J145" s="272" t="s">
        <v>444</v>
      </c>
      <c r="K145" s="273">
        <v>3080.0000000000005</v>
      </c>
      <c r="L145" s="274">
        <v>3100</v>
      </c>
      <c r="M145" s="272" t="s">
        <v>444</v>
      </c>
      <c r="N145" s="272" t="s">
        <v>444</v>
      </c>
      <c r="O145" s="273">
        <v>3080.0000000000005</v>
      </c>
      <c r="P145" s="274">
        <v>3100</v>
      </c>
      <c r="Q145" s="275" t="s">
        <v>444</v>
      </c>
      <c r="R145" s="276" t="s">
        <v>444</v>
      </c>
      <c r="S145" s="187">
        <v>1</v>
      </c>
      <c r="T145" s="187">
        <v>1</v>
      </c>
      <c r="U145" s="187" t="s">
        <v>478</v>
      </c>
      <c r="V145" s="187">
        <v>1</v>
      </c>
      <c r="W145" s="187">
        <v>1</v>
      </c>
      <c r="X145" s="187">
        <v>1</v>
      </c>
      <c r="Y145" s="187">
        <v>1</v>
      </c>
    </row>
    <row r="146" spans="1:25" x14ac:dyDescent="0.25">
      <c r="A146" t="s">
        <v>901</v>
      </c>
      <c r="B146" t="s">
        <v>902</v>
      </c>
      <c r="C146" s="187"/>
      <c r="D146" s="187" t="s">
        <v>657</v>
      </c>
      <c r="E146" s="272">
        <v>3.8461538461538458</v>
      </c>
      <c r="F146" s="272">
        <v>3.8</v>
      </c>
      <c r="G146" s="273">
        <v>8000</v>
      </c>
      <c r="H146" s="274">
        <v>8000</v>
      </c>
      <c r="I146" s="272">
        <v>99.999999999999986</v>
      </c>
      <c r="J146" s="272">
        <v>100</v>
      </c>
      <c r="K146" s="273">
        <v>35200</v>
      </c>
      <c r="L146" s="274">
        <v>35000</v>
      </c>
      <c r="M146" s="272">
        <v>46.153846153846146</v>
      </c>
      <c r="N146" s="272">
        <v>46</v>
      </c>
      <c r="O146" s="273">
        <v>35200</v>
      </c>
      <c r="P146" s="274">
        <v>35000</v>
      </c>
      <c r="Q146" s="275">
        <v>8000</v>
      </c>
      <c r="R146" s="276">
        <v>8000</v>
      </c>
      <c r="S146" s="187">
        <v>1</v>
      </c>
      <c r="T146" s="187">
        <v>1</v>
      </c>
      <c r="U146" s="187" t="s">
        <v>478</v>
      </c>
      <c r="V146" s="187">
        <v>1</v>
      </c>
      <c r="W146" s="187">
        <v>1</v>
      </c>
      <c r="X146" s="187">
        <v>1</v>
      </c>
      <c r="Y146" s="187">
        <v>1</v>
      </c>
    </row>
    <row r="147" spans="1:25" x14ac:dyDescent="0.25">
      <c r="A147" t="s">
        <v>903</v>
      </c>
      <c r="B147" t="s">
        <v>904</v>
      </c>
      <c r="C147" s="187"/>
      <c r="D147" s="187" t="s">
        <v>444</v>
      </c>
      <c r="E147" s="272">
        <v>4.0000000000000001E-3</v>
      </c>
      <c r="F147" s="272">
        <v>4.0000000000000001E-3</v>
      </c>
      <c r="G147" s="273" t="s">
        <v>444</v>
      </c>
      <c r="H147" s="274" t="s">
        <v>444</v>
      </c>
      <c r="I147" s="272">
        <v>0.10400000000000001</v>
      </c>
      <c r="J147" s="272">
        <v>0.1</v>
      </c>
      <c r="K147" s="273" t="s">
        <v>444</v>
      </c>
      <c r="L147" s="274" t="s">
        <v>444</v>
      </c>
      <c r="M147" s="272">
        <v>4.8000000000000001E-2</v>
      </c>
      <c r="N147" s="272">
        <v>4.8000000000000001E-2</v>
      </c>
      <c r="O147" s="273" t="s">
        <v>444</v>
      </c>
      <c r="P147" s="274" t="s">
        <v>444</v>
      </c>
      <c r="Q147" s="275" t="s">
        <v>444</v>
      </c>
      <c r="R147" s="276" t="s">
        <v>444</v>
      </c>
      <c r="S147" s="187">
        <v>1</v>
      </c>
      <c r="T147" s="187">
        <v>1</v>
      </c>
      <c r="U147" s="187" t="s">
        <v>478</v>
      </c>
      <c r="V147" s="187">
        <v>1</v>
      </c>
      <c r="W147" s="187">
        <v>1</v>
      </c>
      <c r="X147" s="187">
        <v>1</v>
      </c>
      <c r="Y147" s="187">
        <v>1</v>
      </c>
    </row>
    <row r="148" spans="1:25" x14ac:dyDescent="0.25">
      <c r="A148" t="s">
        <v>77</v>
      </c>
      <c r="B148" t="s">
        <v>146</v>
      </c>
      <c r="C148" s="187" t="s">
        <v>700</v>
      </c>
      <c r="D148" s="187" t="s">
        <v>657</v>
      </c>
      <c r="E148" s="272">
        <v>2.9411764705882353E-2</v>
      </c>
      <c r="F148" s="272">
        <v>2.9000000000000001E-2</v>
      </c>
      <c r="G148" s="273">
        <v>3.7</v>
      </c>
      <c r="H148" s="274">
        <v>3.7</v>
      </c>
      <c r="I148" s="272">
        <v>0.76470588235294112</v>
      </c>
      <c r="J148" s="272">
        <v>0.76</v>
      </c>
      <c r="K148" s="273">
        <v>16.28</v>
      </c>
      <c r="L148" s="274">
        <v>16</v>
      </c>
      <c r="M148" s="272">
        <v>0.3529411764705882</v>
      </c>
      <c r="N148" s="272">
        <v>0.35</v>
      </c>
      <c r="O148" s="273">
        <v>16.28</v>
      </c>
      <c r="P148" s="274">
        <v>16</v>
      </c>
      <c r="Q148" s="275">
        <v>200</v>
      </c>
      <c r="R148" s="276">
        <v>200</v>
      </c>
      <c r="S148" s="187">
        <v>1</v>
      </c>
      <c r="T148" s="187">
        <v>1</v>
      </c>
      <c r="U148" s="187" t="s">
        <v>478</v>
      </c>
      <c r="V148" s="187">
        <v>1</v>
      </c>
      <c r="W148" s="187">
        <v>1</v>
      </c>
      <c r="X148" s="187">
        <v>1</v>
      </c>
      <c r="Y148" s="187">
        <v>1</v>
      </c>
    </row>
    <row r="149" spans="1:25" x14ac:dyDescent="0.25">
      <c r="A149" s="383">
        <v>365</v>
      </c>
      <c r="B149" t="s">
        <v>905</v>
      </c>
      <c r="C149" s="187" t="s">
        <v>906</v>
      </c>
      <c r="D149" s="187" t="s">
        <v>657</v>
      </c>
      <c r="E149" s="272">
        <v>3.8461538461538464E-3</v>
      </c>
      <c r="F149" s="272">
        <v>3.8E-3</v>
      </c>
      <c r="G149" s="273">
        <v>1.4E-2</v>
      </c>
      <c r="H149" s="274">
        <v>1.4E-2</v>
      </c>
      <c r="I149" s="272">
        <v>0.1</v>
      </c>
      <c r="J149" s="272">
        <v>0.1</v>
      </c>
      <c r="K149" s="273">
        <v>6.1600000000000009E-2</v>
      </c>
      <c r="L149" s="274">
        <v>6.2E-2</v>
      </c>
      <c r="M149" s="272">
        <v>4.6153846153846156E-2</v>
      </c>
      <c r="N149" s="272">
        <v>4.5999999999999999E-2</v>
      </c>
      <c r="O149" s="273">
        <v>6.1600000000000009E-2</v>
      </c>
      <c r="P149" s="274">
        <v>6.2E-2</v>
      </c>
      <c r="Q149" s="275">
        <v>0.2</v>
      </c>
      <c r="R149" s="276">
        <v>0.2</v>
      </c>
      <c r="S149" s="187">
        <v>1</v>
      </c>
      <c r="T149" s="187">
        <v>1</v>
      </c>
      <c r="U149" s="187" t="s">
        <v>478</v>
      </c>
      <c r="V149" s="187">
        <v>1</v>
      </c>
      <c r="W149" s="187">
        <v>1</v>
      </c>
      <c r="X149" s="187">
        <v>1</v>
      </c>
      <c r="Y149" s="187">
        <v>1</v>
      </c>
    </row>
    <row r="150" spans="1:25" x14ac:dyDescent="0.25">
      <c r="A150">
        <v>368</v>
      </c>
      <c r="B150" t="s">
        <v>907</v>
      </c>
      <c r="C150" s="187" t="s">
        <v>906</v>
      </c>
      <c r="D150" s="187" t="s">
        <v>657</v>
      </c>
      <c r="E150" s="272" t="s">
        <v>444</v>
      </c>
      <c r="F150" s="272" t="s">
        <v>444</v>
      </c>
      <c r="G150" s="273">
        <v>1.4E-2</v>
      </c>
      <c r="H150" s="274">
        <v>1.4E-2</v>
      </c>
      <c r="I150" s="272" t="s">
        <v>444</v>
      </c>
      <c r="J150" s="272" t="s">
        <v>444</v>
      </c>
      <c r="K150" s="273">
        <v>6.1600000000000009E-2</v>
      </c>
      <c r="L150" s="274">
        <v>6.2E-2</v>
      </c>
      <c r="M150" s="272" t="s">
        <v>444</v>
      </c>
      <c r="N150" s="272" t="s">
        <v>444</v>
      </c>
      <c r="O150" s="273">
        <v>6.1600000000000009E-2</v>
      </c>
      <c r="P150" s="274">
        <v>6.2E-2</v>
      </c>
      <c r="Q150" s="275">
        <v>0.2</v>
      </c>
      <c r="R150" s="276">
        <v>0.2</v>
      </c>
      <c r="S150" s="187">
        <v>1</v>
      </c>
      <c r="T150" s="187">
        <v>1</v>
      </c>
      <c r="U150" s="187" t="s">
        <v>478</v>
      </c>
      <c r="V150" s="187">
        <v>1</v>
      </c>
      <c r="W150" s="187">
        <v>1</v>
      </c>
      <c r="X150" s="187">
        <v>1</v>
      </c>
      <c r="Y150" s="187">
        <v>1</v>
      </c>
    </row>
    <row r="151" spans="1:25" x14ac:dyDescent="0.25">
      <c r="A151" t="s">
        <v>908</v>
      </c>
      <c r="B151" t="s">
        <v>909</v>
      </c>
      <c r="C151" s="187"/>
      <c r="D151" s="187" t="s">
        <v>664</v>
      </c>
      <c r="E151" s="272" t="s">
        <v>444</v>
      </c>
      <c r="F151" s="272" t="s">
        <v>444</v>
      </c>
      <c r="G151" s="273" t="s">
        <v>444</v>
      </c>
      <c r="H151" s="274" t="s">
        <v>444</v>
      </c>
      <c r="I151" s="272" t="s">
        <v>444</v>
      </c>
      <c r="J151" s="272" t="s">
        <v>444</v>
      </c>
      <c r="K151" s="273" t="s">
        <v>444</v>
      </c>
      <c r="L151" s="274" t="s">
        <v>444</v>
      </c>
      <c r="M151" s="272" t="s">
        <v>444</v>
      </c>
      <c r="N151" s="272" t="s">
        <v>444</v>
      </c>
      <c r="O151" s="273" t="s">
        <v>444</v>
      </c>
      <c r="P151" s="274" t="s">
        <v>444</v>
      </c>
      <c r="Q151" s="275">
        <v>86</v>
      </c>
      <c r="R151" s="276">
        <v>86</v>
      </c>
      <c r="S151" s="187">
        <v>1</v>
      </c>
      <c r="T151" s="187">
        <v>1</v>
      </c>
      <c r="U151" s="187" t="s">
        <v>478</v>
      </c>
      <c r="V151" s="187">
        <v>1</v>
      </c>
      <c r="W151" s="187">
        <v>1</v>
      </c>
      <c r="X151" s="187">
        <v>1</v>
      </c>
      <c r="Y151" s="187">
        <v>1</v>
      </c>
    </row>
    <row r="152" spans="1:25" x14ac:dyDescent="0.25">
      <c r="A152" t="s">
        <v>910</v>
      </c>
      <c r="B152" t="s">
        <v>911</v>
      </c>
      <c r="C152" s="187"/>
      <c r="D152" s="187" t="s">
        <v>657</v>
      </c>
      <c r="E152" s="272">
        <v>2.4999999999999998E-2</v>
      </c>
      <c r="F152" s="272">
        <v>2.5000000000000001E-2</v>
      </c>
      <c r="G152" s="273">
        <v>9</v>
      </c>
      <c r="H152" s="274">
        <v>9</v>
      </c>
      <c r="I152" s="272">
        <v>0.64999999999999991</v>
      </c>
      <c r="J152" s="272">
        <v>0.65</v>
      </c>
      <c r="K152" s="273">
        <v>39.6</v>
      </c>
      <c r="L152" s="274">
        <v>40</v>
      </c>
      <c r="M152" s="272">
        <v>0.3</v>
      </c>
      <c r="N152" s="272">
        <v>0.3</v>
      </c>
      <c r="O152" s="273">
        <v>39.6</v>
      </c>
      <c r="P152" s="274">
        <v>40</v>
      </c>
      <c r="Q152" s="275" t="s">
        <v>444</v>
      </c>
      <c r="R152" s="276" t="s">
        <v>444</v>
      </c>
      <c r="S152" s="187">
        <v>1</v>
      </c>
      <c r="T152" s="187">
        <v>1</v>
      </c>
      <c r="U152" s="187" t="s">
        <v>478</v>
      </c>
      <c r="V152" s="187">
        <v>1</v>
      </c>
      <c r="W152" s="187">
        <v>1</v>
      </c>
      <c r="X152" s="187">
        <v>1</v>
      </c>
      <c r="Y152" s="187">
        <v>1</v>
      </c>
    </row>
    <row r="153" spans="1:25" x14ac:dyDescent="0.25">
      <c r="A153" t="s">
        <v>912</v>
      </c>
      <c r="B153" t="s">
        <v>913</v>
      </c>
      <c r="C153" s="187"/>
      <c r="D153" s="187" t="s">
        <v>657</v>
      </c>
      <c r="E153" s="272" t="s">
        <v>444</v>
      </c>
      <c r="F153" s="272" t="s">
        <v>444</v>
      </c>
      <c r="G153" s="273">
        <v>20</v>
      </c>
      <c r="H153" s="274">
        <v>20</v>
      </c>
      <c r="I153" s="272" t="s">
        <v>444</v>
      </c>
      <c r="J153" s="272" t="s">
        <v>444</v>
      </c>
      <c r="K153" s="273">
        <v>88</v>
      </c>
      <c r="L153" s="274">
        <v>88</v>
      </c>
      <c r="M153" s="272" t="s">
        <v>444</v>
      </c>
      <c r="N153" s="272" t="s">
        <v>444</v>
      </c>
      <c r="O153" s="273">
        <v>88</v>
      </c>
      <c r="P153" s="274">
        <v>88</v>
      </c>
      <c r="Q153" s="275" t="s">
        <v>444</v>
      </c>
      <c r="R153" s="276" t="s">
        <v>444</v>
      </c>
      <c r="S153" s="187">
        <v>1</v>
      </c>
      <c r="T153" s="187">
        <v>1</v>
      </c>
      <c r="U153" s="187" t="s">
        <v>478</v>
      </c>
      <c r="V153" s="187">
        <v>1</v>
      </c>
      <c r="W153" s="187">
        <v>1</v>
      </c>
      <c r="X153" s="187">
        <v>1</v>
      </c>
      <c r="Y153" s="187">
        <v>1</v>
      </c>
    </row>
    <row r="154" spans="1:25" x14ac:dyDescent="0.25">
      <c r="A154" t="s">
        <v>914</v>
      </c>
      <c r="B154" t="s">
        <v>915</v>
      </c>
      <c r="C154" s="187"/>
      <c r="D154" s="187" t="s">
        <v>444</v>
      </c>
      <c r="E154" s="272">
        <v>3.2258064516129032E-4</v>
      </c>
      <c r="F154" s="272">
        <v>3.2000000000000003E-4</v>
      </c>
      <c r="G154" s="273" t="s">
        <v>444</v>
      </c>
      <c r="H154" s="274" t="s">
        <v>444</v>
      </c>
      <c r="I154" s="272">
        <v>8.3870967741935479E-3</v>
      </c>
      <c r="J154" s="272">
        <v>8.3999999999999995E-3</v>
      </c>
      <c r="K154" s="273" t="s">
        <v>444</v>
      </c>
      <c r="L154" s="274" t="s">
        <v>444</v>
      </c>
      <c r="M154" s="272">
        <v>3.8709677419354839E-3</v>
      </c>
      <c r="N154" s="272">
        <v>3.8999999999999998E-3</v>
      </c>
      <c r="O154" s="273" t="s">
        <v>444</v>
      </c>
      <c r="P154" s="274" t="s">
        <v>444</v>
      </c>
      <c r="Q154" s="275" t="s">
        <v>444</v>
      </c>
      <c r="R154" s="276" t="s">
        <v>444</v>
      </c>
      <c r="S154" s="187">
        <v>1</v>
      </c>
      <c r="T154" s="187">
        <v>1</v>
      </c>
      <c r="U154" s="187" t="s">
        <v>478</v>
      </c>
      <c r="V154" s="187">
        <v>1</v>
      </c>
      <c r="W154" s="187">
        <v>1</v>
      </c>
      <c r="X154" s="187">
        <v>1</v>
      </c>
      <c r="Y154" s="187">
        <v>1</v>
      </c>
    </row>
    <row r="155" spans="1:25" x14ac:dyDescent="0.25">
      <c r="A155" t="s">
        <v>916</v>
      </c>
      <c r="B155" t="s">
        <v>917</v>
      </c>
      <c r="C155" s="187" t="s">
        <v>667</v>
      </c>
      <c r="D155" s="187" t="s">
        <v>444</v>
      </c>
      <c r="E155" s="272">
        <v>5.8823529411764701E-5</v>
      </c>
      <c r="F155" s="272">
        <v>5.8999999999999998E-5</v>
      </c>
      <c r="G155" s="273" t="s">
        <v>444</v>
      </c>
      <c r="H155" s="274" t="s">
        <v>444</v>
      </c>
      <c r="I155" s="272">
        <v>6.19047619047619E-4</v>
      </c>
      <c r="J155" s="272">
        <v>6.2E-4</v>
      </c>
      <c r="K155" s="273" t="s">
        <v>444</v>
      </c>
      <c r="L155" s="274" t="s">
        <v>444</v>
      </c>
      <c r="M155" s="272">
        <v>1.1999999999999999E-3</v>
      </c>
      <c r="N155" s="272">
        <v>1.1999999999999999E-3</v>
      </c>
      <c r="O155" s="273" t="s">
        <v>444</v>
      </c>
      <c r="P155" s="274" t="s">
        <v>444</v>
      </c>
      <c r="Q155" s="275" t="s">
        <v>444</v>
      </c>
      <c r="R155" s="276" t="s">
        <v>444</v>
      </c>
      <c r="S155" s="187">
        <v>1</v>
      </c>
      <c r="T155" s="187">
        <v>1</v>
      </c>
      <c r="U155" s="187" t="s">
        <v>244</v>
      </c>
      <c r="V155" s="187">
        <v>1</v>
      </c>
      <c r="W155" s="187">
        <v>1</v>
      </c>
      <c r="X155" s="187">
        <v>1</v>
      </c>
      <c r="Y155" s="187">
        <v>1</v>
      </c>
    </row>
    <row r="156" spans="1:25" x14ac:dyDescent="0.25">
      <c r="A156" t="s">
        <v>918</v>
      </c>
      <c r="B156" t="s">
        <v>919</v>
      </c>
      <c r="C156" s="187" t="s">
        <v>667</v>
      </c>
      <c r="D156" s="187" t="s">
        <v>444</v>
      </c>
      <c r="E156" s="272">
        <v>1.2787723785166239E-4</v>
      </c>
      <c r="F156" s="272">
        <v>1.2999999999999999E-4</v>
      </c>
      <c r="G156" s="273" t="s">
        <v>444</v>
      </c>
      <c r="H156" s="274" t="s">
        <v>444</v>
      </c>
      <c r="I156" s="272">
        <v>1.3457556935817802E-3</v>
      </c>
      <c r="J156" s="272">
        <v>1.2999999999999999E-3</v>
      </c>
      <c r="K156" s="273" t="s">
        <v>444</v>
      </c>
      <c r="L156" s="274" t="s">
        <v>444</v>
      </c>
      <c r="M156" s="272">
        <v>2.6086956521739128E-3</v>
      </c>
      <c r="N156" s="272">
        <v>2.5999999999999999E-3</v>
      </c>
      <c r="O156" s="273" t="s">
        <v>444</v>
      </c>
      <c r="P156" s="274" t="s">
        <v>444</v>
      </c>
      <c r="Q156" s="275" t="s">
        <v>444</v>
      </c>
      <c r="R156" s="276" t="s">
        <v>444</v>
      </c>
      <c r="S156" s="187">
        <v>1</v>
      </c>
      <c r="T156" s="187">
        <v>1</v>
      </c>
      <c r="U156" s="187" t="s">
        <v>244</v>
      </c>
      <c r="V156" s="187">
        <v>1</v>
      </c>
      <c r="W156" s="187">
        <v>1</v>
      </c>
      <c r="X156" s="187">
        <v>1</v>
      </c>
      <c r="Y156" s="187">
        <v>1</v>
      </c>
    </row>
    <row r="157" spans="1:25" x14ac:dyDescent="0.25">
      <c r="A157" t="s">
        <v>920</v>
      </c>
      <c r="B157" t="s">
        <v>921</v>
      </c>
      <c r="C157" s="187"/>
      <c r="D157" s="187" t="s">
        <v>444</v>
      </c>
      <c r="E157" s="272">
        <v>0.38461538461538458</v>
      </c>
      <c r="F157" s="272">
        <v>0.38</v>
      </c>
      <c r="G157" s="273" t="s">
        <v>444</v>
      </c>
      <c r="H157" s="274" t="s">
        <v>444</v>
      </c>
      <c r="I157" s="272">
        <v>10</v>
      </c>
      <c r="J157" s="272">
        <v>10</v>
      </c>
      <c r="K157" s="273" t="s">
        <v>444</v>
      </c>
      <c r="L157" s="274" t="s">
        <v>444</v>
      </c>
      <c r="M157" s="272">
        <v>4.615384615384615</v>
      </c>
      <c r="N157" s="272">
        <v>4.5999999999999996</v>
      </c>
      <c r="O157" s="273" t="s">
        <v>444</v>
      </c>
      <c r="P157" s="274" t="s">
        <v>444</v>
      </c>
      <c r="Q157" s="275" t="s">
        <v>444</v>
      </c>
      <c r="R157" s="276" t="s">
        <v>444</v>
      </c>
      <c r="S157" s="187">
        <v>1</v>
      </c>
      <c r="T157" s="187">
        <v>1</v>
      </c>
      <c r="U157" s="187" t="s">
        <v>478</v>
      </c>
      <c r="V157" s="187">
        <v>1</v>
      </c>
      <c r="W157" s="187">
        <v>1</v>
      </c>
      <c r="X157" s="187">
        <v>1</v>
      </c>
      <c r="Y157" s="187">
        <v>1</v>
      </c>
    </row>
    <row r="158" spans="1:25" x14ac:dyDescent="0.25">
      <c r="A158" t="s">
        <v>922</v>
      </c>
      <c r="B158" t="s">
        <v>923</v>
      </c>
      <c r="C158" s="187"/>
      <c r="D158" s="187" t="s">
        <v>444</v>
      </c>
      <c r="E158" s="272">
        <v>0.15873015873015872</v>
      </c>
      <c r="F158" s="272">
        <v>0.16</v>
      </c>
      <c r="G158" s="273" t="s">
        <v>444</v>
      </c>
      <c r="H158" s="274" t="s">
        <v>444</v>
      </c>
      <c r="I158" s="272">
        <v>4.1269841269841265</v>
      </c>
      <c r="J158" s="272">
        <v>4.0999999999999996</v>
      </c>
      <c r="K158" s="273" t="s">
        <v>444</v>
      </c>
      <c r="L158" s="274" t="s">
        <v>444</v>
      </c>
      <c r="M158" s="272">
        <v>1.9047619047619047</v>
      </c>
      <c r="N158" s="272">
        <v>1.9</v>
      </c>
      <c r="O158" s="273" t="s">
        <v>444</v>
      </c>
      <c r="P158" s="274" t="s">
        <v>444</v>
      </c>
      <c r="Q158" s="275" t="s">
        <v>444</v>
      </c>
      <c r="R158" s="276" t="s">
        <v>444</v>
      </c>
      <c r="S158" s="187">
        <v>1</v>
      </c>
      <c r="T158" s="187">
        <v>1</v>
      </c>
      <c r="U158" s="187" t="s">
        <v>478</v>
      </c>
      <c r="V158" s="187">
        <v>1</v>
      </c>
      <c r="W158" s="187">
        <v>1</v>
      </c>
      <c r="X158" s="187">
        <v>1</v>
      </c>
      <c r="Y158" s="187">
        <v>1</v>
      </c>
    </row>
    <row r="159" spans="1:25" x14ac:dyDescent="0.25">
      <c r="A159" t="s">
        <v>924</v>
      </c>
      <c r="B159" t="s">
        <v>925</v>
      </c>
      <c r="C159" s="187"/>
      <c r="D159" s="187" t="s">
        <v>444</v>
      </c>
      <c r="E159" s="272">
        <v>5.0000000000000001E-4</v>
      </c>
      <c r="F159" s="272">
        <v>5.0000000000000001E-4</v>
      </c>
      <c r="G159" s="273" t="s">
        <v>444</v>
      </c>
      <c r="H159" s="274" t="s">
        <v>444</v>
      </c>
      <c r="I159" s="272">
        <v>1.3000000000000001E-2</v>
      </c>
      <c r="J159" s="272">
        <v>1.2999999999999999E-2</v>
      </c>
      <c r="K159" s="273" t="s">
        <v>444</v>
      </c>
      <c r="L159" s="274" t="s">
        <v>444</v>
      </c>
      <c r="M159" s="272">
        <v>6.0000000000000001E-3</v>
      </c>
      <c r="N159" s="272">
        <v>6.0000000000000001E-3</v>
      </c>
      <c r="O159" s="273" t="s">
        <v>444</v>
      </c>
      <c r="P159" s="274" t="s">
        <v>444</v>
      </c>
      <c r="Q159" s="275" t="s">
        <v>444</v>
      </c>
      <c r="R159" s="276" t="s">
        <v>444</v>
      </c>
      <c r="S159" s="187">
        <v>1</v>
      </c>
      <c r="T159" s="187">
        <v>1</v>
      </c>
      <c r="U159" s="187" t="s">
        <v>478</v>
      </c>
      <c r="V159" s="187">
        <v>1</v>
      </c>
      <c r="W159" s="187">
        <v>1</v>
      </c>
      <c r="X159" s="187">
        <v>1</v>
      </c>
      <c r="Y159" s="187">
        <v>1</v>
      </c>
    </row>
    <row r="160" spans="1:25" x14ac:dyDescent="0.25">
      <c r="A160" t="s">
        <v>926</v>
      </c>
      <c r="B160" t="s">
        <v>927</v>
      </c>
      <c r="C160" s="187"/>
      <c r="D160" s="187" t="s">
        <v>444</v>
      </c>
      <c r="E160" s="272">
        <v>1.5873015873015873E-4</v>
      </c>
      <c r="F160" s="272">
        <v>1.6000000000000001E-4</v>
      </c>
      <c r="G160" s="273" t="s">
        <v>444</v>
      </c>
      <c r="H160" s="274" t="s">
        <v>444</v>
      </c>
      <c r="I160" s="272">
        <v>4.1269841269841265E-3</v>
      </c>
      <c r="J160" s="272">
        <v>4.1000000000000003E-3</v>
      </c>
      <c r="K160" s="273" t="s">
        <v>444</v>
      </c>
      <c r="L160" s="274" t="s">
        <v>444</v>
      </c>
      <c r="M160" s="272">
        <v>1.9047619047619048E-3</v>
      </c>
      <c r="N160" s="272">
        <v>1.9E-3</v>
      </c>
      <c r="O160" s="273" t="s">
        <v>444</v>
      </c>
      <c r="P160" s="274" t="s">
        <v>444</v>
      </c>
      <c r="Q160" s="275" t="s">
        <v>444</v>
      </c>
      <c r="R160" s="276" t="s">
        <v>444</v>
      </c>
      <c r="S160" s="187">
        <v>1</v>
      </c>
      <c r="T160" s="187">
        <v>1</v>
      </c>
      <c r="U160" s="187" t="s">
        <v>478</v>
      </c>
      <c r="V160" s="187">
        <v>1</v>
      </c>
      <c r="W160" s="187">
        <v>1</v>
      </c>
      <c r="X160" s="187">
        <v>1</v>
      </c>
      <c r="Y160" s="187">
        <v>1</v>
      </c>
    </row>
    <row r="161" spans="1:25" x14ac:dyDescent="0.25">
      <c r="A161" t="s">
        <v>928</v>
      </c>
      <c r="B161" t="s">
        <v>929</v>
      </c>
      <c r="C161" s="187"/>
      <c r="D161" s="187" t="s">
        <v>444</v>
      </c>
      <c r="E161" s="272">
        <v>5.263157894736842E-4</v>
      </c>
      <c r="F161" s="272">
        <v>5.2999999999999998E-4</v>
      </c>
      <c r="G161" s="273" t="s">
        <v>444</v>
      </c>
      <c r="H161" s="274" t="s">
        <v>444</v>
      </c>
      <c r="I161" s="272">
        <v>1.3684210526315788E-2</v>
      </c>
      <c r="J161" s="272">
        <v>1.4E-2</v>
      </c>
      <c r="K161" s="273" t="s">
        <v>444</v>
      </c>
      <c r="L161" s="274" t="s">
        <v>444</v>
      </c>
      <c r="M161" s="272">
        <v>6.3157894736842104E-3</v>
      </c>
      <c r="N161" s="272">
        <v>6.3E-3</v>
      </c>
      <c r="O161" s="273" t="s">
        <v>444</v>
      </c>
      <c r="P161" s="274" t="s">
        <v>444</v>
      </c>
      <c r="Q161" s="275" t="s">
        <v>444</v>
      </c>
      <c r="R161" s="276" t="s">
        <v>444</v>
      </c>
      <c r="S161" s="187">
        <v>1</v>
      </c>
      <c r="T161" s="187">
        <v>1</v>
      </c>
      <c r="U161" s="187" t="s">
        <v>478</v>
      </c>
      <c r="V161" s="187">
        <v>1</v>
      </c>
      <c r="W161" s="187">
        <v>1</v>
      </c>
      <c r="X161" s="187">
        <v>1</v>
      </c>
      <c r="Y161" s="187">
        <v>1</v>
      </c>
    </row>
    <row r="162" spans="1:25" x14ac:dyDescent="0.25">
      <c r="A162" t="s">
        <v>930</v>
      </c>
      <c r="B162" t="s">
        <v>931</v>
      </c>
      <c r="C162" s="187"/>
      <c r="D162" s="187" t="s">
        <v>444</v>
      </c>
      <c r="E162" s="272">
        <v>3.7037037037037035E-4</v>
      </c>
      <c r="F162" s="272">
        <v>3.6999999999999999E-4</v>
      </c>
      <c r="G162" s="273" t="s">
        <v>444</v>
      </c>
      <c r="H162" s="274" t="s">
        <v>444</v>
      </c>
      <c r="I162" s="272">
        <v>9.6296296296296286E-3</v>
      </c>
      <c r="J162" s="272">
        <v>9.5999999999999992E-3</v>
      </c>
      <c r="K162" s="273" t="s">
        <v>444</v>
      </c>
      <c r="L162" s="274" t="s">
        <v>444</v>
      </c>
      <c r="M162" s="272">
        <v>4.4444444444444444E-3</v>
      </c>
      <c r="N162" s="272">
        <v>4.4000000000000003E-3</v>
      </c>
      <c r="O162" s="273" t="s">
        <v>444</v>
      </c>
      <c r="P162" s="274" t="s">
        <v>444</v>
      </c>
      <c r="Q162" s="275" t="s">
        <v>444</v>
      </c>
      <c r="R162" s="276" t="s">
        <v>444</v>
      </c>
      <c r="S162" s="187">
        <v>1</v>
      </c>
      <c r="T162" s="187">
        <v>1</v>
      </c>
      <c r="U162" s="187" t="s">
        <v>478</v>
      </c>
      <c r="V162" s="187">
        <v>1</v>
      </c>
      <c r="W162" s="187">
        <v>1</v>
      </c>
      <c r="X162" s="187">
        <v>1</v>
      </c>
      <c r="Y162" s="187">
        <v>1</v>
      </c>
    </row>
    <row r="163" spans="1:25" x14ac:dyDescent="0.25">
      <c r="A163" t="s">
        <v>932</v>
      </c>
      <c r="B163" t="s">
        <v>933</v>
      </c>
      <c r="C163" s="187"/>
      <c r="D163" s="187" t="s">
        <v>444</v>
      </c>
      <c r="E163" s="272">
        <v>1.6666666666666668E-3</v>
      </c>
      <c r="F163" s="272">
        <v>1.6999999999999999E-3</v>
      </c>
      <c r="G163" s="273" t="s">
        <v>444</v>
      </c>
      <c r="H163" s="274" t="s">
        <v>444</v>
      </c>
      <c r="I163" s="272">
        <v>4.3333333333333335E-2</v>
      </c>
      <c r="J163" s="272">
        <v>4.2999999999999997E-2</v>
      </c>
      <c r="K163" s="273" t="s">
        <v>444</v>
      </c>
      <c r="L163" s="274" t="s">
        <v>444</v>
      </c>
      <c r="M163" s="272">
        <v>0.02</v>
      </c>
      <c r="N163" s="272">
        <v>0.02</v>
      </c>
      <c r="O163" s="273" t="s">
        <v>444</v>
      </c>
      <c r="P163" s="274" t="s">
        <v>444</v>
      </c>
      <c r="Q163" s="275" t="s">
        <v>444</v>
      </c>
      <c r="R163" s="276" t="s">
        <v>444</v>
      </c>
      <c r="S163" s="187">
        <v>1</v>
      </c>
      <c r="T163" s="187">
        <v>1</v>
      </c>
      <c r="U163" s="187" t="s">
        <v>478</v>
      </c>
      <c r="V163" s="187">
        <v>1</v>
      </c>
      <c r="W163" s="187">
        <v>1</v>
      </c>
      <c r="X163" s="187">
        <v>1</v>
      </c>
      <c r="Y163" s="187">
        <v>1</v>
      </c>
    </row>
    <row r="164" spans="1:25" x14ac:dyDescent="0.25">
      <c r="A164" t="s">
        <v>934</v>
      </c>
      <c r="B164" t="s">
        <v>935</v>
      </c>
      <c r="C164" s="187"/>
      <c r="D164" s="187" t="s">
        <v>657</v>
      </c>
      <c r="E164" s="272" t="s">
        <v>444</v>
      </c>
      <c r="F164" s="272" t="s">
        <v>444</v>
      </c>
      <c r="G164" s="273" t="s">
        <v>444</v>
      </c>
      <c r="H164" s="274" t="s">
        <v>444</v>
      </c>
      <c r="I164" s="272" t="s">
        <v>444</v>
      </c>
      <c r="J164" s="272" t="s">
        <v>444</v>
      </c>
      <c r="K164" s="273" t="s">
        <v>444</v>
      </c>
      <c r="L164" s="274" t="s">
        <v>444</v>
      </c>
      <c r="M164" s="272" t="s">
        <v>444</v>
      </c>
      <c r="N164" s="272" t="s">
        <v>444</v>
      </c>
      <c r="O164" s="273" t="s">
        <v>444</v>
      </c>
      <c r="P164" s="274" t="s">
        <v>444</v>
      </c>
      <c r="Q164" s="275">
        <v>120</v>
      </c>
      <c r="R164" s="276">
        <v>120</v>
      </c>
      <c r="S164" s="187">
        <v>1</v>
      </c>
      <c r="T164" s="187">
        <v>1</v>
      </c>
      <c r="U164" s="187" t="s">
        <v>478</v>
      </c>
      <c r="V164" s="187">
        <v>1</v>
      </c>
      <c r="W164" s="187">
        <v>1</v>
      </c>
      <c r="X164" s="187">
        <v>1</v>
      </c>
      <c r="Y164" s="187">
        <v>1</v>
      </c>
    </row>
    <row r="165" spans="1:25" x14ac:dyDescent="0.25">
      <c r="A165" t="s">
        <v>936</v>
      </c>
      <c r="B165" t="s">
        <v>937</v>
      </c>
      <c r="C165" s="187"/>
      <c r="D165" s="187" t="s">
        <v>657</v>
      </c>
      <c r="E165" s="272" t="s">
        <v>444</v>
      </c>
      <c r="F165" s="272" t="s">
        <v>444</v>
      </c>
      <c r="G165" s="273" t="s">
        <v>444</v>
      </c>
      <c r="H165" s="274" t="s">
        <v>444</v>
      </c>
      <c r="I165" s="272" t="s">
        <v>444</v>
      </c>
      <c r="J165" s="272" t="s">
        <v>444</v>
      </c>
      <c r="K165" s="273" t="s">
        <v>444</v>
      </c>
      <c r="L165" s="274" t="s">
        <v>444</v>
      </c>
      <c r="M165" s="272" t="s">
        <v>444</v>
      </c>
      <c r="N165" s="272" t="s">
        <v>444</v>
      </c>
      <c r="O165" s="273" t="s">
        <v>444</v>
      </c>
      <c r="P165" s="274" t="s">
        <v>444</v>
      </c>
      <c r="Q165" s="275">
        <v>0.02</v>
      </c>
      <c r="R165" s="276">
        <v>0.02</v>
      </c>
      <c r="S165" s="187">
        <v>1</v>
      </c>
      <c r="T165" s="187">
        <v>1</v>
      </c>
      <c r="U165" s="187" t="s">
        <v>478</v>
      </c>
      <c r="V165" s="187">
        <v>1</v>
      </c>
      <c r="W165" s="187">
        <v>1</v>
      </c>
      <c r="X165" s="187">
        <v>1</v>
      </c>
      <c r="Y165" s="187">
        <v>1</v>
      </c>
    </row>
    <row r="166" spans="1:25" x14ac:dyDescent="0.25">
      <c r="A166" t="s">
        <v>938</v>
      </c>
      <c r="B166" t="s">
        <v>939</v>
      </c>
      <c r="C166" s="187"/>
      <c r="D166" s="187" t="s">
        <v>444</v>
      </c>
      <c r="E166" s="272">
        <v>0.19607843137254899</v>
      </c>
      <c r="F166" s="272">
        <v>0.2</v>
      </c>
      <c r="G166" s="273" t="s">
        <v>444</v>
      </c>
      <c r="H166" s="274" t="s">
        <v>444</v>
      </c>
      <c r="I166" s="272">
        <v>5.0980392156862742</v>
      </c>
      <c r="J166" s="272">
        <v>5.0999999999999996</v>
      </c>
      <c r="K166" s="273" t="s">
        <v>444</v>
      </c>
      <c r="L166" s="274" t="s">
        <v>444</v>
      </c>
      <c r="M166" s="272">
        <v>2.3529411764705879</v>
      </c>
      <c r="N166" s="272">
        <v>2.4</v>
      </c>
      <c r="O166" s="273" t="s">
        <v>444</v>
      </c>
      <c r="P166" s="274" t="s">
        <v>444</v>
      </c>
      <c r="Q166" s="275" t="s">
        <v>444</v>
      </c>
      <c r="R166" s="276" t="s">
        <v>444</v>
      </c>
      <c r="S166" s="187">
        <v>1</v>
      </c>
      <c r="T166" s="187">
        <v>1</v>
      </c>
      <c r="U166" s="187" t="s">
        <v>478</v>
      </c>
      <c r="V166" s="187">
        <v>1</v>
      </c>
      <c r="W166" s="187">
        <v>1</v>
      </c>
      <c r="X166" s="187">
        <v>1</v>
      </c>
      <c r="Y166" s="187">
        <v>1</v>
      </c>
    </row>
    <row r="167" spans="1:25" x14ac:dyDescent="0.25">
      <c r="A167" t="s">
        <v>940</v>
      </c>
      <c r="B167" t="s">
        <v>941</v>
      </c>
      <c r="C167" s="187"/>
      <c r="D167" s="187" t="s">
        <v>657</v>
      </c>
      <c r="E167" s="272" t="s">
        <v>444</v>
      </c>
      <c r="F167" s="272" t="s">
        <v>444</v>
      </c>
      <c r="G167" s="273">
        <v>200</v>
      </c>
      <c r="H167" s="274">
        <v>200</v>
      </c>
      <c r="I167" s="272" t="s">
        <v>444</v>
      </c>
      <c r="J167" s="272" t="s">
        <v>444</v>
      </c>
      <c r="K167" s="273">
        <v>880.00000000000011</v>
      </c>
      <c r="L167" s="274">
        <v>880</v>
      </c>
      <c r="M167" s="272" t="s">
        <v>444</v>
      </c>
      <c r="N167" s="272" t="s">
        <v>444</v>
      </c>
      <c r="O167" s="273">
        <v>880.00000000000011</v>
      </c>
      <c r="P167" s="274">
        <v>880</v>
      </c>
      <c r="Q167" s="275">
        <v>5800</v>
      </c>
      <c r="R167" s="276">
        <v>5800</v>
      </c>
      <c r="S167" s="187">
        <v>1</v>
      </c>
      <c r="T167" s="187">
        <v>1</v>
      </c>
      <c r="U167" s="187" t="s">
        <v>478</v>
      </c>
      <c r="V167" s="187">
        <v>1</v>
      </c>
      <c r="W167" s="187">
        <v>1</v>
      </c>
      <c r="X167" s="187">
        <v>1</v>
      </c>
      <c r="Y167" s="187">
        <v>1</v>
      </c>
    </row>
    <row r="168" spans="1:25" x14ac:dyDescent="0.25">
      <c r="A168" t="s">
        <v>942</v>
      </c>
      <c r="B168" t="s">
        <v>943</v>
      </c>
      <c r="C168" s="187"/>
      <c r="D168" s="187" t="s">
        <v>657</v>
      </c>
      <c r="E168" s="272" t="s">
        <v>444</v>
      </c>
      <c r="F168" s="272" t="s">
        <v>444</v>
      </c>
      <c r="G168" s="273">
        <v>0.3</v>
      </c>
      <c r="H168" s="274">
        <v>0.3</v>
      </c>
      <c r="I168" s="272" t="s">
        <v>444</v>
      </c>
      <c r="J168" s="272" t="s">
        <v>444</v>
      </c>
      <c r="K168" s="273">
        <v>1.32</v>
      </c>
      <c r="L168" s="274">
        <v>1.3</v>
      </c>
      <c r="M168" s="272" t="s">
        <v>444</v>
      </c>
      <c r="N168" s="272" t="s">
        <v>444</v>
      </c>
      <c r="O168" s="273">
        <v>1.32</v>
      </c>
      <c r="P168" s="274">
        <v>1.3</v>
      </c>
      <c r="Q168" s="275">
        <v>4</v>
      </c>
      <c r="R168" s="276">
        <v>4</v>
      </c>
      <c r="S168" s="187">
        <v>1</v>
      </c>
      <c r="T168" s="187">
        <v>1</v>
      </c>
      <c r="U168" s="187" t="s">
        <v>478</v>
      </c>
      <c r="V168" s="187">
        <v>1</v>
      </c>
      <c r="W168" s="187">
        <v>1</v>
      </c>
      <c r="X168" s="187">
        <v>1</v>
      </c>
      <c r="Y168" s="187">
        <v>1</v>
      </c>
    </row>
    <row r="169" spans="1:25" x14ac:dyDescent="0.25">
      <c r="A169" t="s">
        <v>944</v>
      </c>
      <c r="B169" t="s">
        <v>945</v>
      </c>
      <c r="C169" s="187"/>
      <c r="D169" s="187" t="s">
        <v>657</v>
      </c>
      <c r="E169" s="272" t="s">
        <v>444</v>
      </c>
      <c r="F169" s="272" t="s">
        <v>444</v>
      </c>
      <c r="G169" s="273">
        <v>0.8</v>
      </c>
      <c r="H169" s="274">
        <v>0.8</v>
      </c>
      <c r="I169" s="272" t="s">
        <v>444</v>
      </c>
      <c r="J169" s="272" t="s">
        <v>444</v>
      </c>
      <c r="K169" s="273">
        <v>3.5200000000000005</v>
      </c>
      <c r="L169" s="274">
        <v>3.5</v>
      </c>
      <c r="M169" s="272" t="s">
        <v>444</v>
      </c>
      <c r="N169" s="272" t="s">
        <v>444</v>
      </c>
      <c r="O169" s="273">
        <v>3.5200000000000005</v>
      </c>
      <c r="P169" s="274">
        <v>3.5</v>
      </c>
      <c r="Q169" s="275" t="s">
        <v>444</v>
      </c>
      <c r="R169" s="276" t="s">
        <v>444</v>
      </c>
      <c r="S169" s="187">
        <v>1</v>
      </c>
      <c r="T169" s="187">
        <v>1</v>
      </c>
      <c r="U169" s="187" t="s">
        <v>478</v>
      </c>
      <c r="V169" s="187">
        <v>1</v>
      </c>
      <c r="W169" s="187">
        <v>1</v>
      </c>
      <c r="X169" s="187">
        <v>1</v>
      </c>
      <c r="Y169" s="187">
        <v>1</v>
      </c>
    </row>
    <row r="170" spans="1:25" x14ac:dyDescent="0.25">
      <c r="A170" t="s">
        <v>946</v>
      </c>
      <c r="B170" t="s">
        <v>947</v>
      </c>
      <c r="C170" s="187"/>
      <c r="D170" s="187" t="s">
        <v>657</v>
      </c>
      <c r="E170" s="272" t="s">
        <v>444</v>
      </c>
      <c r="F170" s="272" t="s">
        <v>444</v>
      </c>
      <c r="G170" s="273">
        <v>10</v>
      </c>
      <c r="H170" s="274">
        <v>10</v>
      </c>
      <c r="I170" s="272" t="s">
        <v>444</v>
      </c>
      <c r="J170" s="272" t="s">
        <v>444</v>
      </c>
      <c r="K170" s="273">
        <v>44</v>
      </c>
      <c r="L170" s="274">
        <v>44</v>
      </c>
      <c r="M170" s="272" t="s">
        <v>444</v>
      </c>
      <c r="N170" s="272" t="s">
        <v>444</v>
      </c>
      <c r="O170" s="273">
        <v>44</v>
      </c>
      <c r="P170" s="274">
        <v>44</v>
      </c>
      <c r="Q170" s="275" t="s">
        <v>444</v>
      </c>
      <c r="R170" s="276" t="s">
        <v>444</v>
      </c>
      <c r="S170" s="187">
        <v>1</v>
      </c>
      <c r="T170" s="187">
        <v>1</v>
      </c>
      <c r="U170" s="187" t="s">
        <v>478</v>
      </c>
      <c r="V170" s="187">
        <v>1</v>
      </c>
      <c r="W170" s="187">
        <v>1</v>
      </c>
      <c r="X170" s="187">
        <v>1</v>
      </c>
      <c r="Y170" s="187">
        <v>1</v>
      </c>
    </row>
    <row r="171" spans="1:25" x14ac:dyDescent="0.25">
      <c r="A171" t="s">
        <v>948</v>
      </c>
      <c r="B171" t="s">
        <v>949</v>
      </c>
      <c r="C171" s="187"/>
      <c r="D171" s="187" t="s">
        <v>657</v>
      </c>
      <c r="E171" s="272" t="s">
        <v>444</v>
      </c>
      <c r="F171" s="272" t="s">
        <v>444</v>
      </c>
      <c r="G171" s="273">
        <v>9</v>
      </c>
      <c r="H171" s="274">
        <v>9</v>
      </c>
      <c r="I171" s="272" t="s">
        <v>444</v>
      </c>
      <c r="J171" s="272" t="s">
        <v>444</v>
      </c>
      <c r="K171" s="273">
        <v>39.6</v>
      </c>
      <c r="L171" s="274">
        <v>40</v>
      </c>
      <c r="M171" s="272" t="s">
        <v>444</v>
      </c>
      <c r="N171" s="272" t="s">
        <v>444</v>
      </c>
      <c r="O171" s="273">
        <v>39.6</v>
      </c>
      <c r="P171" s="274">
        <v>40</v>
      </c>
      <c r="Q171" s="275">
        <v>20</v>
      </c>
      <c r="R171" s="276">
        <v>20</v>
      </c>
      <c r="S171" s="187">
        <v>1</v>
      </c>
      <c r="T171" s="187">
        <v>1</v>
      </c>
      <c r="U171" s="187" t="s">
        <v>478</v>
      </c>
      <c r="V171" s="187">
        <v>1</v>
      </c>
      <c r="W171" s="187">
        <v>1</v>
      </c>
      <c r="X171" s="187">
        <v>1</v>
      </c>
      <c r="Y171" s="187">
        <v>1</v>
      </c>
    </row>
    <row r="172" spans="1:25" x14ac:dyDescent="0.25">
      <c r="A172" t="s">
        <v>950</v>
      </c>
      <c r="B172" t="s">
        <v>951</v>
      </c>
      <c r="C172" s="187"/>
      <c r="D172" s="187" t="s">
        <v>657</v>
      </c>
      <c r="E172" s="272" t="s">
        <v>444</v>
      </c>
      <c r="F172" s="272" t="s">
        <v>444</v>
      </c>
      <c r="G172" s="273">
        <v>20</v>
      </c>
      <c r="H172" s="274">
        <v>20</v>
      </c>
      <c r="I172" s="272" t="s">
        <v>444</v>
      </c>
      <c r="J172" s="272" t="s">
        <v>444</v>
      </c>
      <c r="K172" s="273">
        <v>88</v>
      </c>
      <c r="L172" s="274">
        <v>88</v>
      </c>
      <c r="M172" s="272" t="s">
        <v>444</v>
      </c>
      <c r="N172" s="272" t="s">
        <v>444</v>
      </c>
      <c r="O172" s="273">
        <v>88</v>
      </c>
      <c r="P172" s="274">
        <v>88</v>
      </c>
      <c r="Q172" s="275" t="s">
        <v>444</v>
      </c>
      <c r="R172" s="276" t="s">
        <v>444</v>
      </c>
      <c r="S172" s="187">
        <v>1</v>
      </c>
      <c r="T172" s="187">
        <v>1</v>
      </c>
      <c r="U172" s="187" t="s">
        <v>478</v>
      </c>
      <c r="V172" s="187">
        <v>1</v>
      </c>
      <c r="W172" s="187">
        <v>1</v>
      </c>
      <c r="X172" s="187">
        <v>1</v>
      </c>
      <c r="Y172" s="187">
        <v>1</v>
      </c>
    </row>
    <row r="173" spans="1:25" x14ac:dyDescent="0.25">
      <c r="A173">
        <v>447</v>
      </c>
      <c r="B173" t="s">
        <v>952</v>
      </c>
      <c r="C173" s="187" t="s">
        <v>953</v>
      </c>
      <c r="D173" s="187" t="s">
        <v>657</v>
      </c>
      <c r="E173" s="272" t="s">
        <v>444</v>
      </c>
      <c r="F173" s="272" t="s">
        <v>444</v>
      </c>
      <c r="G173" s="273" t="s">
        <v>444</v>
      </c>
      <c r="H173" s="274" t="s">
        <v>444</v>
      </c>
      <c r="I173" s="272" t="s">
        <v>444</v>
      </c>
      <c r="J173" s="272" t="s">
        <v>444</v>
      </c>
      <c r="K173" s="273" t="s">
        <v>444</v>
      </c>
      <c r="L173" s="274" t="s">
        <v>444</v>
      </c>
      <c r="M173" s="272" t="s">
        <v>444</v>
      </c>
      <c r="N173" s="272" t="s">
        <v>444</v>
      </c>
      <c r="O173" s="273" t="s">
        <v>444</v>
      </c>
      <c r="P173" s="274" t="s">
        <v>444</v>
      </c>
      <c r="Q173" s="275">
        <v>6</v>
      </c>
      <c r="R173" s="276">
        <v>6</v>
      </c>
      <c r="S173" s="187">
        <v>1</v>
      </c>
      <c r="T173" s="187">
        <v>1</v>
      </c>
      <c r="U173" s="187" t="s">
        <v>478</v>
      </c>
      <c r="V173" s="187">
        <v>1</v>
      </c>
      <c r="W173" s="187">
        <v>1</v>
      </c>
      <c r="X173" s="187">
        <v>1</v>
      </c>
      <c r="Y173" s="187">
        <v>1</v>
      </c>
    </row>
    <row r="174" spans="1:25" x14ac:dyDescent="0.25">
      <c r="A174" t="s">
        <v>954</v>
      </c>
      <c r="B174" t="s">
        <v>955</v>
      </c>
      <c r="C174" s="187" t="s">
        <v>700</v>
      </c>
      <c r="D174" s="187" t="s">
        <v>444</v>
      </c>
      <c r="E174" s="272">
        <v>5.2631578947368409E-4</v>
      </c>
      <c r="F174" s="272">
        <v>5.2999999999999998E-4</v>
      </c>
      <c r="G174" s="273" t="s">
        <v>444</v>
      </c>
      <c r="H174" s="274" t="s">
        <v>444</v>
      </c>
      <c r="I174" s="272">
        <v>1.9999999999999997E-2</v>
      </c>
      <c r="J174" s="272">
        <v>0.02</v>
      </c>
      <c r="K174" s="273" t="s">
        <v>444</v>
      </c>
      <c r="L174" s="274" t="s">
        <v>444</v>
      </c>
      <c r="M174" s="272">
        <v>9.2307692307692299E-3</v>
      </c>
      <c r="N174" s="272">
        <v>9.1999999999999998E-3</v>
      </c>
      <c r="O174" s="273" t="s">
        <v>444</v>
      </c>
      <c r="P174" s="274" t="s">
        <v>444</v>
      </c>
      <c r="Q174" s="275" t="s">
        <v>444</v>
      </c>
      <c r="R174" s="276" t="s">
        <v>444</v>
      </c>
      <c r="S174" s="187">
        <v>1</v>
      </c>
      <c r="T174" s="187">
        <v>1</v>
      </c>
      <c r="U174" s="187" t="s">
        <v>478</v>
      </c>
      <c r="V174" s="187">
        <v>19</v>
      </c>
      <c r="W174" s="187">
        <v>13</v>
      </c>
      <c r="X174" s="187">
        <v>240</v>
      </c>
      <c r="Y174" s="187">
        <v>11</v>
      </c>
    </row>
    <row r="175" spans="1:25" x14ac:dyDescent="0.25">
      <c r="A175">
        <v>645</v>
      </c>
      <c r="B175" t="s">
        <v>956</v>
      </c>
      <c r="C175" s="187" t="s">
        <v>700</v>
      </c>
      <c r="D175" s="187" t="s">
        <v>657</v>
      </c>
      <c r="E175" s="272">
        <v>1.0121457489878541E-9</v>
      </c>
      <c r="F175" s="272">
        <v>1.0000000000000001E-9</v>
      </c>
      <c r="G175" s="273">
        <v>1.2903225806451614E-7</v>
      </c>
      <c r="H175" s="274">
        <v>1.3E-7</v>
      </c>
      <c r="I175" s="272">
        <v>9.0027700831024925E-8</v>
      </c>
      <c r="J175" s="272">
        <v>8.9999999999999999E-8</v>
      </c>
      <c r="K175" s="273">
        <v>2.6268656716417917E-5</v>
      </c>
      <c r="L175" s="274">
        <v>2.5999999999999998E-5</v>
      </c>
      <c r="M175" s="272">
        <v>4.1551246537396121E-8</v>
      </c>
      <c r="N175" s="272">
        <v>4.1999999999999999E-8</v>
      </c>
      <c r="O175" s="273">
        <v>2.6268656716417913E-5</v>
      </c>
      <c r="P175" s="274">
        <v>2.5999999999999998E-5</v>
      </c>
      <c r="Q175" s="275" t="s">
        <v>444</v>
      </c>
      <c r="R175" s="276" t="s">
        <v>444</v>
      </c>
      <c r="S175" s="187">
        <v>1</v>
      </c>
      <c r="T175" s="187">
        <v>1</v>
      </c>
      <c r="U175" s="187" t="s">
        <v>478</v>
      </c>
      <c r="V175" s="187">
        <v>26</v>
      </c>
      <c r="W175" s="187">
        <v>7.6</v>
      </c>
      <c r="X175" s="187">
        <v>310</v>
      </c>
      <c r="Y175" s="187">
        <v>6.7</v>
      </c>
    </row>
    <row r="176" spans="1:25" x14ac:dyDescent="0.25">
      <c r="A176" t="s">
        <v>957</v>
      </c>
      <c r="B176" t="s">
        <v>958</v>
      </c>
      <c r="C176" s="187" t="s">
        <v>700</v>
      </c>
      <c r="D176" s="187" t="s">
        <v>657</v>
      </c>
      <c r="E176" s="272">
        <v>1.0121457489878541E-5</v>
      </c>
      <c r="F176" s="272">
        <v>1.0000000000000001E-5</v>
      </c>
      <c r="G176" s="273">
        <v>1.2903225806451613E-3</v>
      </c>
      <c r="H176" s="274">
        <v>1.2999999999999999E-3</v>
      </c>
      <c r="I176" s="272">
        <v>9.0027700831024919E-4</v>
      </c>
      <c r="J176" s="272">
        <v>8.9999999999999998E-4</v>
      </c>
      <c r="K176" s="273">
        <v>0.2626865671641791</v>
      </c>
      <c r="L176" s="274">
        <v>0.26</v>
      </c>
      <c r="M176" s="272">
        <v>4.1551246537396109E-4</v>
      </c>
      <c r="N176" s="272">
        <v>4.2000000000000002E-4</v>
      </c>
      <c r="O176" s="273">
        <v>0.26268656716417915</v>
      </c>
      <c r="P176" s="274">
        <v>0.26</v>
      </c>
      <c r="Q176" s="275" t="s">
        <v>444</v>
      </c>
      <c r="R176" s="276" t="s">
        <v>444</v>
      </c>
      <c r="S176" s="187">
        <v>1</v>
      </c>
      <c r="T176" s="187">
        <v>1</v>
      </c>
      <c r="U176" s="187" t="s">
        <v>478</v>
      </c>
      <c r="V176" s="187">
        <v>26</v>
      </c>
      <c r="W176" s="187">
        <v>7.6</v>
      </c>
      <c r="X176" s="187">
        <v>310</v>
      </c>
      <c r="Y176" s="187">
        <v>6.7</v>
      </c>
    </row>
    <row r="177" spans="1:25" x14ac:dyDescent="0.25">
      <c r="A177" t="s">
        <v>959</v>
      </c>
      <c r="B177" t="s">
        <v>960</v>
      </c>
      <c r="C177" s="187" t="s">
        <v>700</v>
      </c>
      <c r="D177" s="187" t="s">
        <v>657</v>
      </c>
      <c r="E177" s="272">
        <v>3.3738191632928472E-6</v>
      </c>
      <c r="F177" s="272">
        <v>3.4000000000000001E-6</v>
      </c>
      <c r="G177" s="273">
        <v>4.1935483870967743E-4</v>
      </c>
      <c r="H177" s="274">
        <v>4.2000000000000002E-4</v>
      </c>
      <c r="I177" s="272">
        <v>3.0009233610341643E-4</v>
      </c>
      <c r="J177" s="272">
        <v>2.9999999999999997E-4</v>
      </c>
      <c r="K177" s="273">
        <v>8.5373134328358205E-2</v>
      </c>
      <c r="L177" s="274">
        <v>8.5000000000000006E-2</v>
      </c>
      <c r="M177" s="272">
        <v>1.3850415512465375E-4</v>
      </c>
      <c r="N177" s="272">
        <v>1.3999999999999999E-4</v>
      </c>
      <c r="O177" s="273">
        <v>8.5373134328358219E-2</v>
      </c>
      <c r="P177" s="274">
        <v>8.5000000000000006E-2</v>
      </c>
      <c r="Q177" s="275" t="s">
        <v>444</v>
      </c>
      <c r="R177" s="276" t="s">
        <v>444</v>
      </c>
      <c r="S177" s="187">
        <v>1</v>
      </c>
      <c r="T177" s="187">
        <v>1</v>
      </c>
      <c r="U177" s="187" t="s">
        <v>478</v>
      </c>
      <c r="V177" s="187">
        <v>26</v>
      </c>
      <c r="W177" s="187">
        <v>7.6</v>
      </c>
      <c r="X177" s="187">
        <v>310</v>
      </c>
      <c r="Y177" s="187">
        <v>6.7</v>
      </c>
    </row>
    <row r="178" spans="1:25" x14ac:dyDescent="0.25">
      <c r="A178" t="s">
        <v>961</v>
      </c>
      <c r="B178" t="s">
        <v>962</v>
      </c>
      <c r="C178" s="187" t="s">
        <v>700</v>
      </c>
      <c r="D178" s="187" t="s">
        <v>657</v>
      </c>
      <c r="E178" s="272">
        <v>3.3738191632928474E-5</v>
      </c>
      <c r="F178" s="272">
        <v>3.4E-5</v>
      </c>
      <c r="G178" s="273">
        <v>4.193548387096774E-3</v>
      </c>
      <c r="H178" s="274">
        <v>4.1999999999999997E-3</v>
      </c>
      <c r="I178" s="272">
        <v>3.0009233610341643E-3</v>
      </c>
      <c r="J178" s="272">
        <v>3.0000000000000001E-3</v>
      </c>
      <c r="K178" s="273">
        <v>0.85373134328358213</v>
      </c>
      <c r="L178" s="274">
        <v>0.85</v>
      </c>
      <c r="M178" s="272">
        <v>1.3850415512465372E-3</v>
      </c>
      <c r="N178" s="272">
        <v>1.4E-3</v>
      </c>
      <c r="O178" s="273">
        <v>0.85373134328358213</v>
      </c>
      <c r="P178" s="274">
        <v>0.85</v>
      </c>
      <c r="Q178" s="275" t="s">
        <v>444</v>
      </c>
      <c r="R178" s="276" t="s">
        <v>444</v>
      </c>
      <c r="S178" s="187">
        <v>1</v>
      </c>
      <c r="T178" s="187">
        <v>1</v>
      </c>
      <c r="U178" s="187" t="s">
        <v>478</v>
      </c>
      <c r="V178" s="187">
        <v>26</v>
      </c>
      <c r="W178" s="187">
        <v>7.6</v>
      </c>
      <c r="X178" s="187">
        <v>310</v>
      </c>
      <c r="Y178" s="187">
        <v>6.7</v>
      </c>
    </row>
    <row r="179" spans="1:25" x14ac:dyDescent="0.25">
      <c r="A179" t="s">
        <v>963</v>
      </c>
      <c r="B179" t="s">
        <v>964</v>
      </c>
      <c r="C179" s="187" t="s">
        <v>700</v>
      </c>
      <c r="D179" s="187" t="s">
        <v>657</v>
      </c>
      <c r="E179" s="272">
        <v>3.3738191632928474E-5</v>
      </c>
      <c r="F179" s="272">
        <v>3.4E-5</v>
      </c>
      <c r="G179" s="273">
        <v>4.193548387096774E-3</v>
      </c>
      <c r="H179" s="274">
        <v>4.1999999999999997E-3</v>
      </c>
      <c r="I179" s="272">
        <v>3.0009233610341643E-3</v>
      </c>
      <c r="J179" s="272">
        <v>3.0000000000000001E-3</v>
      </c>
      <c r="K179" s="273">
        <v>0.85373134328358213</v>
      </c>
      <c r="L179" s="274">
        <v>0.85</v>
      </c>
      <c r="M179" s="272">
        <v>1.3850415512465372E-3</v>
      </c>
      <c r="N179" s="272">
        <v>1.4E-3</v>
      </c>
      <c r="O179" s="273">
        <v>0.85373134328358213</v>
      </c>
      <c r="P179" s="274">
        <v>0.85</v>
      </c>
      <c r="Q179" s="275" t="s">
        <v>444</v>
      </c>
      <c r="R179" s="276" t="s">
        <v>444</v>
      </c>
      <c r="S179" s="187">
        <v>1</v>
      </c>
      <c r="T179" s="187">
        <v>1</v>
      </c>
      <c r="U179" s="187" t="s">
        <v>478</v>
      </c>
      <c r="V179" s="187">
        <v>26</v>
      </c>
      <c r="W179" s="187">
        <v>7.6</v>
      </c>
      <c r="X179" s="187">
        <v>310</v>
      </c>
      <c r="Y179" s="187">
        <v>6.7</v>
      </c>
    </row>
    <row r="180" spans="1:25" x14ac:dyDescent="0.25">
      <c r="A180" t="s">
        <v>965</v>
      </c>
      <c r="B180" t="s">
        <v>966</v>
      </c>
      <c r="C180" s="187" t="s">
        <v>700</v>
      </c>
      <c r="D180" s="187" t="s">
        <v>657</v>
      </c>
      <c r="E180" s="272">
        <v>3.3738191632928474E-5</v>
      </c>
      <c r="F180" s="272">
        <v>3.4E-5</v>
      </c>
      <c r="G180" s="273">
        <v>4.193548387096774E-3</v>
      </c>
      <c r="H180" s="274">
        <v>4.1999999999999997E-3</v>
      </c>
      <c r="I180" s="272">
        <v>3.0009233610341643E-3</v>
      </c>
      <c r="J180" s="272">
        <v>3.0000000000000001E-3</v>
      </c>
      <c r="K180" s="273">
        <v>0.85373134328358213</v>
      </c>
      <c r="L180" s="274">
        <v>0.85</v>
      </c>
      <c r="M180" s="272">
        <v>1.3850415512465372E-3</v>
      </c>
      <c r="N180" s="272">
        <v>1.4E-3</v>
      </c>
      <c r="O180" s="273">
        <v>0.85373134328358213</v>
      </c>
      <c r="P180" s="274">
        <v>0.85</v>
      </c>
      <c r="Q180" s="275" t="s">
        <v>444</v>
      </c>
      <c r="R180" s="276" t="s">
        <v>444</v>
      </c>
      <c r="S180" s="187">
        <v>1</v>
      </c>
      <c r="T180" s="187">
        <v>1</v>
      </c>
      <c r="U180" s="187" t="s">
        <v>478</v>
      </c>
      <c r="V180" s="187">
        <v>26</v>
      </c>
      <c r="W180" s="187">
        <v>7.6</v>
      </c>
      <c r="X180" s="187">
        <v>310</v>
      </c>
      <c r="Y180" s="187">
        <v>6.7</v>
      </c>
    </row>
    <row r="181" spans="1:25" x14ac:dyDescent="0.25">
      <c r="A181" t="s">
        <v>967</v>
      </c>
      <c r="B181" t="s">
        <v>968</v>
      </c>
      <c r="C181" s="187" t="s">
        <v>700</v>
      </c>
      <c r="D181" s="187" t="s">
        <v>657</v>
      </c>
      <c r="E181" s="272">
        <v>3.3738191632928474E-5</v>
      </c>
      <c r="F181" s="272">
        <v>3.4E-5</v>
      </c>
      <c r="G181" s="273">
        <v>4.193548387096774E-3</v>
      </c>
      <c r="H181" s="274">
        <v>4.1999999999999997E-3</v>
      </c>
      <c r="I181" s="272">
        <v>3.0009233610341643E-3</v>
      </c>
      <c r="J181" s="272">
        <v>3.0000000000000001E-3</v>
      </c>
      <c r="K181" s="273">
        <v>0.85373134328358213</v>
      </c>
      <c r="L181" s="274">
        <v>0.85</v>
      </c>
      <c r="M181" s="272">
        <v>1.3850415512465372E-3</v>
      </c>
      <c r="N181" s="272">
        <v>1.4E-3</v>
      </c>
      <c r="O181" s="273">
        <v>0.85373134328358213</v>
      </c>
      <c r="P181" s="274">
        <v>0.85</v>
      </c>
      <c r="Q181" s="275" t="s">
        <v>444</v>
      </c>
      <c r="R181" s="276" t="s">
        <v>444</v>
      </c>
      <c r="S181" s="187">
        <v>1</v>
      </c>
      <c r="T181" s="187">
        <v>1</v>
      </c>
      <c r="U181" s="187" t="s">
        <v>478</v>
      </c>
      <c r="V181" s="187">
        <v>26</v>
      </c>
      <c r="W181" s="187">
        <v>7.6</v>
      </c>
      <c r="X181" s="187">
        <v>310</v>
      </c>
      <c r="Y181" s="187">
        <v>6.7</v>
      </c>
    </row>
    <row r="182" spans="1:25" x14ac:dyDescent="0.25">
      <c r="A182" t="s">
        <v>969</v>
      </c>
      <c r="B182" t="s">
        <v>970</v>
      </c>
      <c r="C182" s="187" t="s">
        <v>700</v>
      </c>
      <c r="D182" s="187" t="s">
        <v>657</v>
      </c>
      <c r="E182" s="272">
        <v>1.0121457489878542E-8</v>
      </c>
      <c r="F182" s="272">
        <v>1E-8</v>
      </c>
      <c r="G182" s="273">
        <v>1.2903225806451614E-6</v>
      </c>
      <c r="H182" s="274">
        <v>1.3E-6</v>
      </c>
      <c r="I182" s="272">
        <v>9.0027700831024923E-7</v>
      </c>
      <c r="J182" s="272">
        <v>8.9999999999999996E-7</v>
      </c>
      <c r="K182" s="273">
        <v>2.6268656716417916E-4</v>
      </c>
      <c r="L182" s="274">
        <v>2.5999999999999998E-4</v>
      </c>
      <c r="M182" s="272">
        <v>4.1551246537396122E-7</v>
      </c>
      <c r="N182" s="272">
        <v>4.2E-7</v>
      </c>
      <c r="O182" s="273">
        <v>2.6268656716417916E-4</v>
      </c>
      <c r="P182" s="274">
        <v>2.5999999999999998E-4</v>
      </c>
      <c r="Q182" s="275" t="s">
        <v>444</v>
      </c>
      <c r="R182" s="276" t="s">
        <v>444</v>
      </c>
      <c r="S182" s="187">
        <v>1</v>
      </c>
      <c r="T182" s="187">
        <v>1</v>
      </c>
      <c r="U182" s="187" t="s">
        <v>478</v>
      </c>
      <c r="V182" s="187">
        <v>26</v>
      </c>
      <c r="W182" s="187">
        <v>7.6</v>
      </c>
      <c r="X182" s="187">
        <v>310</v>
      </c>
      <c r="Y182" s="187">
        <v>6.7</v>
      </c>
    </row>
    <row r="183" spans="1:25" x14ac:dyDescent="0.25">
      <c r="A183" t="s">
        <v>971</v>
      </c>
      <c r="B183" t="s">
        <v>972</v>
      </c>
      <c r="C183" s="187" t="s">
        <v>700</v>
      </c>
      <c r="D183" s="187" t="s">
        <v>657</v>
      </c>
      <c r="E183" s="272">
        <v>3.3738191632928474E-5</v>
      </c>
      <c r="F183" s="272">
        <v>3.4E-5</v>
      </c>
      <c r="G183" s="273">
        <v>4.193548387096774E-3</v>
      </c>
      <c r="H183" s="274">
        <v>4.1999999999999997E-3</v>
      </c>
      <c r="I183" s="272">
        <v>3.0009233610341643E-3</v>
      </c>
      <c r="J183" s="272">
        <v>3.0000000000000001E-3</v>
      </c>
      <c r="K183" s="273">
        <v>0.85373134328358213</v>
      </c>
      <c r="L183" s="274">
        <v>0.85</v>
      </c>
      <c r="M183" s="272">
        <v>1.3850415512465372E-3</v>
      </c>
      <c r="N183" s="272">
        <v>1.4E-3</v>
      </c>
      <c r="O183" s="273">
        <v>0.85373134328358213</v>
      </c>
      <c r="P183" s="274">
        <v>0.85</v>
      </c>
      <c r="Q183" s="275" t="s">
        <v>444</v>
      </c>
      <c r="R183" s="276" t="s">
        <v>444</v>
      </c>
      <c r="S183" s="187">
        <v>1</v>
      </c>
      <c r="T183" s="187">
        <v>1</v>
      </c>
      <c r="U183" s="187" t="s">
        <v>478</v>
      </c>
      <c r="V183" s="187">
        <v>26</v>
      </c>
      <c r="W183" s="187">
        <v>7.6</v>
      </c>
      <c r="X183" s="187">
        <v>310</v>
      </c>
      <c r="Y183" s="187">
        <v>6.7</v>
      </c>
    </row>
    <row r="184" spans="1:25" x14ac:dyDescent="0.25">
      <c r="A184" t="s">
        <v>973</v>
      </c>
      <c r="B184" t="s">
        <v>974</v>
      </c>
      <c r="C184" s="187" t="s">
        <v>700</v>
      </c>
      <c r="D184" s="187" t="s">
        <v>657</v>
      </c>
      <c r="E184" s="272">
        <v>3.3738191632928474E-5</v>
      </c>
      <c r="F184" s="272">
        <v>3.4E-5</v>
      </c>
      <c r="G184" s="273">
        <v>4.193548387096774E-3</v>
      </c>
      <c r="H184" s="274">
        <v>4.1999999999999997E-3</v>
      </c>
      <c r="I184" s="272">
        <v>3.0009233610341643E-3</v>
      </c>
      <c r="J184" s="272">
        <v>3.0000000000000001E-3</v>
      </c>
      <c r="K184" s="273">
        <v>0.85373134328358213</v>
      </c>
      <c r="L184" s="274">
        <v>0.85</v>
      </c>
      <c r="M184" s="272">
        <v>1.3850415512465372E-3</v>
      </c>
      <c r="N184" s="272">
        <v>1.4E-3</v>
      </c>
      <c r="O184" s="273">
        <v>0.85373134328358213</v>
      </c>
      <c r="P184" s="274">
        <v>0.85</v>
      </c>
      <c r="Q184" s="275" t="s">
        <v>444</v>
      </c>
      <c r="R184" s="276" t="s">
        <v>444</v>
      </c>
      <c r="S184" s="187">
        <v>1</v>
      </c>
      <c r="T184" s="187">
        <v>1</v>
      </c>
      <c r="U184" s="187" t="s">
        <v>478</v>
      </c>
      <c r="V184" s="187">
        <v>26</v>
      </c>
      <c r="W184" s="187">
        <v>7.6</v>
      </c>
      <c r="X184" s="187">
        <v>310</v>
      </c>
      <c r="Y184" s="187">
        <v>6.7</v>
      </c>
    </row>
    <row r="185" spans="1:25" x14ac:dyDescent="0.25">
      <c r="A185" t="s">
        <v>975</v>
      </c>
      <c r="B185" t="s">
        <v>976</v>
      </c>
      <c r="C185" s="187" t="s">
        <v>700</v>
      </c>
      <c r="D185" s="187" t="s">
        <v>657</v>
      </c>
      <c r="E185" s="272">
        <v>3.3738191632928474E-5</v>
      </c>
      <c r="F185" s="272">
        <v>3.4E-5</v>
      </c>
      <c r="G185" s="273">
        <v>4.193548387096774E-3</v>
      </c>
      <c r="H185" s="274">
        <v>4.1999999999999997E-3</v>
      </c>
      <c r="I185" s="272">
        <v>3.0009233610341643E-3</v>
      </c>
      <c r="J185" s="272">
        <v>3.0000000000000001E-3</v>
      </c>
      <c r="K185" s="273">
        <v>0.85373134328358213</v>
      </c>
      <c r="L185" s="274">
        <v>0.85</v>
      </c>
      <c r="M185" s="272">
        <v>1.3850415512465372E-3</v>
      </c>
      <c r="N185" s="272">
        <v>1.4E-3</v>
      </c>
      <c r="O185" s="273">
        <v>0.85373134328358213</v>
      </c>
      <c r="P185" s="274">
        <v>0.85</v>
      </c>
      <c r="Q185" s="275" t="s">
        <v>444</v>
      </c>
      <c r="R185" s="276" t="s">
        <v>444</v>
      </c>
      <c r="S185" s="187">
        <v>1</v>
      </c>
      <c r="T185" s="187">
        <v>1</v>
      </c>
      <c r="U185" s="187" t="s">
        <v>478</v>
      </c>
      <c r="V185" s="187">
        <v>26</v>
      </c>
      <c r="W185" s="187">
        <v>7.6</v>
      </c>
      <c r="X185" s="187">
        <v>310</v>
      </c>
      <c r="Y185" s="187">
        <v>6.7</v>
      </c>
    </row>
    <row r="186" spans="1:25" x14ac:dyDescent="0.25">
      <c r="A186" t="s">
        <v>977</v>
      </c>
      <c r="B186" t="s">
        <v>978</v>
      </c>
      <c r="C186" s="187" t="s">
        <v>700</v>
      </c>
      <c r="D186" s="187" t="s">
        <v>657</v>
      </c>
      <c r="E186" s="272">
        <v>3.3738191632928474E-8</v>
      </c>
      <c r="F186" s="272">
        <v>3.4E-8</v>
      </c>
      <c r="G186" s="273">
        <v>4.1935483870967744E-6</v>
      </c>
      <c r="H186" s="274">
        <v>4.1999999999999996E-6</v>
      </c>
      <c r="I186" s="272">
        <v>3.0009233610341641E-6</v>
      </c>
      <c r="J186" s="272">
        <v>3.0000000000000001E-6</v>
      </c>
      <c r="K186" s="273">
        <v>8.5373134328358216E-4</v>
      </c>
      <c r="L186" s="274">
        <v>8.4999999999999995E-4</v>
      </c>
      <c r="M186" s="272">
        <v>1.3850415512465373E-6</v>
      </c>
      <c r="N186" s="272">
        <v>1.3999999999999999E-6</v>
      </c>
      <c r="O186" s="273">
        <v>8.5373134328358216E-4</v>
      </c>
      <c r="P186" s="274">
        <v>8.4999999999999995E-4</v>
      </c>
      <c r="Q186" s="275" t="s">
        <v>444</v>
      </c>
      <c r="R186" s="276" t="s">
        <v>444</v>
      </c>
      <c r="S186" s="187">
        <v>1</v>
      </c>
      <c r="T186" s="187">
        <v>1</v>
      </c>
      <c r="U186" s="187" t="s">
        <v>478</v>
      </c>
      <c r="V186" s="187">
        <v>26</v>
      </c>
      <c r="W186" s="187">
        <v>7.6</v>
      </c>
      <c r="X186" s="187">
        <v>310</v>
      </c>
      <c r="Y186" s="187">
        <v>6.7</v>
      </c>
    </row>
    <row r="187" spans="1:25" x14ac:dyDescent="0.25">
      <c r="A187" t="s">
        <v>979</v>
      </c>
      <c r="B187" t="s">
        <v>980</v>
      </c>
      <c r="C187" s="187" t="s">
        <v>700</v>
      </c>
      <c r="D187" s="187" t="s">
        <v>657</v>
      </c>
      <c r="E187" s="272">
        <v>3.3738191632928474E-5</v>
      </c>
      <c r="F187" s="272">
        <v>3.4E-5</v>
      </c>
      <c r="G187" s="273">
        <v>4.193548387096774E-3</v>
      </c>
      <c r="H187" s="274">
        <v>4.1999999999999997E-3</v>
      </c>
      <c r="I187" s="272">
        <v>3.0009233610341643E-3</v>
      </c>
      <c r="J187" s="272">
        <v>3.0000000000000001E-3</v>
      </c>
      <c r="K187" s="273">
        <v>0.85373134328358213</v>
      </c>
      <c r="L187" s="274">
        <v>0.85</v>
      </c>
      <c r="M187" s="272">
        <v>1.3850415512465372E-3</v>
      </c>
      <c r="N187" s="272">
        <v>1.4E-3</v>
      </c>
      <c r="O187" s="273">
        <v>0.85373134328358213</v>
      </c>
      <c r="P187" s="274">
        <v>0.85</v>
      </c>
      <c r="Q187" s="275" t="s">
        <v>444</v>
      </c>
      <c r="R187" s="276" t="s">
        <v>444</v>
      </c>
      <c r="S187" s="187">
        <v>1</v>
      </c>
      <c r="T187" s="187">
        <v>1</v>
      </c>
      <c r="U187" s="187" t="s">
        <v>478</v>
      </c>
      <c r="V187" s="187">
        <v>26</v>
      </c>
      <c r="W187" s="187">
        <v>7.6</v>
      </c>
      <c r="X187" s="187">
        <v>310</v>
      </c>
      <c r="Y187" s="187">
        <v>6.7</v>
      </c>
    </row>
    <row r="188" spans="1:25" x14ac:dyDescent="0.25">
      <c r="A188">
        <v>646</v>
      </c>
      <c r="B188" t="s">
        <v>981</v>
      </c>
      <c r="C188" s="187" t="s">
        <v>700</v>
      </c>
      <c r="D188" s="187" t="s">
        <v>657</v>
      </c>
      <c r="E188" s="272">
        <v>1.0121457489878541E-9</v>
      </c>
      <c r="F188" s="272">
        <v>1.0000000000000001E-9</v>
      </c>
      <c r="G188" s="273">
        <v>1.2903225806451614E-7</v>
      </c>
      <c r="H188" s="274">
        <v>1.3E-7</v>
      </c>
      <c r="I188" s="272">
        <v>9.0027700831024925E-8</v>
      </c>
      <c r="J188" s="272">
        <v>8.9999999999999999E-8</v>
      </c>
      <c r="K188" s="273">
        <v>2.6268656716417917E-5</v>
      </c>
      <c r="L188" s="274">
        <v>2.5999999999999998E-5</v>
      </c>
      <c r="M188" s="272">
        <v>4.1551246537396121E-8</v>
      </c>
      <c r="N188" s="272">
        <v>4.1999999999999999E-8</v>
      </c>
      <c r="O188" s="273">
        <v>2.6268656716417913E-5</v>
      </c>
      <c r="P188" s="274">
        <v>2.5999999999999998E-5</v>
      </c>
      <c r="Q188" s="275" t="s">
        <v>444</v>
      </c>
      <c r="R188" s="276" t="s">
        <v>444</v>
      </c>
      <c r="S188" s="187">
        <v>1</v>
      </c>
      <c r="T188" s="187">
        <v>1</v>
      </c>
      <c r="U188" s="187" t="s">
        <v>478</v>
      </c>
      <c r="V188" s="187">
        <v>26</v>
      </c>
      <c r="W188" s="187">
        <v>7.6</v>
      </c>
      <c r="X188" s="187">
        <v>310</v>
      </c>
      <c r="Y188" s="187">
        <v>6.7</v>
      </c>
    </row>
    <row r="189" spans="1:25" x14ac:dyDescent="0.25">
      <c r="A189" t="s">
        <v>982</v>
      </c>
      <c r="B189" t="s">
        <v>983</v>
      </c>
      <c r="C189" s="187" t="s">
        <v>700</v>
      </c>
      <c r="D189" s="187" t="s">
        <v>657</v>
      </c>
      <c r="E189" s="272">
        <v>1.0121457489878541E-9</v>
      </c>
      <c r="F189" s="272">
        <v>1.0000000000000001E-9</v>
      </c>
      <c r="G189" s="273">
        <v>1.2903225806451614E-7</v>
      </c>
      <c r="H189" s="274">
        <v>1.3E-7</v>
      </c>
      <c r="I189" s="272">
        <v>9.0027700831024925E-8</v>
      </c>
      <c r="J189" s="272">
        <v>8.9999999999999999E-8</v>
      </c>
      <c r="K189" s="273">
        <v>2.6268656716417917E-5</v>
      </c>
      <c r="L189" s="274">
        <v>2.5999999999999998E-5</v>
      </c>
      <c r="M189" s="272">
        <v>4.1551246537396121E-8</v>
      </c>
      <c r="N189" s="272">
        <v>4.1999999999999999E-8</v>
      </c>
      <c r="O189" s="273">
        <v>2.6268656716417913E-5</v>
      </c>
      <c r="P189" s="274">
        <v>2.5999999999999998E-5</v>
      </c>
      <c r="Q189" s="275" t="s">
        <v>444</v>
      </c>
      <c r="R189" s="276" t="s">
        <v>444</v>
      </c>
      <c r="S189" s="187">
        <v>1</v>
      </c>
      <c r="T189" s="187">
        <v>1</v>
      </c>
      <c r="U189" s="187" t="s">
        <v>478</v>
      </c>
      <c r="V189" s="187">
        <v>26</v>
      </c>
      <c r="W189" s="187">
        <v>7.6</v>
      </c>
      <c r="X189" s="187">
        <v>310</v>
      </c>
      <c r="Y189" s="187">
        <v>6.7</v>
      </c>
    </row>
    <row r="190" spans="1:25" x14ac:dyDescent="0.25">
      <c r="A190" t="s">
        <v>984</v>
      </c>
      <c r="B190" t="s">
        <v>985</v>
      </c>
      <c r="C190" s="187" t="s">
        <v>700</v>
      </c>
      <c r="D190" s="187" t="s">
        <v>657</v>
      </c>
      <c r="E190" s="272">
        <v>1.0121457489878541E-9</v>
      </c>
      <c r="F190" s="272">
        <v>1.0000000000000001E-9</v>
      </c>
      <c r="G190" s="273">
        <v>1.2903225806451614E-7</v>
      </c>
      <c r="H190" s="274">
        <v>1.3E-7</v>
      </c>
      <c r="I190" s="272">
        <v>9.0027700831024925E-8</v>
      </c>
      <c r="J190" s="272">
        <v>8.9999999999999999E-8</v>
      </c>
      <c r="K190" s="273">
        <v>2.6268656716417917E-5</v>
      </c>
      <c r="L190" s="274">
        <v>2.5999999999999998E-5</v>
      </c>
      <c r="M190" s="272">
        <v>4.1551246537396121E-8</v>
      </c>
      <c r="N190" s="272">
        <v>4.1999999999999999E-8</v>
      </c>
      <c r="O190" s="273">
        <v>2.6268656716417913E-5</v>
      </c>
      <c r="P190" s="274">
        <v>2.5999999999999998E-5</v>
      </c>
      <c r="Q190" s="275" t="s">
        <v>444</v>
      </c>
      <c r="R190" s="276" t="s">
        <v>444</v>
      </c>
      <c r="S190" s="187">
        <v>1</v>
      </c>
      <c r="T190" s="187">
        <v>1</v>
      </c>
      <c r="U190" s="187" t="s">
        <v>478</v>
      </c>
      <c r="V190" s="187">
        <v>26</v>
      </c>
      <c r="W190" s="187">
        <v>7.6</v>
      </c>
      <c r="X190" s="187">
        <v>310</v>
      </c>
      <c r="Y190" s="187">
        <v>6.7</v>
      </c>
    </row>
    <row r="191" spans="1:25" x14ac:dyDescent="0.25">
      <c r="A191" t="s">
        <v>986</v>
      </c>
      <c r="B191" t="s">
        <v>987</v>
      </c>
      <c r="C191" s="187" t="s">
        <v>700</v>
      </c>
      <c r="D191" s="187" t="s">
        <v>657</v>
      </c>
      <c r="E191" s="272">
        <v>1.0121457489878542E-8</v>
      </c>
      <c r="F191" s="272">
        <v>1E-8</v>
      </c>
      <c r="G191" s="273">
        <v>1.2903225806451614E-6</v>
      </c>
      <c r="H191" s="274">
        <v>1.3E-6</v>
      </c>
      <c r="I191" s="272">
        <v>9.0027700831024923E-7</v>
      </c>
      <c r="J191" s="272">
        <v>8.9999999999999996E-7</v>
      </c>
      <c r="K191" s="273">
        <v>2.6268656716417916E-4</v>
      </c>
      <c r="L191" s="274">
        <v>2.5999999999999998E-4</v>
      </c>
      <c r="M191" s="272">
        <v>4.1551246537396122E-7</v>
      </c>
      <c r="N191" s="272">
        <v>4.2E-7</v>
      </c>
      <c r="O191" s="273">
        <v>2.6268656716417916E-4</v>
      </c>
      <c r="P191" s="274">
        <v>2.5999999999999998E-4</v>
      </c>
      <c r="Q191" s="275" t="s">
        <v>444</v>
      </c>
      <c r="R191" s="276" t="s">
        <v>444</v>
      </c>
      <c r="S191" s="187">
        <v>1</v>
      </c>
      <c r="T191" s="187">
        <v>1</v>
      </c>
      <c r="U191" s="187" t="s">
        <v>478</v>
      </c>
      <c r="V191" s="187">
        <v>26</v>
      </c>
      <c r="W191" s="187">
        <v>7.6</v>
      </c>
      <c r="X191" s="187">
        <v>310</v>
      </c>
      <c r="Y191" s="187">
        <v>6.7</v>
      </c>
    </row>
    <row r="192" spans="1:25" x14ac:dyDescent="0.25">
      <c r="A192" t="s">
        <v>988</v>
      </c>
      <c r="B192" t="s">
        <v>989</v>
      </c>
      <c r="C192" s="187" t="s">
        <v>700</v>
      </c>
      <c r="D192" s="187" t="s">
        <v>657</v>
      </c>
      <c r="E192" s="272">
        <v>1.0121457489878542E-8</v>
      </c>
      <c r="F192" s="272">
        <v>1E-8</v>
      </c>
      <c r="G192" s="273">
        <v>1.2903225806451614E-6</v>
      </c>
      <c r="H192" s="274">
        <v>1.3E-6</v>
      </c>
      <c r="I192" s="272">
        <v>9.0027700831024923E-7</v>
      </c>
      <c r="J192" s="272">
        <v>8.9999999999999996E-7</v>
      </c>
      <c r="K192" s="273">
        <v>2.6268656716417916E-4</v>
      </c>
      <c r="L192" s="274">
        <v>2.5999999999999998E-4</v>
      </c>
      <c r="M192" s="272">
        <v>4.1551246537396122E-7</v>
      </c>
      <c r="N192" s="272">
        <v>4.2E-7</v>
      </c>
      <c r="O192" s="273">
        <v>2.6268656716417916E-4</v>
      </c>
      <c r="P192" s="274">
        <v>2.5999999999999998E-4</v>
      </c>
      <c r="Q192" s="275" t="s">
        <v>444</v>
      </c>
      <c r="R192" s="276" t="s">
        <v>444</v>
      </c>
      <c r="S192" s="187">
        <v>1</v>
      </c>
      <c r="T192" s="187">
        <v>1</v>
      </c>
      <c r="U192" s="187" t="s">
        <v>478</v>
      </c>
      <c r="V192" s="187">
        <v>26</v>
      </c>
      <c r="W192" s="187">
        <v>7.6</v>
      </c>
      <c r="X192" s="187">
        <v>310</v>
      </c>
      <c r="Y192" s="187">
        <v>6.7</v>
      </c>
    </row>
    <row r="193" spans="1:25" x14ac:dyDescent="0.25">
      <c r="A193" t="s">
        <v>990</v>
      </c>
      <c r="B193" t="s">
        <v>991</v>
      </c>
      <c r="C193" s="187" t="s">
        <v>700</v>
      </c>
      <c r="D193" s="187" t="s">
        <v>657</v>
      </c>
      <c r="E193" s="272">
        <v>1.0121457489878542E-8</v>
      </c>
      <c r="F193" s="272">
        <v>1E-8</v>
      </c>
      <c r="G193" s="273">
        <v>1.2903225806451614E-6</v>
      </c>
      <c r="H193" s="274">
        <v>1.3E-6</v>
      </c>
      <c r="I193" s="272">
        <v>9.0027700831024923E-7</v>
      </c>
      <c r="J193" s="272">
        <v>8.9999999999999996E-7</v>
      </c>
      <c r="K193" s="273">
        <v>2.6268656716417916E-4</v>
      </c>
      <c r="L193" s="274">
        <v>2.5999999999999998E-4</v>
      </c>
      <c r="M193" s="272">
        <v>4.1551246537396122E-7</v>
      </c>
      <c r="N193" s="272">
        <v>4.2E-7</v>
      </c>
      <c r="O193" s="273">
        <v>2.6268656716417916E-4</v>
      </c>
      <c r="P193" s="274">
        <v>2.5999999999999998E-4</v>
      </c>
      <c r="Q193" s="275" t="s">
        <v>444</v>
      </c>
      <c r="R193" s="276" t="s">
        <v>444</v>
      </c>
      <c r="S193" s="187">
        <v>1</v>
      </c>
      <c r="T193" s="187">
        <v>1</v>
      </c>
      <c r="U193" s="187" t="s">
        <v>478</v>
      </c>
      <c r="V193" s="187">
        <v>26</v>
      </c>
      <c r="W193" s="187">
        <v>7.6</v>
      </c>
      <c r="X193" s="187">
        <v>310</v>
      </c>
      <c r="Y193" s="187">
        <v>6.7</v>
      </c>
    </row>
    <row r="194" spans="1:25" x14ac:dyDescent="0.25">
      <c r="A194" t="s">
        <v>992</v>
      </c>
      <c r="B194" t="s">
        <v>993</v>
      </c>
      <c r="C194" s="187" t="s">
        <v>700</v>
      </c>
      <c r="D194" s="187" t="s">
        <v>657</v>
      </c>
      <c r="E194" s="272">
        <v>1.0121457489878542E-7</v>
      </c>
      <c r="F194" s="272">
        <v>9.9999999999999995E-8</v>
      </c>
      <c r="G194" s="273">
        <v>1.2903225806451613E-5</v>
      </c>
      <c r="H194" s="274">
        <v>1.2999999999999999E-5</v>
      </c>
      <c r="I194" s="272">
        <v>9.0027700831024914E-6</v>
      </c>
      <c r="J194" s="272">
        <v>9.0000000000000002E-6</v>
      </c>
      <c r="K194" s="273">
        <v>2.6268656716417912E-3</v>
      </c>
      <c r="L194" s="274">
        <v>2.5999999999999999E-3</v>
      </c>
      <c r="M194" s="272">
        <v>4.1551246537396112E-6</v>
      </c>
      <c r="N194" s="272">
        <v>4.1999999999999996E-6</v>
      </c>
      <c r="O194" s="273">
        <v>2.6268656716417912E-3</v>
      </c>
      <c r="P194" s="274">
        <v>2.5999999999999999E-3</v>
      </c>
      <c r="Q194" s="275" t="s">
        <v>444</v>
      </c>
      <c r="R194" s="276" t="s">
        <v>444</v>
      </c>
      <c r="S194" s="187">
        <v>1</v>
      </c>
      <c r="T194" s="187">
        <v>1</v>
      </c>
      <c r="U194" s="187" t="s">
        <v>478</v>
      </c>
      <c r="V194" s="187">
        <v>26</v>
      </c>
      <c r="W194" s="187">
        <v>7.6</v>
      </c>
      <c r="X194" s="187">
        <v>310</v>
      </c>
      <c r="Y194" s="187">
        <v>6.7</v>
      </c>
    </row>
    <row r="195" spans="1:25" x14ac:dyDescent="0.25">
      <c r="A195" t="s">
        <v>994</v>
      </c>
      <c r="B195" t="s">
        <v>995</v>
      </c>
      <c r="C195" s="187" t="s">
        <v>700</v>
      </c>
      <c r="D195" s="187" t="s">
        <v>657</v>
      </c>
      <c r="E195" s="272">
        <v>3.3738191632928472E-6</v>
      </c>
      <c r="F195" s="272">
        <v>3.4000000000000001E-6</v>
      </c>
      <c r="G195" s="273">
        <v>4.1935483870967743E-4</v>
      </c>
      <c r="H195" s="274">
        <v>4.2000000000000002E-4</v>
      </c>
      <c r="I195" s="272">
        <v>3.0009233610341643E-4</v>
      </c>
      <c r="J195" s="272">
        <v>2.9999999999999997E-4</v>
      </c>
      <c r="K195" s="273">
        <v>8.5373134328358205E-2</v>
      </c>
      <c r="L195" s="274">
        <v>8.5000000000000006E-2</v>
      </c>
      <c r="M195" s="272">
        <v>1.3850415512465375E-4</v>
      </c>
      <c r="N195" s="272">
        <v>1.3999999999999999E-4</v>
      </c>
      <c r="O195" s="273">
        <v>8.5373134328358219E-2</v>
      </c>
      <c r="P195" s="274">
        <v>8.5000000000000006E-2</v>
      </c>
      <c r="Q195" s="275" t="s">
        <v>444</v>
      </c>
      <c r="R195" s="276" t="s">
        <v>444</v>
      </c>
      <c r="S195" s="187">
        <v>1</v>
      </c>
      <c r="T195" s="187">
        <v>1</v>
      </c>
      <c r="U195" s="187" t="s">
        <v>478</v>
      </c>
      <c r="V195" s="187">
        <v>26</v>
      </c>
      <c r="W195" s="187">
        <v>7.6</v>
      </c>
      <c r="X195" s="187">
        <v>310</v>
      </c>
      <c r="Y195" s="187">
        <v>6.7</v>
      </c>
    </row>
    <row r="196" spans="1:25" x14ac:dyDescent="0.25">
      <c r="A196" t="s">
        <v>996</v>
      </c>
      <c r="B196" t="s">
        <v>997</v>
      </c>
      <c r="C196" s="187" t="s">
        <v>700</v>
      </c>
      <c r="D196" s="187" t="s">
        <v>657</v>
      </c>
      <c r="E196" s="272">
        <v>1.0121457489878542E-8</v>
      </c>
      <c r="F196" s="272">
        <v>1E-8</v>
      </c>
      <c r="G196" s="273">
        <v>1.2903225806451614E-6</v>
      </c>
      <c r="H196" s="274">
        <v>1.3E-6</v>
      </c>
      <c r="I196" s="272">
        <v>9.0027700831024923E-7</v>
      </c>
      <c r="J196" s="272">
        <v>8.9999999999999996E-7</v>
      </c>
      <c r="K196" s="273">
        <v>2.6268656716417916E-4</v>
      </c>
      <c r="L196" s="274">
        <v>2.5999999999999998E-4</v>
      </c>
      <c r="M196" s="272">
        <v>4.1551246537396122E-7</v>
      </c>
      <c r="N196" s="272">
        <v>4.2E-7</v>
      </c>
      <c r="O196" s="273">
        <v>2.6268656716417916E-4</v>
      </c>
      <c r="P196" s="274">
        <v>2.5999999999999998E-4</v>
      </c>
      <c r="Q196" s="275" t="s">
        <v>444</v>
      </c>
      <c r="R196" s="276" t="s">
        <v>444</v>
      </c>
      <c r="S196" s="187">
        <v>1</v>
      </c>
      <c r="T196" s="187">
        <v>1</v>
      </c>
      <c r="U196" s="187" t="s">
        <v>478</v>
      </c>
      <c r="V196" s="187">
        <v>26</v>
      </c>
      <c r="W196" s="187">
        <v>7.6</v>
      </c>
      <c r="X196" s="187">
        <v>310</v>
      </c>
      <c r="Y196" s="187">
        <v>6.7</v>
      </c>
    </row>
    <row r="197" spans="1:25" x14ac:dyDescent="0.25">
      <c r="A197" t="s">
        <v>998</v>
      </c>
      <c r="B197" t="s">
        <v>999</v>
      </c>
      <c r="C197" s="187" t="s">
        <v>700</v>
      </c>
      <c r="D197" s="187" t="s">
        <v>657</v>
      </c>
      <c r="E197" s="272">
        <v>3.3738191632928474E-8</v>
      </c>
      <c r="F197" s="272">
        <v>3.4E-8</v>
      </c>
      <c r="G197" s="273">
        <v>4.1935483870967744E-6</v>
      </c>
      <c r="H197" s="274">
        <v>4.1999999999999996E-6</v>
      </c>
      <c r="I197" s="272">
        <v>3.0009233610341641E-6</v>
      </c>
      <c r="J197" s="272">
        <v>3.0000000000000001E-6</v>
      </c>
      <c r="K197" s="273">
        <v>8.5373134328358216E-4</v>
      </c>
      <c r="L197" s="274">
        <v>8.4999999999999995E-4</v>
      </c>
      <c r="M197" s="272">
        <v>1.3850415512465373E-6</v>
      </c>
      <c r="N197" s="272">
        <v>1.3999999999999999E-6</v>
      </c>
      <c r="O197" s="273">
        <v>8.5373134328358216E-4</v>
      </c>
      <c r="P197" s="274">
        <v>8.4999999999999995E-4</v>
      </c>
      <c r="Q197" s="275" t="s">
        <v>444</v>
      </c>
      <c r="R197" s="276" t="s">
        <v>444</v>
      </c>
      <c r="S197" s="187">
        <v>1</v>
      </c>
      <c r="T197" s="187">
        <v>1</v>
      </c>
      <c r="U197" s="187" t="s">
        <v>478</v>
      </c>
      <c r="V197" s="187">
        <v>26</v>
      </c>
      <c r="W197" s="187">
        <v>7.6</v>
      </c>
      <c r="X197" s="187">
        <v>310</v>
      </c>
      <c r="Y197" s="187">
        <v>6.7</v>
      </c>
    </row>
    <row r="198" spans="1:25" x14ac:dyDescent="0.25">
      <c r="A198" t="s">
        <v>1000</v>
      </c>
      <c r="B198" t="s">
        <v>1001</v>
      </c>
      <c r="C198" s="187" t="s">
        <v>700</v>
      </c>
      <c r="D198" s="187" t="s">
        <v>657</v>
      </c>
      <c r="E198" s="272">
        <v>3.373819163292847E-9</v>
      </c>
      <c r="F198" s="272">
        <v>3.3999999999999998E-9</v>
      </c>
      <c r="G198" s="273">
        <v>4.1935483870967738E-7</v>
      </c>
      <c r="H198" s="274">
        <v>4.2E-7</v>
      </c>
      <c r="I198" s="272">
        <v>3.0009233610341641E-7</v>
      </c>
      <c r="J198" s="272">
        <v>2.9999999999999999E-7</v>
      </c>
      <c r="K198" s="273">
        <v>8.5373134328358208E-5</v>
      </c>
      <c r="L198" s="274">
        <v>8.5000000000000006E-5</v>
      </c>
      <c r="M198" s="272">
        <v>1.3850415512465372E-7</v>
      </c>
      <c r="N198" s="272">
        <v>1.4000000000000001E-7</v>
      </c>
      <c r="O198" s="273">
        <v>8.5373134328358208E-5</v>
      </c>
      <c r="P198" s="274">
        <v>8.5000000000000006E-5</v>
      </c>
      <c r="Q198" s="275" t="s">
        <v>444</v>
      </c>
      <c r="R198" s="276" t="s">
        <v>444</v>
      </c>
      <c r="S198" s="187">
        <v>1</v>
      </c>
      <c r="T198" s="187">
        <v>1</v>
      </c>
      <c r="U198" s="187" t="s">
        <v>478</v>
      </c>
      <c r="V198" s="187">
        <v>26</v>
      </c>
      <c r="W198" s="187">
        <v>7.6</v>
      </c>
      <c r="X198" s="187">
        <v>310</v>
      </c>
      <c r="Y198" s="187">
        <v>6.7</v>
      </c>
    </row>
    <row r="199" spans="1:25" x14ac:dyDescent="0.25">
      <c r="A199" t="s">
        <v>1002</v>
      </c>
      <c r="B199" t="s">
        <v>1003</v>
      </c>
      <c r="C199" s="187" t="s">
        <v>700</v>
      </c>
      <c r="D199" s="187" t="s">
        <v>657</v>
      </c>
      <c r="E199" s="272">
        <v>1.0121457489878542E-8</v>
      </c>
      <c r="F199" s="272">
        <v>1E-8</v>
      </c>
      <c r="G199" s="273">
        <v>1.2903225806451614E-6</v>
      </c>
      <c r="H199" s="274">
        <v>1.3E-6</v>
      </c>
      <c r="I199" s="272">
        <v>9.0027700831024923E-7</v>
      </c>
      <c r="J199" s="272">
        <v>8.9999999999999996E-7</v>
      </c>
      <c r="K199" s="273">
        <v>2.6268656716417916E-4</v>
      </c>
      <c r="L199" s="274">
        <v>2.5999999999999998E-4</v>
      </c>
      <c r="M199" s="272">
        <v>4.1551246537396122E-7</v>
      </c>
      <c r="N199" s="272">
        <v>4.2E-7</v>
      </c>
      <c r="O199" s="273">
        <v>2.6268656716417916E-4</v>
      </c>
      <c r="P199" s="274">
        <v>2.5999999999999998E-4</v>
      </c>
      <c r="Q199" s="275" t="s">
        <v>444</v>
      </c>
      <c r="R199" s="276" t="s">
        <v>444</v>
      </c>
      <c r="S199" s="187">
        <v>1</v>
      </c>
      <c r="T199" s="187">
        <v>1</v>
      </c>
      <c r="U199" s="187" t="s">
        <v>478</v>
      </c>
      <c r="V199" s="187">
        <v>26</v>
      </c>
      <c r="W199" s="187">
        <v>7.6</v>
      </c>
      <c r="X199" s="187">
        <v>310</v>
      </c>
      <c r="Y199" s="187">
        <v>6.7</v>
      </c>
    </row>
    <row r="200" spans="1:25" x14ac:dyDescent="0.25">
      <c r="A200" t="s">
        <v>1004</v>
      </c>
      <c r="B200" t="s">
        <v>1005</v>
      </c>
      <c r="C200" s="187" t="s">
        <v>700</v>
      </c>
      <c r="D200" s="187" t="s">
        <v>657</v>
      </c>
      <c r="E200" s="272">
        <v>1.0121457489878542E-8</v>
      </c>
      <c r="F200" s="272">
        <v>1E-8</v>
      </c>
      <c r="G200" s="273">
        <v>1.2903225806451614E-6</v>
      </c>
      <c r="H200" s="274">
        <v>1.3E-6</v>
      </c>
      <c r="I200" s="272">
        <v>9.0027700831024923E-7</v>
      </c>
      <c r="J200" s="272">
        <v>8.9999999999999996E-7</v>
      </c>
      <c r="K200" s="273">
        <v>2.6268656716417916E-4</v>
      </c>
      <c r="L200" s="274">
        <v>2.5999999999999998E-4</v>
      </c>
      <c r="M200" s="272">
        <v>4.1551246537396122E-7</v>
      </c>
      <c r="N200" s="272">
        <v>4.2E-7</v>
      </c>
      <c r="O200" s="273">
        <v>2.6268656716417916E-4</v>
      </c>
      <c r="P200" s="274">
        <v>2.5999999999999998E-4</v>
      </c>
      <c r="Q200" s="275" t="s">
        <v>444</v>
      </c>
      <c r="R200" s="276" t="s">
        <v>444</v>
      </c>
      <c r="S200" s="187">
        <v>1</v>
      </c>
      <c r="T200" s="187">
        <v>1</v>
      </c>
      <c r="U200" s="187" t="s">
        <v>478</v>
      </c>
      <c r="V200" s="187">
        <v>26</v>
      </c>
      <c r="W200" s="187">
        <v>7.6</v>
      </c>
      <c r="X200" s="187">
        <v>310</v>
      </c>
      <c r="Y200" s="187">
        <v>6.7</v>
      </c>
    </row>
    <row r="201" spans="1:25" x14ac:dyDescent="0.25">
      <c r="A201" t="s">
        <v>1006</v>
      </c>
      <c r="B201" t="s">
        <v>1007</v>
      </c>
      <c r="C201" s="187" t="s">
        <v>700</v>
      </c>
      <c r="D201" s="187" t="s">
        <v>657</v>
      </c>
      <c r="E201" s="272">
        <v>1.0121457489878542E-8</v>
      </c>
      <c r="F201" s="272">
        <v>1E-8</v>
      </c>
      <c r="G201" s="273">
        <v>1.2903225806451614E-6</v>
      </c>
      <c r="H201" s="274">
        <v>1.3E-6</v>
      </c>
      <c r="I201" s="272">
        <v>9.0027700831024923E-7</v>
      </c>
      <c r="J201" s="272">
        <v>8.9999999999999996E-7</v>
      </c>
      <c r="K201" s="273">
        <v>2.6268656716417916E-4</v>
      </c>
      <c r="L201" s="274">
        <v>2.5999999999999998E-4</v>
      </c>
      <c r="M201" s="272">
        <v>4.1551246537396122E-7</v>
      </c>
      <c r="N201" s="272">
        <v>4.2E-7</v>
      </c>
      <c r="O201" s="273">
        <v>2.6268656716417916E-4</v>
      </c>
      <c r="P201" s="274">
        <v>2.5999999999999998E-4</v>
      </c>
      <c r="Q201" s="275" t="s">
        <v>444</v>
      </c>
      <c r="R201" s="276" t="s">
        <v>444</v>
      </c>
      <c r="S201" s="187">
        <v>1</v>
      </c>
      <c r="T201" s="187">
        <v>1</v>
      </c>
      <c r="U201" s="187" t="s">
        <v>478</v>
      </c>
      <c r="V201" s="187">
        <v>26</v>
      </c>
      <c r="W201" s="187">
        <v>7.6</v>
      </c>
      <c r="X201" s="187">
        <v>310</v>
      </c>
      <c r="Y201" s="187">
        <v>6.7</v>
      </c>
    </row>
    <row r="202" spans="1:25" x14ac:dyDescent="0.25">
      <c r="A202" t="s">
        <v>1008</v>
      </c>
      <c r="B202" t="s">
        <v>1009</v>
      </c>
      <c r="C202" s="187" t="s">
        <v>700</v>
      </c>
      <c r="D202" s="187" t="s">
        <v>657</v>
      </c>
      <c r="E202" s="272">
        <v>1.0121457489878542E-8</v>
      </c>
      <c r="F202" s="272">
        <v>1E-8</v>
      </c>
      <c r="G202" s="273">
        <v>1.2903225806451614E-6</v>
      </c>
      <c r="H202" s="274">
        <v>1.3E-6</v>
      </c>
      <c r="I202" s="272">
        <v>9.0027700831024923E-7</v>
      </c>
      <c r="J202" s="272">
        <v>8.9999999999999996E-7</v>
      </c>
      <c r="K202" s="273">
        <v>2.6268656716417916E-4</v>
      </c>
      <c r="L202" s="274">
        <v>2.5999999999999998E-4</v>
      </c>
      <c r="M202" s="272">
        <v>4.1551246537396122E-7</v>
      </c>
      <c r="N202" s="272">
        <v>4.2E-7</v>
      </c>
      <c r="O202" s="273">
        <v>2.6268656716417916E-4</v>
      </c>
      <c r="P202" s="274">
        <v>2.5999999999999998E-4</v>
      </c>
      <c r="Q202" s="275" t="s">
        <v>444</v>
      </c>
      <c r="R202" s="276" t="s">
        <v>444</v>
      </c>
      <c r="S202" s="187">
        <v>1</v>
      </c>
      <c r="T202" s="187">
        <v>1</v>
      </c>
      <c r="U202" s="187" t="s">
        <v>478</v>
      </c>
      <c r="V202" s="187">
        <v>26</v>
      </c>
      <c r="W202" s="187">
        <v>7.6</v>
      </c>
      <c r="X202" s="187">
        <v>310</v>
      </c>
      <c r="Y202" s="187">
        <v>6.7</v>
      </c>
    </row>
    <row r="203" spans="1:25" x14ac:dyDescent="0.25">
      <c r="A203" t="s">
        <v>1010</v>
      </c>
      <c r="B203" t="s">
        <v>1011</v>
      </c>
      <c r="C203" s="187" t="s">
        <v>700</v>
      </c>
      <c r="D203" s="187" t="s">
        <v>657</v>
      </c>
      <c r="E203" s="272">
        <v>1.0121457489878542E-7</v>
      </c>
      <c r="F203" s="272">
        <v>9.9999999999999995E-8</v>
      </c>
      <c r="G203" s="273">
        <v>1.2903225806451613E-5</v>
      </c>
      <c r="H203" s="274">
        <v>1.2999999999999999E-5</v>
      </c>
      <c r="I203" s="272">
        <v>9.0027700831024914E-6</v>
      </c>
      <c r="J203" s="272">
        <v>9.0000000000000002E-6</v>
      </c>
      <c r="K203" s="273">
        <v>2.6268656716417912E-3</v>
      </c>
      <c r="L203" s="274">
        <v>2.5999999999999999E-3</v>
      </c>
      <c r="M203" s="272">
        <v>4.1551246537396112E-6</v>
      </c>
      <c r="N203" s="272">
        <v>4.1999999999999996E-6</v>
      </c>
      <c r="O203" s="273">
        <v>2.6268656716417912E-3</v>
      </c>
      <c r="P203" s="274">
        <v>2.5999999999999999E-3</v>
      </c>
      <c r="Q203" s="275" t="s">
        <v>444</v>
      </c>
      <c r="R203" s="276" t="s">
        <v>444</v>
      </c>
      <c r="S203" s="187">
        <v>1</v>
      </c>
      <c r="T203" s="187">
        <v>1</v>
      </c>
      <c r="U203" s="187" t="s">
        <v>478</v>
      </c>
      <c r="V203" s="187">
        <v>26</v>
      </c>
      <c r="W203" s="187">
        <v>7.6</v>
      </c>
      <c r="X203" s="187">
        <v>310</v>
      </c>
      <c r="Y203" s="187">
        <v>6.7</v>
      </c>
    </row>
    <row r="204" spans="1:25" x14ac:dyDescent="0.25">
      <c r="A204" t="s">
        <v>1012</v>
      </c>
      <c r="B204" t="s">
        <v>1013</v>
      </c>
      <c r="C204" s="187" t="s">
        <v>700</v>
      </c>
      <c r="D204" s="187" t="s">
        <v>657</v>
      </c>
      <c r="E204" s="272">
        <v>1.0121457489878542E-7</v>
      </c>
      <c r="F204" s="272">
        <v>9.9999999999999995E-8</v>
      </c>
      <c r="G204" s="273">
        <v>1.2903225806451613E-5</v>
      </c>
      <c r="H204" s="274">
        <v>1.2999999999999999E-5</v>
      </c>
      <c r="I204" s="272">
        <v>9.0027700831024914E-6</v>
      </c>
      <c r="J204" s="272">
        <v>9.0000000000000002E-6</v>
      </c>
      <c r="K204" s="273">
        <v>2.6268656716417912E-3</v>
      </c>
      <c r="L204" s="274">
        <v>2.5999999999999999E-3</v>
      </c>
      <c r="M204" s="272">
        <v>4.1551246537396112E-6</v>
      </c>
      <c r="N204" s="272">
        <v>4.1999999999999996E-6</v>
      </c>
      <c r="O204" s="273">
        <v>2.6268656716417912E-3</v>
      </c>
      <c r="P204" s="274">
        <v>2.5999999999999999E-3</v>
      </c>
      <c r="Q204" s="275" t="s">
        <v>444</v>
      </c>
      <c r="R204" s="276" t="s">
        <v>444</v>
      </c>
      <c r="S204" s="187">
        <v>1</v>
      </c>
      <c r="T204" s="187">
        <v>1</v>
      </c>
      <c r="U204" s="187" t="s">
        <v>478</v>
      </c>
      <c r="V204" s="187">
        <v>26</v>
      </c>
      <c r="W204" s="187">
        <v>7.6</v>
      </c>
      <c r="X204" s="187">
        <v>310</v>
      </c>
      <c r="Y204" s="187">
        <v>6.7</v>
      </c>
    </row>
    <row r="205" spans="1:25" x14ac:dyDescent="0.25">
      <c r="A205" t="s">
        <v>1014</v>
      </c>
      <c r="B205" t="s">
        <v>1015</v>
      </c>
      <c r="C205" s="187" t="s">
        <v>700</v>
      </c>
      <c r="D205" s="187" t="s">
        <v>657</v>
      </c>
      <c r="E205" s="272">
        <v>3.3738191632928472E-6</v>
      </c>
      <c r="F205" s="272">
        <v>3.4000000000000001E-6</v>
      </c>
      <c r="G205" s="273">
        <v>4.1935483870967743E-4</v>
      </c>
      <c r="H205" s="274">
        <v>4.2000000000000002E-4</v>
      </c>
      <c r="I205" s="272">
        <v>3.0009233610341643E-4</v>
      </c>
      <c r="J205" s="272">
        <v>2.9999999999999997E-4</v>
      </c>
      <c r="K205" s="273">
        <v>8.5373134328358205E-2</v>
      </c>
      <c r="L205" s="274">
        <v>8.5000000000000006E-2</v>
      </c>
      <c r="M205" s="272">
        <v>1.3850415512465375E-4</v>
      </c>
      <c r="N205" s="272">
        <v>1.3999999999999999E-4</v>
      </c>
      <c r="O205" s="273">
        <v>8.5373134328358219E-2</v>
      </c>
      <c r="P205" s="274">
        <v>8.5000000000000006E-2</v>
      </c>
      <c r="Q205" s="275" t="s">
        <v>444</v>
      </c>
      <c r="R205" s="276" t="s">
        <v>444</v>
      </c>
      <c r="S205" s="187">
        <v>1</v>
      </c>
      <c r="T205" s="187">
        <v>1</v>
      </c>
      <c r="U205" s="187" t="s">
        <v>478</v>
      </c>
      <c r="V205" s="187">
        <v>26</v>
      </c>
      <c r="W205" s="187">
        <v>7.6</v>
      </c>
      <c r="X205" s="187">
        <v>310</v>
      </c>
      <c r="Y205" s="187">
        <v>6.7</v>
      </c>
    </row>
    <row r="206" spans="1:25" x14ac:dyDescent="0.25">
      <c r="A206">
        <v>401</v>
      </c>
      <c r="B206" t="s">
        <v>496</v>
      </c>
      <c r="C206" s="187" t="s">
        <v>1016</v>
      </c>
      <c r="D206" s="187" t="s">
        <v>444</v>
      </c>
      <c r="E206" s="272">
        <v>4.2625745950554133E-5</v>
      </c>
      <c r="F206" s="272">
        <v>4.3000000000000002E-5</v>
      </c>
      <c r="G206" s="273" t="s">
        <v>444</v>
      </c>
      <c r="H206" s="274" t="s">
        <v>444</v>
      </c>
      <c r="I206" s="272">
        <v>1.5632515632515633E-3</v>
      </c>
      <c r="J206" s="272">
        <v>1.6000000000000001E-3</v>
      </c>
      <c r="K206" s="273" t="s">
        <v>444</v>
      </c>
      <c r="L206" s="274" t="s">
        <v>444</v>
      </c>
      <c r="M206" s="272">
        <v>3.0303030303030307E-3</v>
      </c>
      <c r="N206" s="272">
        <v>3.0000000000000001E-3</v>
      </c>
      <c r="O206" s="273" t="s">
        <v>444</v>
      </c>
      <c r="P206" s="274" t="s">
        <v>444</v>
      </c>
      <c r="Q206" s="275" t="s">
        <v>444</v>
      </c>
      <c r="R206" s="276" t="s">
        <v>444</v>
      </c>
      <c r="S206" s="187">
        <v>1</v>
      </c>
      <c r="T206" s="187">
        <v>1</v>
      </c>
      <c r="U206" s="187" t="s">
        <v>244</v>
      </c>
      <c r="V206" s="187">
        <v>23</v>
      </c>
      <c r="W206" s="187">
        <v>6.6</v>
      </c>
      <c r="X206" s="187">
        <v>1</v>
      </c>
      <c r="Y206" s="187">
        <v>1</v>
      </c>
    </row>
    <row r="207" spans="1:25" x14ac:dyDescent="0.25">
      <c r="A207" t="s">
        <v>1017</v>
      </c>
      <c r="B207" t="s">
        <v>1018</v>
      </c>
      <c r="C207" s="187" t="s">
        <v>1016</v>
      </c>
      <c r="D207" s="187" t="s">
        <v>444</v>
      </c>
      <c r="E207" s="272">
        <v>1.0656436487638534E-4</v>
      </c>
      <c r="F207" s="272">
        <v>1.1E-4</v>
      </c>
      <c r="G207" s="273" t="s">
        <v>444</v>
      </c>
      <c r="H207" s="274" t="s">
        <v>444</v>
      </c>
      <c r="I207" s="272">
        <v>3.9081289081289083E-3</v>
      </c>
      <c r="J207" s="272">
        <v>3.8999999999999998E-3</v>
      </c>
      <c r="K207" s="273" t="s">
        <v>444</v>
      </c>
      <c r="L207" s="274" t="s">
        <v>444</v>
      </c>
      <c r="M207" s="272">
        <v>7.5757575757575768E-3</v>
      </c>
      <c r="N207" s="272">
        <v>7.6E-3</v>
      </c>
      <c r="O207" s="273" t="s">
        <v>444</v>
      </c>
      <c r="P207" s="274" t="s">
        <v>444</v>
      </c>
      <c r="Q207" s="275" t="s">
        <v>444</v>
      </c>
      <c r="R207" s="276" t="s">
        <v>444</v>
      </c>
      <c r="S207" s="187">
        <v>1</v>
      </c>
      <c r="T207" s="187">
        <v>1</v>
      </c>
      <c r="U207" s="187" t="s">
        <v>244</v>
      </c>
      <c r="V207" s="187">
        <v>23</v>
      </c>
      <c r="W207" s="187">
        <v>6.6</v>
      </c>
      <c r="X207" s="187">
        <v>1</v>
      </c>
      <c r="Y207" s="187">
        <v>1</v>
      </c>
    </row>
    <row r="208" spans="1:25" x14ac:dyDescent="0.25">
      <c r="A208" t="s">
        <v>26</v>
      </c>
      <c r="B208" t="s">
        <v>133</v>
      </c>
      <c r="C208" s="187" t="s">
        <v>1016</v>
      </c>
      <c r="D208" s="187" t="s">
        <v>444</v>
      </c>
      <c r="E208" s="272">
        <v>2.1312872975277067E-4</v>
      </c>
      <c r="F208" s="272">
        <v>2.1000000000000001E-4</v>
      </c>
      <c r="G208" s="273" t="s">
        <v>444</v>
      </c>
      <c r="H208" s="274" t="s">
        <v>444</v>
      </c>
      <c r="I208" s="272">
        <v>7.8162578162578166E-3</v>
      </c>
      <c r="J208" s="272">
        <v>7.7999999999999996E-3</v>
      </c>
      <c r="K208" s="273" t="s">
        <v>444</v>
      </c>
      <c r="L208" s="274" t="s">
        <v>444</v>
      </c>
      <c r="M208" s="272">
        <v>1.5151515151515154E-2</v>
      </c>
      <c r="N208" s="272">
        <v>1.4999999999999999E-2</v>
      </c>
      <c r="O208" s="273" t="s">
        <v>444</v>
      </c>
      <c r="P208" s="274" t="s">
        <v>444</v>
      </c>
      <c r="Q208" s="275" t="s">
        <v>444</v>
      </c>
      <c r="R208" s="276" t="s">
        <v>444</v>
      </c>
      <c r="S208" s="187">
        <v>1</v>
      </c>
      <c r="T208" s="187">
        <v>1</v>
      </c>
      <c r="U208" s="187" t="s">
        <v>244</v>
      </c>
      <c r="V208" s="187">
        <v>23</v>
      </c>
      <c r="W208" s="187">
        <v>6.6</v>
      </c>
      <c r="X208" s="187">
        <v>1</v>
      </c>
      <c r="Y208" s="187">
        <v>1</v>
      </c>
    </row>
    <row r="209" spans="1:25" x14ac:dyDescent="0.25">
      <c r="A209" t="s">
        <v>30</v>
      </c>
      <c r="B209" t="s">
        <v>134</v>
      </c>
      <c r="C209" s="187" t="s">
        <v>1016</v>
      </c>
      <c r="D209" s="187" t="s">
        <v>657</v>
      </c>
      <c r="E209" s="272">
        <v>4.2625745950554133E-5</v>
      </c>
      <c r="F209" s="272">
        <v>4.3000000000000002E-5</v>
      </c>
      <c r="G209" s="273">
        <v>2E-3</v>
      </c>
      <c r="H209" s="274">
        <v>2E-3</v>
      </c>
      <c r="I209" s="272">
        <v>1.5632515632515633E-3</v>
      </c>
      <c r="J209" s="272">
        <v>1.6000000000000001E-3</v>
      </c>
      <c r="K209" s="273">
        <v>8.8000000000000005E-3</v>
      </c>
      <c r="L209" s="274">
        <v>8.8000000000000005E-3</v>
      </c>
      <c r="M209" s="272">
        <v>3.0303030303030307E-3</v>
      </c>
      <c r="N209" s="272">
        <v>3.0000000000000001E-3</v>
      </c>
      <c r="O209" s="273">
        <v>8.8000000000000005E-3</v>
      </c>
      <c r="P209" s="274">
        <v>8.8000000000000005E-3</v>
      </c>
      <c r="Q209" s="275">
        <v>2E-3</v>
      </c>
      <c r="R209" s="276">
        <v>2E-3</v>
      </c>
      <c r="S209" s="187">
        <v>1</v>
      </c>
      <c r="T209" s="187">
        <v>1</v>
      </c>
      <c r="U209" s="187" t="s">
        <v>244</v>
      </c>
      <c r="V209" s="187">
        <v>23</v>
      </c>
      <c r="W209" s="187">
        <v>6.6</v>
      </c>
      <c r="X209" s="187">
        <v>1</v>
      </c>
      <c r="Y209" s="187">
        <v>1</v>
      </c>
    </row>
    <row r="210" spans="1:25" x14ac:dyDescent="0.25">
      <c r="A210" t="s">
        <v>32</v>
      </c>
      <c r="B210" t="s">
        <v>135</v>
      </c>
      <c r="C210" s="187" t="s">
        <v>1016</v>
      </c>
      <c r="D210" s="187" t="s">
        <v>444</v>
      </c>
      <c r="E210" s="272">
        <v>5.3282182438192668E-5</v>
      </c>
      <c r="F210" s="272">
        <v>5.3000000000000001E-5</v>
      </c>
      <c r="G210" s="273" t="s">
        <v>444</v>
      </c>
      <c r="H210" s="274" t="s">
        <v>444</v>
      </c>
      <c r="I210" s="272">
        <v>1.9540644540644542E-3</v>
      </c>
      <c r="J210" s="272">
        <v>2E-3</v>
      </c>
      <c r="K210" s="273" t="s">
        <v>444</v>
      </c>
      <c r="L210" s="274" t="s">
        <v>444</v>
      </c>
      <c r="M210" s="272">
        <v>3.7878787878787884E-3</v>
      </c>
      <c r="N210" s="272">
        <v>3.8E-3</v>
      </c>
      <c r="O210" s="273" t="s">
        <v>444</v>
      </c>
      <c r="P210" s="274" t="s">
        <v>444</v>
      </c>
      <c r="Q210" s="275" t="s">
        <v>444</v>
      </c>
      <c r="R210" s="276" t="s">
        <v>444</v>
      </c>
      <c r="S210" s="187">
        <v>1</v>
      </c>
      <c r="T210" s="187">
        <v>1</v>
      </c>
      <c r="U210" s="187" t="s">
        <v>244</v>
      </c>
      <c r="V210" s="187">
        <v>23</v>
      </c>
      <c r="W210" s="187">
        <v>6.6</v>
      </c>
      <c r="X210" s="187">
        <v>1</v>
      </c>
      <c r="Y210" s="187">
        <v>1</v>
      </c>
    </row>
    <row r="211" spans="1:25" x14ac:dyDescent="0.25">
      <c r="A211" t="s">
        <v>1019</v>
      </c>
      <c r="B211" t="s">
        <v>1020</v>
      </c>
      <c r="C211" s="187" t="s">
        <v>1016</v>
      </c>
      <c r="D211" s="187" t="s">
        <v>444</v>
      </c>
      <c r="E211" s="272">
        <v>2.1312872975277068E-6</v>
      </c>
      <c r="F211" s="272">
        <v>2.0999999999999998E-6</v>
      </c>
      <c r="G211" s="273" t="s">
        <v>444</v>
      </c>
      <c r="H211" s="274" t="s">
        <v>444</v>
      </c>
      <c r="I211" s="272">
        <v>7.8162578162578172E-5</v>
      </c>
      <c r="J211" s="272">
        <v>7.7999999999999999E-5</v>
      </c>
      <c r="K211" s="273" t="s">
        <v>444</v>
      </c>
      <c r="L211" s="274" t="s">
        <v>444</v>
      </c>
      <c r="M211" s="272">
        <v>1.5151515151515152E-4</v>
      </c>
      <c r="N211" s="272">
        <v>1.4999999999999999E-4</v>
      </c>
      <c r="O211" s="273" t="s">
        <v>444</v>
      </c>
      <c r="P211" s="274" t="s">
        <v>444</v>
      </c>
      <c r="Q211" s="275" t="s">
        <v>444</v>
      </c>
      <c r="R211" s="276" t="s">
        <v>444</v>
      </c>
      <c r="S211" s="187">
        <v>1</v>
      </c>
      <c r="T211" s="187">
        <v>1</v>
      </c>
      <c r="U211" s="187" t="s">
        <v>244</v>
      </c>
      <c r="V211" s="187">
        <v>23</v>
      </c>
      <c r="W211" s="187">
        <v>6.6</v>
      </c>
      <c r="X211" s="187">
        <v>1</v>
      </c>
      <c r="Y211" s="187">
        <v>1</v>
      </c>
    </row>
    <row r="212" spans="1:25" x14ac:dyDescent="0.25">
      <c r="A212" t="s">
        <v>36</v>
      </c>
      <c r="B212" t="s">
        <v>137</v>
      </c>
      <c r="C212" s="187" t="s">
        <v>1016</v>
      </c>
      <c r="D212" s="187" t="s">
        <v>444</v>
      </c>
      <c r="E212" s="272">
        <v>4.7361939945060154E-3</v>
      </c>
      <c r="F212" s="272">
        <v>4.7000000000000002E-3</v>
      </c>
      <c r="G212" s="273" t="s">
        <v>444</v>
      </c>
      <c r="H212" s="274" t="s">
        <v>444</v>
      </c>
      <c r="I212" s="272">
        <v>0.17369461813906259</v>
      </c>
      <c r="J212" s="272">
        <v>0.17</v>
      </c>
      <c r="K212" s="273" t="s">
        <v>444</v>
      </c>
      <c r="L212" s="274" t="s">
        <v>444</v>
      </c>
      <c r="M212" s="272">
        <v>0.33670033670033672</v>
      </c>
      <c r="N212" s="272">
        <v>0.34</v>
      </c>
      <c r="O212" s="273" t="s">
        <v>444</v>
      </c>
      <c r="P212" s="274" t="s">
        <v>444</v>
      </c>
      <c r="Q212" s="275" t="s">
        <v>444</v>
      </c>
      <c r="R212" s="276" t="s">
        <v>444</v>
      </c>
      <c r="S212" s="187">
        <v>1</v>
      </c>
      <c r="T212" s="187">
        <v>1</v>
      </c>
      <c r="U212" s="187" t="s">
        <v>244</v>
      </c>
      <c r="V212" s="187">
        <v>23</v>
      </c>
      <c r="W212" s="187">
        <v>6.6</v>
      </c>
      <c r="X212" s="187">
        <v>1</v>
      </c>
      <c r="Y212" s="187">
        <v>1</v>
      </c>
    </row>
    <row r="213" spans="1:25" x14ac:dyDescent="0.25">
      <c r="A213" t="s">
        <v>1021</v>
      </c>
      <c r="B213" t="s">
        <v>1022</v>
      </c>
      <c r="C213" s="187" t="s">
        <v>1016</v>
      </c>
      <c r="D213" s="187" t="s">
        <v>444</v>
      </c>
      <c r="E213" s="272">
        <v>1.4208581983518045E-4</v>
      </c>
      <c r="F213" s="272">
        <v>1.3999999999999999E-4</v>
      </c>
      <c r="G213" s="273" t="s">
        <v>444</v>
      </c>
      <c r="H213" s="274" t="s">
        <v>444</v>
      </c>
      <c r="I213" s="272">
        <v>5.2108385441718783E-3</v>
      </c>
      <c r="J213" s="272">
        <v>5.1999999999999998E-3</v>
      </c>
      <c r="K213" s="273" t="s">
        <v>444</v>
      </c>
      <c r="L213" s="274" t="s">
        <v>444</v>
      </c>
      <c r="M213" s="272">
        <v>1.0101010101010102E-2</v>
      </c>
      <c r="N213" s="272">
        <v>0.01</v>
      </c>
      <c r="O213" s="273" t="s">
        <v>444</v>
      </c>
      <c r="P213" s="274" t="s">
        <v>444</v>
      </c>
      <c r="Q213" s="275" t="s">
        <v>444</v>
      </c>
      <c r="R213" s="276" t="s">
        <v>444</v>
      </c>
      <c r="S213" s="187">
        <v>1</v>
      </c>
      <c r="T213" s="187">
        <v>1</v>
      </c>
      <c r="U213" s="187" t="s">
        <v>244</v>
      </c>
      <c r="V213" s="187">
        <v>23</v>
      </c>
      <c r="W213" s="187">
        <v>6.6</v>
      </c>
      <c r="X213" s="187">
        <v>1</v>
      </c>
      <c r="Y213" s="187">
        <v>1</v>
      </c>
    </row>
    <row r="214" spans="1:25" x14ac:dyDescent="0.25">
      <c r="A214" t="s">
        <v>38</v>
      </c>
      <c r="B214" t="s">
        <v>138</v>
      </c>
      <c r="C214" s="187" t="s">
        <v>1016</v>
      </c>
      <c r="D214" s="187" t="s">
        <v>444</v>
      </c>
      <c r="E214" s="272">
        <v>1.4208581983518045E-3</v>
      </c>
      <c r="F214" s="272">
        <v>1.4E-3</v>
      </c>
      <c r="G214" s="273" t="s">
        <v>444</v>
      </c>
      <c r="H214" s="274" t="s">
        <v>444</v>
      </c>
      <c r="I214" s="272">
        <v>5.2108385441718787E-2</v>
      </c>
      <c r="J214" s="272">
        <v>5.1999999999999998E-2</v>
      </c>
      <c r="K214" s="273" t="s">
        <v>444</v>
      </c>
      <c r="L214" s="274" t="s">
        <v>444</v>
      </c>
      <c r="M214" s="272">
        <v>0.10101010101010102</v>
      </c>
      <c r="N214" s="272">
        <v>0.1</v>
      </c>
      <c r="O214" s="273" t="s">
        <v>444</v>
      </c>
      <c r="P214" s="274" t="s">
        <v>444</v>
      </c>
      <c r="Q214" s="275" t="s">
        <v>444</v>
      </c>
      <c r="R214" s="276" t="s">
        <v>444</v>
      </c>
      <c r="S214" s="187">
        <v>1</v>
      </c>
      <c r="T214" s="187">
        <v>1</v>
      </c>
      <c r="U214" s="187" t="s">
        <v>244</v>
      </c>
      <c r="V214" s="187">
        <v>23</v>
      </c>
      <c r="W214" s="187">
        <v>6.6</v>
      </c>
      <c r="X214" s="187">
        <v>1</v>
      </c>
      <c r="Y214" s="187">
        <v>1</v>
      </c>
    </row>
    <row r="215" spans="1:25" x14ac:dyDescent="0.25">
      <c r="A215" t="s">
        <v>46</v>
      </c>
      <c r="B215" t="s">
        <v>139</v>
      </c>
      <c r="C215" s="187" t="s">
        <v>1016</v>
      </c>
      <c r="D215" s="187" t="s">
        <v>444</v>
      </c>
      <c r="E215" s="272">
        <v>4.2625745950554135E-4</v>
      </c>
      <c r="F215" s="272">
        <v>4.2999999999999999E-4</v>
      </c>
      <c r="G215" s="273" t="s">
        <v>444</v>
      </c>
      <c r="H215" s="274" t="s">
        <v>444</v>
      </c>
      <c r="I215" s="272">
        <v>1.5632515632515633E-2</v>
      </c>
      <c r="J215" s="272">
        <v>1.6E-2</v>
      </c>
      <c r="K215" s="273" t="s">
        <v>444</v>
      </c>
      <c r="L215" s="274" t="s">
        <v>444</v>
      </c>
      <c r="M215" s="272">
        <v>3.0303030303030307E-2</v>
      </c>
      <c r="N215" s="272">
        <v>0.03</v>
      </c>
      <c r="O215" s="273" t="s">
        <v>444</v>
      </c>
      <c r="P215" s="274" t="s">
        <v>444</v>
      </c>
      <c r="Q215" s="275" t="s">
        <v>444</v>
      </c>
      <c r="R215" s="276" t="s">
        <v>444</v>
      </c>
      <c r="S215" s="187">
        <v>1</v>
      </c>
      <c r="T215" s="187">
        <v>1</v>
      </c>
      <c r="U215" s="187" t="s">
        <v>244</v>
      </c>
      <c r="V215" s="187">
        <v>23</v>
      </c>
      <c r="W215" s="187">
        <v>6.6</v>
      </c>
      <c r="X215" s="187">
        <v>1</v>
      </c>
      <c r="Y215" s="187">
        <v>1</v>
      </c>
    </row>
    <row r="216" spans="1:25" x14ac:dyDescent="0.25">
      <c r="A216" t="s">
        <v>1023</v>
      </c>
      <c r="B216" t="s">
        <v>1024</v>
      </c>
      <c r="C216" s="187" t="s">
        <v>1016</v>
      </c>
      <c r="D216" s="187" t="s">
        <v>444</v>
      </c>
      <c r="E216" s="272">
        <v>1.0656436487638534E-4</v>
      </c>
      <c r="F216" s="272">
        <v>1.1E-4</v>
      </c>
      <c r="G216" s="273" t="s">
        <v>444</v>
      </c>
      <c r="H216" s="274" t="s">
        <v>444</v>
      </c>
      <c r="I216" s="272">
        <v>3.9081289081289083E-3</v>
      </c>
      <c r="J216" s="272">
        <v>3.8999999999999998E-3</v>
      </c>
      <c r="K216" s="273" t="s">
        <v>444</v>
      </c>
      <c r="L216" s="274" t="s">
        <v>444</v>
      </c>
      <c r="M216" s="272">
        <v>7.5757575757575768E-3</v>
      </c>
      <c r="N216" s="272">
        <v>7.6E-3</v>
      </c>
      <c r="O216" s="273" t="s">
        <v>444</v>
      </c>
      <c r="P216" s="274" t="s">
        <v>444</v>
      </c>
      <c r="Q216" s="275" t="s">
        <v>444</v>
      </c>
      <c r="R216" s="276" t="s">
        <v>444</v>
      </c>
      <c r="S216" s="187">
        <v>1</v>
      </c>
      <c r="T216" s="187">
        <v>1</v>
      </c>
      <c r="U216" s="187" t="s">
        <v>244</v>
      </c>
      <c r="V216" s="187">
        <v>23</v>
      </c>
      <c r="W216" s="187">
        <v>6.6</v>
      </c>
      <c r="X216" s="187">
        <v>1</v>
      </c>
      <c r="Y216" s="187">
        <v>1</v>
      </c>
    </row>
    <row r="217" spans="1:25" x14ac:dyDescent="0.25">
      <c r="A217" t="s">
        <v>52</v>
      </c>
      <c r="B217" t="s">
        <v>140</v>
      </c>
      <c r="C217" s="187" t="s">
        <v>1016</v>
      </c>
      <c r="D217" s="187" t="s">
        <v>444</v>
      </c>
      <c r="E217" s="272">
        <v>4.2625745950554137E-6</v>
      </c>
      <c r="F217" s="272">
        <v>4.3000000000000003E-6</v>
      </c>
      <c r="G217" s="273" t="s">
        <v>444</v>
      </c>
      <c r="H217" s="274" t="s">
        <v>444</v>
      </c>
      <c r="I217" s="272">
        <v>1.5632515632515634E-4</v>
      </c>
      <c r="J217" s="272">
        <v>1.6000000000000001E-4</v>
      </c>
      <c r="K217" s="273" t="s">
        <v>444</v>
      </c>
      <c r="L217" s="274" t="s">
        <v>444</v>
      </c>
      <c r="M217" s="272">
        <v>3.0303030303030303E-4</v>
      </c>
      <c r="N217" s="272">
        <v>2.9999999999999997E-4</v>
      </c>
      <c r="O217" s="273" t="s">
        <v>444</v>
      </c>
      <c r="P217" s="274" t="s">
        <v>444</v>
      </c>
      <c r="Q217" s="275" t="s">
        <v>444</v>
      </c>
      <c r="R217" s="276" t="s">
        <v>444</v>
      </c>
      <c r="S217" s="187">
        <v>1</v>
      </c>
      <c r="T217" s="187">
        <v>1</v>
      </c>
      <c r="U217" s="187" t="s">
        <v>244</v>
      </c>
      <c r="V217" s="187">
        <v>23</v>
      </c>
      <c r="W217" s="187">
        <v>6.6</v>
      </c>
      <c r="X217" s="187">
        <v>1</v>
      </c>
      <c r="Y217" s="187">
        <v>1</v>
      </c>
    </row>
    <row r="218" spans="1:25" x14ac:dyDescent="0.25">
      <c r="A218" t="s">
        <v>1025</v>
      </c>
      <c r="B218" t="s">
        <v>1026</v>
      </c>
      <c r="C218" s="187" t="s">
        <v>1016</v>
      </c>
      <c r="D218" s="187" t="s">
        <v>444</v>
      </c>
      <c r="E218" s="272">
        <v>1.0656436487638534E-4</v>
      </c>
      <c r="F218" s="272">
        <v>1.1E-4</v>
      </c>
      <c r="G218" s="273" t="s">
        <v>444</v>
      </c>
      <c r="H218" s="274" t="s">
        <v>444</v>
      </c>
      <c r="I218" s="272">
        <v>3.9081289081289083E-3</v>
      </c>
      <c r="J218" s="272">
        <v>3.8999999999999998E-3</v>
      </c>
      <c r="K218" s="273" t="s">
        <v>444</v>
      </c>
      <c r="L218" s="274" t="s">
        <v>444</v>
      </c>
      <c r="M218" s="272">
        <v>7.5757575757575768E-3</v>
      </c>
      <c r="N218" s="272">
        <v>7.6E-3</v>
      </c>
      <c r="O218" s="273" t="s">
        <v>444</v>
      </c>
      <c r="P218" s="274" t="s">
        <v>444</v>
      </c>
      <c r="Q218" s="275" t="s">
        <v>444</v>
      </c>
      <c r="R218" s="276" t="s">
        <v>444</v>
      </c>
      <c r="S218" s="187">
        <v>1</v>
      </c>
      <c r="T218" s="187">
        <v>1</v>
      </c>
      <c r="U218" s="187" t="s">
        <v>244</v>
      </c>
      <c r="V218" s="187">
        <v>23</v>
      </c>
      <c r="W218" s="187">
        <v>6.6</v>
      </c>
      <c r="X218" s="187">
        <v>1</v>
      </c>
      <c r="Y218" s="187">
        <v>1</v>
      </c>
    </row>
    <row r="219" spans="1:25" x14ac:dyDescent="0.25">
      <c r="A219" t="s">
        <v>1027</v>
      </c>
      <c r="B219" t="s">
        <v>1028</v>
      </c>
      <c r="C219" s="187" t="s">
        <v>1016</v>
      </c>
      <c r="D219" s="187" t="s">
        <v>444</v>
      </c>
      <c r="E219" s="272">
        <v>4.7361939945060156E-5</v>
      </c>
      <c r="F219" s="272">
        <v>4.6999999999999997E-5</v>
      </c>
      <c r="G219" s="273" t="s">
        <v>444</v>
      </c>
      <c r="H219" s="274" t="s">
        <v>444</v>
      </c>
      <c r="I219" s="272">
        <v>1.7369461813906259E-3</v>
      </c>
      <c r="J219" s="272">
        <v>1.6999999999999999E-3</v>
      </c>
      <c r="K219" s="273" t="s">
        <v>444</v>
      </c>
      <c r="L219" s="274" t="s">
        <v>444</v>
      </c>
      <c r="M219" s="272">
        <v>3.3670033670033673E-3</v>
      </c>
      <c r="N219" s="272">
        <v>3.3999999999999998E-3</v>
      </c>
      <c r="O219" s="273" t="s">
        <v>444</v>
      </c>
      <c r="P219" s="274" t="s">
        <v>444</v>
      </c>
      <c r="Q219" s="275" t="s">
        <v>444</v>
      </c>
      <c r="R219" s="276" t="s">
        <v>444</v>
      </c>
      <c r="S219" s="187">
        <v>1</v>
      </c>
      <c r="T219" s="187">
        <v>1</v>
      </c>
      <c r="U219" s="187" t="s">
        <v>244</v>
      </c>
      <c r="V219" s="187">
        <v>23</v>
      </c>
      <c r="W219" s="187">
        <v>6.6</v>
      </c>
      <c r="X219" s="187">
        <v>1</v>
      </c>
      <c r="Y219" s="187">
        <v>1</v>
      </c>
    </row>
    <row r="220" spans="1:25" x14ac:dyDescent="0.25">
      <c r="A220" t="s">
        <v>1029</v>
      </c>
      <c r="B220" t="s">
        <v>1030</v>
      </c>
      <c r="C220" s="187" t="s">
        <v>1016</v>
      </c>
      <c r="D220" s="187" t="s">
        <v>444</v>
      </c>
      <c r="E220" s="272">
        <v>7.1042909917590224E-5</v>
      </c>
      <c r="F220" s="272">
        <v>7.1000000000000005E-5</v>
      </c>
      <c r="G220" s="273" t="s">
        <v>444</v>
      </c>
      <c r="H220" s="274" t="s">
        <v>444</v>
      </c>
      <c r="I220" s="272">
        <v>2.6054192720859392E-3</v>
      </c>
      <c r="J220" s="272">
        <v>2.5999999999999999E-3</v>
      </c>
      <c r="K220" s="273" t="s">
        <v>444</v>
      </c>
      <c r="L220" s="274" t="s">
        <v>444</v>
      </c>
      <c r="M220" s="272">
        <v>5.0505050505050509E-3</v>
      </c>
      <c r="N220" s="272">
        <v>5.1000000000000004E-3</v>
      </c>
      <c r="O220" s="273" t="s">
        <v>444</v>
      </c>
      <c r="P220" s="274" t="s">
        <v>444</v>
      </c>
      <c r="Q220" s="275" t="s">
        <v>444</v>
      </c>
      <c r="R220" s="276" t="s">
        <v>444</v>
      </c>
      <c r="S220" s="187">
        <v>1</v>
      </c>
      <c r="T220" s="187">
        <v>1</v>
      </c>
      <c r="U220" s="187" t="s">
        <v>244</v>
      </c>
      <c r="V220" s="187">
        <v>23</v>
      </c>
      <c r="W220" s="187">
        <v>6.6</v>
      </c>
      <c r="X220" s="187">
        <v>1</v>
      </c>
      <c r="Y220" s="187">
        <v>1</v>
      </c>
    </row>
    <row r="221" spans="1:25" x14ac:dyDescent="0.25">
      <c r="A221" t="s">
        <v>1031</v>
      </c>
      <c r="B221" t="s">
        <v>1032</v>
      </c>
      <c r="C221" s="187" t="s">
        <v>1016</v>
      </c>
      <c r="D221" s="187" t="s">
        <v>444</v>
      </c>
      <c r="E221" s="272">
        <v>1.4208581983518046E-6</v>
      </c>
      <c r="F221" s="272">
        <v>1.3999999999999999E-6</v>
      </c>
      <c r="G221" s="273" t="s">
        <v>444</v>
      </c>
      <c r="H221" s="274" t="s">
        <v>444</v>
      </c>
      <c r="I221" s="272">
        <v>5.2108385441718781E-5</v>
      </c>
      <c r="J221" s="272">
        <v>5.1999999999999997E-5</v>
      </c>
      <c r="K221" s="273" t="s">
        <v>444</v>
      </c>
      <c r="L221" s="274" t="s">
        <v>444</v>
      </c>
      <c r="M221" s="272">
        <v>1.0101010101010102E-4</v>
      </c>
      <c r="N221" s="272">
        <v>1E-4</v>
      </c>
      <c r="O221" s="273" t="s">
        <v>444</v>
      </c>
      <c r="P221" s="274" t="s">
        <v>444</v>
      </c>
      <c r="Q221" s="275" t="s">
        <v>444</v>
      </c>
      <c r="R221" s="276" t="s">
        <v>444</v>
      </c>
      <c r="S221" s="187">
        <v>1</v>
      </c>
      <c r="T221" s="187">
        <v>1</v>
      </c>
      <c r="U221" s="187" t="s">
        <v>244</v>
      </c>
      <c r="V221" s="187">
        <v>23</v>
      </c>
      <c r="W221" s="187">
        <v>6.6</v>
      </c>
      <c r="X221" s="187">
        <v>1</v>
      </c>
      <c r="Y221" s="187">
        <v>1</v>
      </c>
    </row>
    <row r="222" spans="1:25" x14ac:dyDescent="0.25">
      <c r="A222" t="s">
        <v>56</v>
      </c>
      <c r="B222" t="s">
        <v>141</v>
      </c>
      <c r="C222" s="187" t="s">
        <v>1016</v>
      </c>
      <c r="D222" s="187" t="s">
        <v>444</v>
      </c>
      <c r="E222" s="272">
        <v>5.3282182438192671E-4</v>
      </c>
      <c r="F222" s="272">
        <v>5.2999999999999998E-4</v>
      </c>
      <c r="G222" s="273" t="s">
        <v>444</v>
      </c>
      <c r="H222" s="274" t="s">
        <v>444</v>
      </c>
      <c r="I222" s="272">
        <v>1.9540644540644542E-2</v>
      </c>
      <c r="J222" s="272">
        <v>0.02</v>
      </c>
      <c r="K222" s="273" t="s">
        <v>444</v>
      </c>
      <c r="L222" s="274" t="s">
        <v>444</v>
      </c>
      <c r="M222" s="272">
        <v>3.787878787878788E-2</v>
      </c>
      <c r="N222" s="272">
        <v>3.7999999999999999E-2</v>
      </c>
      <c r="O222" s="273" t="s">
        <v>444</v>
      </c>
      <c r="P222" s="274" t="s">
        <v>444</v>
      </c>
      <c r="Q222" s="275" t="s">
        <v>444</v>
      </c>
      <c r="R222" s="276" t="s">
        <v>444</v>
      </c>
      <c r="S222" s="187">
        <v>1</v>
      </c>
      <c r="T222" s="187">
        <v>1</v>
      </c>
      <c r="U222" s="187" t="s">
        <v>244</v>
      </c>
      <c r="V222" s="187">
        <v>23</v>
      </c>
      <c r="W222" s="187">
        <v>6.6</v>
      </c>
      <c r="X222" s="187">
        <v>1</v>
      </c>
      <c r="Y222" s="187">
        <v>1</v>
      </c>
    </row>
    <row r="223" spans="1:25" x14ac:dyDescent="0.25">
      <c r="A223" t="s">
        <v>67</v>
      </c>
      <c r="B223" t="s">
        <v>144</v>
      </c>
      <c r="C223" s="187" t="s">
        <v>1016</v>
      </c>
      <c r="D223" s="187" t="s">
        <v>444</v>
      </c>
      <c r="E223" s="272">
        <v>6.0893922786505903E-4</v>
      </c>
      <c r="F223" s="272">
        <v>6.0999999999999997E-4</v>
      </c>
      <c r="G223" s="273" t="s">
        <v>444</v>
      </c>
      <c r="H223" s="274" t="s">
        <v>444</v>
      </c>
      <c r="I223" s="272">
        <v>2.2332165189308046E-2</v>
      </c>
      <c r="J223" s="272">
        <v>2.1999999999999999E-2</v>
      </c>
      <c r="K223" s="273" t="s">
        <v>444</v>
      </c>
      <c r="L223" s="274" t="s">
        <v>444</v>
      </c>
      <c r="M223" s="272">
        <v>4.3290043290043288E-2</v>
      </c>
      <c r="N223" s="272">
        <v>4.2999999999999997E-2</v>
      </c>
      <c r="O223" s="273" t="s">
        <v>444</v>
      </c>
      <c r="P223" s="274" t="s">
        <v>444</v>
      </c>
      <c r="Q223" s="275" t="s">
        <v>444</v>
      </c>
      <c r="R223" s="276" t="s">
        <v>444</v>
      </c>
      <c r="S223" s="187">
        <v>1</v>
      </c>
      <c r="T223" s="187">
        <v>1</v>
      </c>
      <c r="U223" s="187" t="s">
        <v>244</v>
      </c>
      <c r="V223" s="187">
        <v>23</v>
      </c>
      <c r="W223" s="187">
        <v>6.6</v>
      </c>
      <c r="X223" s="187">
        <v>1</v>
      </c>
      <c r="Y223" s="187">
        <v>1</v>
      </c>
    </row>
    <row r="224" spans="1:25" x14ac:dyDescent="0.25">
      <c r="A224" t="s">
        <v>1033</v>
      </c>
      <c r="B224" t="s">
        <v>1034</v>
      </c>
      <c r="C224" s="187" t="s">
        <v>1016</v>
      </c>
      <c r="D224" s="187" t="s">
        <v>444</v>
      </c>
      <c r="E224" s="272">
        <v>4.2625745950554133E-5</v>
      </c>
      <c r="F224" s="272">
        <v>4.3000000000000002E-5</v>
      </c>
      <c r="G224" s="273" t="s">
        <v>444</v>
      </c>
      <c r="H224" s="274" t="s">
        <v>444</v>
      </c>
      <c r="I224" s="272">
        <v>1.5632515632515633E-3</v>
      </c>
      <c r="J224" s="272">
        <v>1.6000000000000001E-3</v>
      </c>
      <c r="K224" s="273" t="s">
        <v>444</v>
      </c>
      <c r="L224" s="274" t="s">
        <v>444</v>
      </c>
      <c r="M224" s="272">
        <v>3.0303030303030307E-3</v>
      </c>
      <c r="N224" s="272">
        <v>3.0000000000000001E-3</v>
      </c>
      <c r="O224" s="273" t="s">
        <v>444</v>
      </c>
      <c r="P224" s="274" t="s">
        <v>444</v>
      </c>
      <c r="Q224" s="275" t="s">
        <v>444</v>
      </c>
      <c r="R224" s="276" t="s">
        <v>444</v>
      </c>
      <c r="S224" s="187">
        <v>1</v>
      </c>
      <c r="T224" s="187">
        <v>1</v>
      </c>
      <c r="U224" s="187" t="s">
        <v>244</v>
      </c>
      <c r="V224" s="187">
        <v>23</v>
      </c>
      <c r="W224" s="187">
        <v>6.6</v>
      </c>
      <c r="X224" s="187">
        <v>1</v>
      </c>
      <c r="Y224" s="187">
        <v>1</v>
      </c>
    </row>
    <row r="225" spans="1:25" x14ac:dyDescent="0.25">
      <c r="A225" t="s">
        <v>1035</v>
      </c>
      <c r="B225" t="s">
        <v>1036</v>
      </c>
      <c r="C225" s="187" t="s">
        <v>1016</v>
      </c>
      <c r="D225" s="187" t="s">
        <v>444</v>
      </c>
      <c r="E225" s="272">
        <v>4.2625745950554137E-6</v>
      </c>
      <c r="F225" s="272">
        <v>4.3000000000000003E-6</v>
      </c>
      <c r="G225" s="273" t="s">
        <v>444</v>
      </c>
      <c r="H225" s="274" t="s">
        <v>444</v>
      </c>
      <c r="I225" s="272">
        <v>1.5632515632515634E-4</v>
      </c>
      <c r="J225" s="272">
        <v>1.6000000000000001E-4</v>
      </c>
      <c r="K225" s="273" t="s">
        <v>444</v>
      </c>
      <c r="L225" s="274" t="s">
        <v>444</v>
      </c>
      <c r="M225" s="272">
        <v>3.0303030303030303E-4</v>
      </c>
      <c r="N225" s="272">
        <v>2.9999999999999997E-4</v>
      </c>
      <c r="O225" s="273" t="s">
        <v>444</v>
      </c>
      <c r="P225" s="274" t="s">
        <v>444</v>
      </c>
      <c r="Q225" s="275" t="s">
        <v>444</v>
      </c>
      <c r="R225" s="276" t="s">
        <v>444</v>
      </c>
      <c r="S225" s="187">
        <v>1</v>
      </c>
      <c r="T225" s="187">
        <v>1</v>
      </c>
      <c r="U225" s="187" t="s">
        <v>244</v>
      </c>
      <c r="V225" s="187">
        <v>23</v>
      </c>
      <c r="W225" s="187">
        <v>6.6</v>
      </c>
      <c r="X225" s="187">
        <v>1</v>
      </c>
      <c r="Y225" s="187">
        <v>1</v>
      </c>
    </row>
    <row r="226" spans="1:25" x14ac:dyDescent="0.25">
      <c r="A226" t="s">
        <v>1037</v>
      </c>
      <c r="B226" t="s">
        <v>1038</v>
      </c>
      <c r="C226" s="187"/>
      <c r="D226" s="187" t="s">
        <v>444</v>
      </c>
      <c r="E226" s="272">
        <v>7.1428571428571435E-3</v>
      </c>
      <c r="F226" s="272">
        <v>7.1000000000000004E-3</v>
      </c>
      <c r="G226" s="273" t="s">
        <v>444</v>
      </c>
      <c r="H226" s="274" t="s">
        <v>444</v>
      </c>
      <c r="I226" s="272">
        <v>0.18571428571428572</v>
      </c>
      <c r="J226" s="272">
        <v>0.19</v>
      </c>
      <c r="K226" s="273" t="s">
        <v>444</v>
      </c>
      <c r="L226" s="274" t="s">
        <v>444</v>
      </c>
      <c r="M226" s="272">
        <v>8.5714285714285715E-2</v>
      </c>
      <c r="N226" s="272">
        <v>8.5999999999999993E-2</v>
      </c>
      <c r="O226" s="273" t="s">
        <v>444</v>
      </c>
      <c r="P226" s="274" t="s">
        <v>444</v>
      </c>
      <c r="Q226" s="275" t="s">
        <v>444</v>
      </c>
      <c r="R226" s="276" t="s">
        <v>444</v>
      </c>
      <c r="S226" s="187">
        <v>1</v>
      </c>
      <c r="T226" s="187">
        <v>1</v>
      </c>
      <c r="U226" s="187" t="s">
        <v>478</v>
      </c>
      <c r="V226" s="187">
        <v>1</v>
      </c>
      <c r="W226" s="187">
        <v>1</v>
      </c>
      <c r="X226" s="187">
        <v>1</v>
      </c>
      <c r="Y226" s="187">
        <v>1</v>
      </c>
    </row>
    <row r="227" spans="1:25" x14ac:dyDescent="0.25">
      <c r="A227" t="s">
        <v>1039</v>
      </c>
      <c r="B227" t="s">
        <v>1040</v>
      </c>
      <c r="C227" s="187"/>
      <c r="D227" s="187" t="s">
        <v>444</v>
      </c>
      <c r="E227" s="272">
        <v>1.4492753623188406E-3</v>
      </c>
      <c r="F227" s="272">
        <v>1.4E-3</v>
      </c>
      <c r="G227" s="273" t="s">
        <v>444</v>
      </c>
      <c r="H227" s="274" t="s">
        <v>444</v>
      </c>
      <c r="I227" s="272">
        <v>3.7681159420289857E-2</v>
      </c>
      <c r="J227" s="272">
        <v>3.7999999999999999E-2</v>
      </c>
      <c r="K227" s="273" t="s">
        <v>444</v>
      </c>
      <c r="L227" s="274" t="s">
        <v>444</v>
      </c>
      <c r="M227" s="272">
        <v>1.7391304347826087E-2</v>
      </c>
      <c r="N227" s="272">
        <v>1.7000000000000001E-2</v>
      </c>
      <c r="O227" s="273" t="s">
        <v>444</v>
      </c>
      <c r="P227" s="274" t="s">
        <v>444</v>
      </c>
      <c r="Q227" s="275" t="s">
        <v>444</v>
      </c>
      <c r="R227" s="276" t="s">
        <v>444</v>
      </c>
      <c r="S227" s="187">
        <v>1</v>
      </c>
      <c r="T227" s="187">
        <v>1</v>
      </c>
      <c r="U227" s="187" t="s">
        <v>478</v>
      </c>
      <c r="V227" s="187">
        <v>1</v>
      </c>
      <c r="W227" s="187">
        <v>1</v>
      </c>
      <c r="X227" s="187">
        <v>1</v>
      </c>
      <c r="Y227" s="187">
        <v>1</v>
      </c>
    </row>
    <row r="228" spans="1:25" x14ac:dyDescent="0.25">
      <c r="A228" t="s">
        <v>1041</v>
      </c>
      <c r="B228" t="s">
        <v>1042</v>
      </c>
      <c r="C228" s="187"/>
      <c r="D228" s="187" t="s">
        <v>664</v>
      </c>
      <c r="E228" s="272" t="s">
        <v>444</v>
      </c>
      <c r="F228" s="272" t="s">
        <v>444</v>
      </c>
      <c r="G228" s="273">
        <v>8</v>
      </c>
      <c r="H228" s="274">
        <v>8</v>
      </c>
      <c r="I228" s="272" t="s">
        <v>444</v>
      </c>
      <c r="J228" s="272" t="s">
        <v>444</v>
      </c>
      <c r="K228" s="273">
        <v>35.200000000000003</v>
      </c>
      <c r="L228" s="274">
        <v>35</v>
      </c>
      <c r="M228" s="272" t="s">
        <v>444</v>
      </c>
      <c r="N228" s="272" t="s">
        <v>444</v>
      </c>
      <c r="O228" s="273">
        <v>35.200000000000003</v>
      </c>
      <c r="P228" s="274">
        <v>35</v>
      </c>
      <c r="Q228" s="275" t="s">
        <v>444</v>
      </c>
      <c r="R228" s="276" t="s">
        <v>444</v>
      </c>
      <c r="S228" s="187">
        <v>1</v>
      </c>
      <c r="T228" s="187">
        <v>1</v>
      </c>
      <c r="U228" s="187" t="s">
        <v>478</v>
      </c>
      <c r="V228" s="187">
        <v>1</v>
      </c>
      <c r="W228" s="187">
        <v>1</v>
      </c>
      <c r="X228" s="187">
        <v>1</v>
      </c>
      <c r="Y228" s="187">
        <v>1</v>
      </c>
    </row>
    <row r="229" spans="1:25" x14ac:dyDescent="0.25">
      <c r="A229" t="s">
        <v>85</v>
      </c>
      <c r="B229" t="s">
        <v>84</v>
      </c>
      <c r="C229" s="187"/>
      <c r="D229" s="187" t="s">
        <v>664</v>
      </c>
      <c r="E229" s="272" t="s">
        <v>444</v>
      </c>
      <c r="F229" s="272" t="s">
        <v>444</v>
      </c>
      <c r="G229" s="273">
        <v>3000</v>
      </c>
      <c r="H229" s="274">
        <v>3000</v>
      </c>
      <c r="I229" s="272" t="s">
        <v>444</v>
      </c>
      <c r="J229" s="272" t="s">
        <v>444</v>
      </c>
      <c r="K229" s="273">
        <v>13200.000000000002</v>
      </c>
      <c r="L229" s="274">
        <v>13000</v>
      </c>
      <c r="M229" s="272" t="s">
        <v>444</v>
      </c>
      <c r="N229" s="272" t="s">
        <v>444</v>
      </c>
      <c r="O229" s="273">
        <v>13200.000000000002</v>
      </c>
      <c r="P229" s="274">
        <v>13000</v>
      </c>
      <c r="Q229" s="275" t="s">
        <v>444</v>
      </c>
      <c r="R229" s="276" t="s">
        <v>444</v>
      </c>
      <c r="S229" s="187">
        <v>1</v>
      </c>
      <c r="T229" s="187">
        <v>1</v>
      </c>
      <c r="U229" s="187" t="s">
        <v>478</v>
      </c>
      <c r="V229" s="187">
        <v>1</v>
      </c>
      <c r="W229" s="187">
        <v>1</v>
      </c>
      <c r="X229" s="187">
        <v>1</v>
      </c>
      <c r="Y229" s="187">
        <v>1</v>
      </c>
    </row>
    <row r="230" spans="1:25" x14ac:dyDescent="0.25">
      <c r="A230" t="s">
        <v>1043</v>
      </c>
      <c r="B230" t="s">
        <v>1044</v>
      </c>
      <c r="C230" s="187"/>
      <c r="D230" s="187" t="s">
        <v>664</v>
      </c>
      <c r="E230" s="272" t="s">
        <v>444</v>
      </c>
      <c r="F230" s="272" t="s">
        <v>444</v>
      </c>
      <c r="G230" s="273">
        <v>0.27</v>
      </c>
      <c r="H230" s="274">
        <v>0.27</v>
      </c>
      <c r="I230" s="272" t="s">
        <v>444</v>
      </c>
      <c r="J230" s="272" t="s">
        <v>444</v>
      </c>
      <c r="K230" s="273">
        <v>1.1880000000000002</v>
      </c>
      <c r="L230" s="274">
        <v>1.2</v>
      </c>
      <c r="M230" s="272" t="s">
        <v>444</v>
      </c>
      <c r="N230" s="272" t="s">
        <v>444</v>
      </c>
      <c r="O230" s="273">
        <v>1.1880000000000002</v>
      </c>
      <c r="P230" s="274">
        <v>1.2</v>
      </c>
      <c r="Q230" s="275">
        <v>20</v>
      </c>
      <c r="R230" s="276">
        <v>20</v>
      </c>
      <c r="S230" s="187">
        <v>1</v>
      </c>
      <c r="T230" s="187">
        <v>1</v>
      </c>
      <c r="U230" s="187" t="s">
        <v>478</v>
      </c>
      <c r="V230" s="187">
        <v>1</v>
      </c>
      <c r="W230" s="187">
        <v>1</v>
      </c>
      <c r="X230" s="187">
        <v>1</v>
      </c>
      <c r="Y230" s="187">
        <v>1</v>
      </c>
    </row>
    <row r="231" spans="1:25" x14ac:dyDescent="0.25">
      <c r="A231" t="s">
        <v>1045</v>
      </c>
      <c r="B231" t="s">
        <v>1046</v>
      </c>
      <c r="C231" s="187"/>
      <c r="D231" s="187" t="s">
        <v>657</v>
      </c>
      <c r="E231" s="272" t="s">
        <v>444</v>
      </c>
      <c r="F231" s="272" t="s">
        <v>444</v>
      </c>
      <c r="G231" s="273">
        <v>7000</v>
      </c>
      <c r="H231" s="274">
        <v>7000</v>
      </c>
      <c r="I231" s="272" t="s">
        <v>444</v>
      </c>
      <c r="J231" s="272" t="s">
        <v>444</v>
      </c>
      <c r="K231" s="273">
        <v>30800.000000000004</v>
      </c>
      <c r="L231" s="274">
        <v>31000</v>
      </c>
      <c r="M231" s="272" t="s">
        <v>444</v>
      </c>
      <c r="N231" s="272" t="s">
        <v>444</v>
      </c>
      <c r="O231" s="273">
        <v>30800.000000000004</v>
      </c>
      <c r="P231" s="274">
        <v>31000</v>
      </c>
      <c r="Q231" s="275" t="s">
        <v>444</v>
      </c>
      <c r="R231" s="276" t="s">
        <v>444</v>
      </c>
      <c r="S231" s="187">
        <v>1</v>
      </c>
      <c r="T231" s="187">
        <v>1</v>
      </c>
      <c r="U231" s="187" t="s">
        <v>478</v>
      </c>
      <c r="V231" s="187">
        <v>1</v>
      </c>
      <c r="W231" s="187">
        <v>1</v>
      </c>
      <c r="X231" s="187">
        <v>1</v>
      </c>
      <c r="Y231" s="187">
        <v>1</v>
      </c>
    </row>
    <row r="232" spans="1:25" x14ac:dyDescent="0.25">
      <c r="A232" t="s">
        <v>1047</v>
      </c>
      <c r="B232" t="s">
        <v>1048</v>
      </c>
      <c r="C232" s="187"/>
      <c r="D232" s="187" t="s">
        <v>657</v>
      </c>
      <c r="E232" s="272">
        <v>0.27027027027027023</v>
      </c>
      <c r="F232" s="272">
        <v>0.27</v>
      </c>
      <c r="G232" s="273">
        <v>30</v>
      </c>
      <c r="H232" s="274">
        <v>30</v>
      </c>
      <c r="I232" s="272">
        <v>7.0270270270270263</v>
      </c>
      <c r="J232" s="272">
        <v>7</v>
      </c>
      <c r="K232" s="273">
        <v>132</v>
      </c>
      <c r="L232" s="274">
        <v>130</v>
      </c>
      <c r="M232" s="272">
        <v>3.243243243243243</v>
      </c>
      <c r="N232" s="272">
        <v>3.2</v>
      </c>
      <c r="O232" s="273">
        <v>132</v>
      </c>
      <c r="P232" s="274">
        <v>130</v>
      </c>
      <c r="Q232" s="275">
        <v>3100</v>
      </c>
      <c r="R232" s="276">
        <v>3100</v>
      </c>
      <c r="S232" s="187">
        <v>1</v>
      </c>
      <c r="T232" s="187">
        <v>1</v>
      </c>
      <c r="U232" s="187" t="s">
        <v>478</v>
      </c>
      <c r="V232" s="187">
        <v>1</v>
      </c>
      <c r="W232" s="187">
        <v>1</v>
      </c>
      <c r="X232" s="187">
        <v>1</v>
      </c>
      <c r="Y232" s="187">
        <v>1</v>
      </c>
    </row>
    <row r="233" spans="1:25" x14ac:dyDescent="0.25">
      <c r="A233">
        <v>572</v>
      </c>
      <c r="B233" t="s">
        <v>1049</v>
      </c>
      <c r="C233" s="187" t="s">
        <v>687</v>
      </c>
      <c r="D233" s="187" t="s">
        <v>664</v>
      </c>
      <c r="E233" s="272" t="s">
        <v>444</v>
      </c>
      <c r="F233" s="272" t="s">
        <v>444</v>
      </c>
      <c r="G233" s="273">
        <v>0.03</v>
      </c>
      <c r="H233" s="274">
        <v>0.03</v>
      </c>
      <c r="I233" s="272" t="s">
        <v>444</v>
      </c>
      <c r="J233" s="272" t="s">
        <v>444</v>
      </c>
      <c r="K233" s="273">
        <v>0.13200000000000001</v>
      </c>
      <c r="L233" s="274">
        <v>0.13</v>
      </c>
      <c r="M233" s="272" t="s">
        <v>444</v>
      </c>
      <c r="N233" s="272" t="s">
        <v>444</v>
      </c>
      <c r="O233" s="273">
        <v>0.13200000000000001</v>
      </c>
      <c r="P233" s="274">
        <v>0.13</v>
      </c>
      <c r="Q233" s="275" t="s">
        <v>444</v>
      </c>
      <c r="R233" s="276" t="s">
        <v>444</v>
      </c>
      <c r="S233" s="187">
        <v>1</v>
      </c>
      <c r="T233" s="187">
        <v>1</v>
      </c>
      <c r="U233" s="187" t="s">
        <v>478</v>
      </c>
      <c r="V233" s="187">
        <v>1</v>
      </c>
      <c r="W233" s="187">
        <v>1</v>
      </c>
      <c r="X233" s="187">
        <v>1</v>
      </c>
      <c r="Y233" s="187">
        <v>1</v>
      </c>
    </row>
    <row r="234" spans="1:25" x14ac:dyDescent="0.25">
      <c r="A234" t="s">
        <v>1050</v>
      </c>
      <c r="B234" t="s">
        <v>1051</v>
      </c>
      <c r="C234" s="187"/>
      <c r="D234" s="187" t="s">
        <v>657</v>
      </c>
      <c r="E234" s="272" t="s">
        <v>444</v>
      </c>
      <c r="F234" s="272" t="s">
        <v>444</v>
      </c>
      <c r="G234" s="273" t="s">
        <v>444</v>
      </c>
      <c r="H234" s="274" t="s">
        <v>444</v>
      </c>
      <c r="I234" s="272" t="s">
        <v>444</v>
      </c>
      <c r="J234" s="272" t="s">
        <v>444</v>
      </c>
      <c r="K234" s="273" t="s">
        <v>444</v>
      </c>
      <c r="L234" s="274" t="s">
        <v>444</v>
      </c>
      <c r="M234" s="272" t="s">
        <v>444</v>
      </c>
      <c r="N234" s="272" t="s">
        <v>444</v>
      </c>
      <c r="O234" s="273" t="s">
        <v>444</v>
      </c>
      <c r="P234" s="274" t="s">
        <v>444</v>
      </c>
      <c r="Q234" s="275">
        <v>5</v>
      </c>
      <c r="R234" s="276">
        <v>5</v>
      </c>
      <c r="S234" s="187">
        <v>1</v>
      </c>
      <c r="T234" s="187">
        <v>1</v>
      </c>
      <c r="U234" s="187" t="s">
        <v>478</v>
      </c>
      <c r="V234" s="187">
        <v>1</v>
      </c>
      <c r="W234" s="187">
        <v>1</v>
      </c>
      <c r="X234" s="187">
        <v>1</v>
      </c>
      <c r="Y234" s="187">
        <v>1</v>
      </c>
    </row>
    <row r="235" spans="1:25" x14ac:dyDescent="0.25">
      <c r="A235" t="s">
        <v>90</v>
      </c>
      <c r="B235" t="s">
        <v>498</v>
      </c>
      <c r="C235" s="187" t="s">
        <v>678</v>
      </c>
      <c r="D235" s="187" t="s">
        <v>657</v>
      </c>
      <c r="E235" s="272" t="s">
        <v>444</v>
      </c>
      <c r="F235" s="272" t="s">
        <v>444</v>
      </c>
      <c r="G235" s="273" t="s">
        <v>444</v>
      </c>
      <c r="H235" s="274" t="s">
        <v>444</v>
      </c>
      <c r="I235" s="272" t="s">
        <v>444</v>
      </c>
      <c r="J235" s="272" t="s">
        <v>444</v>
      </c>
      <c r="K235" s="273" t="s">
        <v>444</v>
      </c>
      <c r="L235" s="274" t="s">
        <v>444</v>
      </c>
      <c r="M235" s="272" t="s">
        <v>444</v>
      </c>
      <c r="N235" s="272" t="s">
        <v>444</v>
      </c>
      <c r="O235" s="273" t="s">
        <v>444</v>
      </c>
      <c r="P235" s="274" t="s">
        <v>444</v>
      </c>
      <c r="Q235" s="275">
        <v>2</v>
      </c>
      <c r="R235" s="276">
        <v>2</v>
      </c>
      <c r="S235" s="187">
        <v>1</v>
      </c>
      <c r="T235" s="187">
        <v>1</v>
      </c>
      <c r="U235" s="187" t="s">
        <v>478</v>
      </c>
      <c r="V235" s="187">
        <v>1</v>
      </c>
      <c r="W235" s="187">
        <v>1</v>
      </c>
      <c r="X235" s="187">
        <v>200</v>
      </c>
      <c r="Y235" s="187">
        <v>24</v>
      </c>
    </row>
    <row r="236" spans="1:25" x14ac:dyDescent="0.25">
      <c r="A236" t="s">
        <v>1052</v>
      </c>
      <c r="B236" t="s">
        <v>1053</v>
      </c>
      <c r="C236" s="187"/>
      <c r="D236" s="187" t="s">
        <v>664</v>
      </c>
      <c r="E236" s="272" t="s">
        <v>444</v>
      </c>
      <c r="F236" s="272" t="s">
        <v>444</v>
      </c>
      <c r="G236" s="273">
        <v>3</v>
      </c>
      <c r="H236" s="274">
        <v>3</v>
      </c>
      <c r="I236" s="272" t="s">
        <v>444</v>
      </c>
      <c r="J236" s="272" t="s">
        <v>444</v>
      </c>
      <c r="K236" s="273">
        <v>13.200000000000001</v>
      </c>
      <c r="L236" s="274">
        <v>13</v>
      </c>
      <c r="M236" s="272" t="s">
        <v>444</v>
      </c>
      <c r="N236" s="272" t="s">
        <v>444</v>
      </c>
      <c r="O236" s="273">
        <v>13.200000000000001</v>
      </c>
      <c r="P236" s="274">
        <v>13</v>
      </c>
      <c r="Q236" s="275" t="s">
        <v>444</v>
      </c>
      <c r="R236" s="276" t="s">
        <v>444</v>
      </c>
      <c r="S236" s="187">
        <v>1</v>
      </c>
      <c r="T236" s="187">
        <v>1</v>
      </c>
      <c r="U236" s="187" t="s">
        <v>478</v>
      </c>
      <c r="V236" s="187">
        <v>1</v>
      </c>
      <c r="W236" s="187">
        <v>1</v>
      </c>
      <c r="X236" s="187">
        <v>1</v>
      </c>
      <c r="Y236" s="187">
        <v>1</v>
      </c>
    </row>
    <row r="237" spans="1:25" x14ac:dyDescent="0.25">
      <c r="A237" t="s">
        <v>1054</v>
      </c>
      <c r="B237" t="s">
        <v>1055</v>
      </c>
      <c r="C237" s="187"/>
      <c r="D237" s="187" t="s">
        <v>657</v>
      </c>
      <c r="E237" s="272" t="s">
        <v>444</v>
      </c>
      <c r="F237" s="272" t="s">
        <v>444</v>
      </c>
      <c r="G237" s="273" t="s">
        <v>444</v>
      </c>
      <c r="H237" s="274" t="s">
        <v>444</v>
      </c>
      <c r="I237" s="272" t="s">
        <v>444</v>
      </c>
      <c r="J237" s="272" t="s">
        <v>444</v>
      </c>
      <c r="K237" s="273" t="s">
        <v>444</v>
      </c>
      <c r="L237" s="274" t="s">
        <v>444</v>
      </c>
      <c r="M237" s="272" t="s">
        <v>444</v>
      </c>
      <c r="N237" s="272" t="s">
        <v>444</v>
      </c>
      <c r="O237" s="273" t="s">
        <v>444</v>
      </c>
      <c r="P237" s="274" t="s">
        <v>444</v>
      </c>
      <c r="Q237" s="275">
        <v>8</v>
      </c>
      <c r="R237" s="276">
        <v>8</v>
      </c>
      <c r="S237" s="187">
        <v>1</v>
      </c>
      <c r="T237" s="187">
        <v>1</v>
      </c>
      <c r="U237" s="187" t="s">
        <v>478</v>
      </c>
      <c r="V237" s="187">
        <v>1</v>
      </c>
      <c r="W237" s="187">
        <v>1</v>
      </c>
      <c r="X237" s="187">
        <v>1</v>
      </c>
      <c r="Y237" s="187">
        <v>1</v>
      </c>
    </row>
    <row r="238" spans="1:25" x14ac:dyDescent="0.25">
      <c r="A238" t="s">
        <v>1056</v>
      </c>
      <c r="B238" t="s">
        <v>1057</v>
      </c>
      <c r="C238" s="187"/>
      <c r="D238" s="187" t="s">
        <v>657</v>
      </c>
      <c r="E238" s="272" t="s">
        <v>444</v>
      </c>
      <c r="F238" s="272" t="s">
        <v>444</v>
      </c>
      <c r="G238" s="273">
        <v>1000</v>
      </c>
      <c r="H238" s="274">
        <v>1000</v>
      </c>
      <c r="I238" s="272" t="s">
        <v>444</v>
      </c>
      <c r="J238" s="272" t="s">
        <v>444</v>
      </c>
      <c r="K238" s="273">
        <v>4400</v>
      </c>
      <c r="L238" s="274">
        <v>4400</v>
      </c>
      <c r="M238" s="272" t="s">
        <v>444</v>
      </c>
      <c r="N238" s="272" t="s">
        <v>444</v>
      </c>
      <c r="O238" s="273">
        <v>4400</v>
      </c>
      <c r="P238" s="274">
        <v>4400</v>
      </c>
      <c r="Q238" s="275">
        <v>21000</v>
      </c>
      <c r="R238" s="276">
        <v>21000</v>
      </c>
      <c r="S238" s="187">
        <v>1</v>
      </c>
      <c r="T238" s="187">
        <v>1</v>
      </c>
      <c r="U238" s="187" t="s">
        <v>478</v>
      </c>
      <c r="V238" s="187">
        <v>1</v>
      </c>
      <c r="W238" s="187">
        <v>1</v>
      </c>
      <c r="X238" s="187">
        <v>1</v>
      </c>
      <c r="Y238" s="187">
        <v>1</v>
      </c>
    </row>
    <row r="239" spans="1:25" x14ac:dyDescent="0.25">
      <c r="A239" t="s">
        <v>1058</v>
      </c>
      <c r="B239" t="s">
        <v>1059</v>
      </c>
      <c r="C239" s="187"/>
      <c r="D239" s="187" t="s">
        <v>664</v>
      </c>
      <c r="E239" s="272" t="s">
        <v>444</v>
      </c>
      <c r="F239" s="272" t="s">
        <v>444</v>
      </c>
      <c r="G239" s="273">
        <v>1</v>
      </c>
      <c r="H239" s="274">
        <v>1</v>
      </c>
      <c r="I239" s="272" t="s">
        <v>444</v>
      </c>
      <c r="J239" s="272" t="s">
        <v>444</v>
      </c>
      <c r="K239" s="273">
        <v>4.4000000000000004</v>
      </c>
      <c r="L239" s="274">
        <v>4.4000000000000004</v>
      </c>
      <c r="M239" s="272" t="s">
        <v>444</v>
      </c>
      <c r="N239" s="272" t="s">
        <v>444</v>
      </c>
      <c r="O239" s="273">
        <v>4.4000000000000004</v>
      </c>
      <c r="P239" s="274">
        <v>4.4000000000000004</v>
      </c>
      <c r="Q239" s="275">
        <v>120</v>
      </c>
      <c r="R239" s="276">
        <v>120</v>
      </c>
      <c r="S239" s="187">
        <v>1</v>
      </c>
      <c r="T239" s="187">
        <v>1</v>
      </c>
      <c r="U239" s="187" t="s">
        <v>478</v>
      </c>
      <c r="V239" s="187">
        <v>1</v>
      </c>
      <c r="W239" s="187">
        <v>1</v>
      </c>
      <c r="X239" s="187">
        <v>1</v>
      </c>
      <c r="Y239" s="187">
        <v>1</v>
      </c>
    </row>
    <row r="240" spans="1:25" x14ac:dyDescent="0.25">
      <c r="A240" t="s">
        <v>1060</v>
      </c>
      <c r="B240" t="s">
        <v>1061</v>
      </c>
      <c r="C240" s="187"/>
      <c r="D240" s="187" t="s">
        <v>657</v>
      </c>
      <c r="E240" s="272" t="s">
        <v>444</v>
      </c>
      <c r="F240" s="272" t="s">
        <v>444</v>
      </c>
      <c r="G240" s="273" t="s">
        <v>444</v>
      </c>
      <c r="H240" s="274" t="s">
        <v>444</v>
      </c>
      <c r="I240" s="272" t="s">
        <v>444</v>
      </c>
      <c r="J240" s="272" t="s">
        <v>444</v>
      </c>
      <c r="K240" s="273" t="s">
        <v>444</v>
      </c>
      <c r="L240" s="274" t="s">
        <v>444</v>
      </c>
      <c r="M240" s="272" t="s">
        <v>444</v>
      </c>
      <c r="N240" s="272" t="s">
        <v>444</v>
      </c>
      <c r="O240" s="273" t="s">
        <v>444</v>
      </c>
      <c r="P240" s="274" t="s">
        <v>444</v>
      </c>
      <c r="Q240" s="275">
        <v>0.7</v>
      </c>
      <c r="R240" s="276">
        <v>0.7</v>
      </c>
      <c r="S240" s="187">
        <v>1</v>
      </c>
      <c r="T240" s="187">
        <v>1</v>
      </c>
      <c r="U240" s="187" t="s">
        <v>478</v>
      </c>
      <c r="V240" s="187">
        <v>1</v>
      </c>
      <c r="W240" s="187">
        <v>1</v>
      </c>
      <c r="X240" s="187">
        <v>1</v>
      </c>
      <c r="Y240" s="187">
        <v>1</v>
      </c>
    </row>
    <row r="241" spans="1:25" x14ac:dyDescent="0.25">
      <c r="A241" t="s">
        <v>1062</v>
      </c>
      <c r="B241" t="s">
        <v>1063</v>
      </c>
      <c r="C241" s="187"/>
      <c r="D241" s="187" t="s">
        <v>664</v>
      </c>
      <c r="E241" s="272" t="s">
        <v>444</v>
      </c>
      <c r="F241" s="272" t="s">
        <v>444</v>
      </c>
      <c r="G241" s="273">
        <v>1</v>
      </c>
      <c r="H241" s="274">
        <v>1</v>
      </c>
      <c r="I241" s="272" t="s">
        <v>444</v>
      </c>
      <c r="J241" s="272" t="s">
        <v>444</v>
      </c>
      <c r="K241" s="273">
        <v>4.4000000000000004</v>
      </c>
      <c r="L241" s="274">
        <v>4.4000000000000004</v>
      </c>
      <c r="M241" s="272" t="s">
        <v>444</v>
      </c>
      <c r="N241" s="272" t="s">
        <v>444</v>
      </c>
      <c r="O241" s="273">
        <v>4.4000000000000004</v>
      </c>
      <c r="P241" s="274">
        <v>4.4000000000000004</v>
      </c>
      <c r="Q241" s="275">
        <v>120</v>
      </c>
      <c r="R241" s="276">
        <v>120</v>
      </c>
      <c r="S241" s="187">
        <v>1</v>
      </c>
      <c r="T241" s="187">
        <v>1</v>
      </c>
      <c r="U241" s="187" t="s">
        <v>478</v>
      </c>
      <c r="V241" s="187">
        <v>1</v>
      </c>
      <c r="W241" s="187">
        <v>1</v>
      </c>
      <c r="X241" s="187">
        <v>1</v>
      </c>
      <c r="Y241" s="187">
        <v>1</v>
      </c>
    </row>
    <row r="242" spans="1:25" x14ac:dyDescent="0.25">
      <c r="A242" t="s">
        <v>1064</v>
      </c>
      <c r="B242" t="s">
        <v>1065</v>
      </c>
      <c r="C242" s="187"/>
      <c r="D242" s="187" t="s">
        <v>444</v>
      </c>
      <c r="E242" s="272">
        <v>0.13513513513513511</v>
      </c>
      <c r="F242" s="272">
        <v>0.14000000000000001</v>
      </c>
      <c r="G242" s="273" t="s">
        <v>444</v>
      </c>
      <c r="H242" s="274" t="s">
        <v>444</v>
      </c>
      <c r="I242" s="272">
        <v>3.5135135135135132</v>
      </c>
      <c r="J242" s="272">
        <v>3.5</v>
      </c>
      <c r="K242" s="273" t="s">
        <v>444</v>
      </c>
      <c r="L242" s="274" t="s">
        <v>444</v>
      </c>
      <c r="M242" s="272">
        <v>1.6216216216216215</v>
      </c>
      <c r="N242" s="272">
        <v>1.6</v>
      </c>
      <c r="O242" s="273" t="s">
        <v>444</v>
      </c>
      <c r="P242" s="274" t="s">
        <v>444</v>
      </c>
      <c r="Q242" s="275" t="s">
        <v>444</v>
      </c>
      <c r="R242" s="276" t="s">
        <v>444</v>
      </c>
      <c r="S242" s="187">
        <v>1</v>
      </c>
      <c r="T242" s="187">
        <v>1</v>
      </c>
      <c r="U242" s="187" t="s">
        <v>478</v>
      </c>
      <c r="V242" s="187">
        <v>1</v>
      </c>
      <c r="W242" s="187">
        <v>1</v>
      </c>
      <c r="X242" s="187">
        <v>1</v>
      </c>
      <c r="Y242" s="187">
        <v>1</v>
      </c>
    </row>
    <row r="243" spans="1:25" x14ac:dyDescent="0.25">
      <c r="A243" t="s">
        <v>1066</v>
      </c>
      <c r="B243" t="s">
        <v>1067</v>
      </c>
      <c r="C243" s="187"/>
      <c r="D243" s="187" t="s">
        <v>444</v>
      </c>
      <c r="E243" s="272">
        <v>1.7241379310344827E-2</v>
      </c>
      <c r="F243" s="272">
        <v>1.7000000000000001E-2</v>
      </c>
      <c r="G243" s="273" t="s">
        <v>444</v>
      </c>
      <c r="H243" s="274" t="s">
        <v>444</v>
      </c>
      <c r="I243" s="272">
        <v>0.44827586206896552</v>
      </c>
      <c r="J243" s="272">
        <v>0.45</v>
      </c>
      <c r="K243" s="273" t="s">
        <v>444</v>
      </c>
      <c r="L243" s="274" t="s">
        <v>444</v>
      </c>
      <c r="M243" s="272">
        <v>0.20689655172413793</v>
      </c>
      <c r="N243" s="272">
        <v>0.21</v>
      </c>
      <c r="O243" s="273" t="s">
        <v>444</v>
      </c>
      <c r="P243" s="274" t="s">
        <v>444</v>
      </c>
      <c r="Q243" s="275" t="s">
        <v>444</v>
      </c>
      <c r="R243" s="276" t="s">
        <v>444</v>
      </c>
      <c r="S243" s="187">
        <v>1</v>
      </c>
      <c r="T243" s="187">
        <v>1</v>
      </c>
      <c r="U243" s="187" t="s">
        <v>478</v>
      </c>
      <c r="V243" s="187">
        <v>1</v>
      </c>
      <c r="W243" s="187">
        <v>1</v>
      </c>
      <c r="X243" s="187">
        <v>1</v>
      </c>
      <c r="Y243" s="187">
        <v>1</v>
      </c>
    </row>
    <row r="244" spans="1:25" x14ac:dyDescent="0.25">
      <c r="A244" t="s">
        <v>1068</v>
      </c>
      <c r="B244" t="s">
        <v>1069</v>
      </c>
      <c r="C244" s="187"/>
      <c r="D244" s="187" t="s">
        <v>657</v>
      </c>
      <c r="E244" s="272">
        <v>3.8461538461538458</v>
      </c>
      <c r="F244" s="272">
        <v>3.8</v>
      </c>
      <c r="G244" s="273">
        <v>41</v>
      </c>
      <c r="H244" s="274">
        <v>41</v>
      </c>
      <c r="I244" s="272">
        <v>99.999999999999986</v>
      </c>
      <c r="J244" s="272">
        <v>100</v>
      </c>
      <c r="K244" s="273">
        <v>180.4</v>
      </c>
      <c r="L244" s="274">
        <v>180</v>
      </c>
      <c r="M244" s="272">
        <v>46.153846153846146</v>
      </c>
      <c r="N244" s="272">
        <v>46</v>
      </c>
      <c r="O244" s="273">
        <v>180.4</v>
      </c>
      <c r="P244" s="274">
        <v>180</v>
      </c>
      <c r="Q244" s="275">
        <v>41</v>
      </c>
      <c r="R244" s="276">
        <v>41</v>
      </c>
      <c r="S244" s="187">
        <v>1</v>
      </c>
      <c r="T244" s="187">
        <v>1</v>
      </c>
      <c r="U244" s="187" t="s">
        <v>478</v>
      </c>
      <c r="V244" s="187">
        <v>1</v>
      </c>
      <c r="W244" s="187">
        <v>1</v>
      </c>
      <c r="X244" s="187">
        <v>1</v>
      </c>
      <c r="Y244" s="187">
        <v>1</v>
      </c>
    </row>
    <row r="245" spans="1:25" x14ac:dyDescent="0.25">
      <c r="A245" t="s">
        <v>1070</v>
      </c>
      <c r="B245" t="s">
        <v>1071</v>
      </c>
      <c r="C245" s="187"/>
      <c r="D245" s="187" t="s">
        <v>657</v>
      </c>
      <c r="E245" s="272" t="s">
        <v>444</v>
      </c>
      <c r="F245" s="272" t="s">
        <v>444</v>
      </c>
      <c r="G245" s="273">
        <v>80000</v>
      </c>
      <c r="H245" s="274">
        <v>80000</v>
      </c>
      <c r="I245" s="272" t="s">
        <v>444</v>
      </c>
      <c r="J245" s="272" t="s">
        <v>444</v>
      </c>
      <c r="K245" s="273">
        <v>352000</v>
      </c>
      <c r="L245" s="274">
        <v>350000</v>
      </c>
      <c r="M245" s="272" t="s">
        <v>444</v>
      </c>
      <c r="N245" s="272" t="s">
        <v>444</v>
      </c>
      <c r="O245" s="273">
        <v>352000</v>
      </c>
      <c r="P245" s="274">
        <v>350000</v>
      </c>
      <c r="Q245" s="275" t="s">
        <v>444</v>
      </c>
      <c r="R245" s="276" t="s">
        <v>444</v>
      </c>
      <c r="S245" s="187">
        <v>1</v>
      </c>
      <c r="T245" s="187">
        <v>1</v>
      </c>
      <c r="U245" s="187" t="s">
        <v>478</v>
      </c>
      <c r="V245" s="187">
        <v>1</v>
      </c>
      <c r="W245" s="187">
        <v>1</v>
      </c>
      <c r="X245" s="187">
        <v>1</v>
      </c>
      <c r="Y245" s="187">
        <v>1</v>
      </c>
    </row>
    <row r="246" spans="1:25" x14ac:dyDescent="0.25">
      <c r="A246" t="s">
        <v>1072</v>
      </c>
      <c r="B246" t="s">
        <v>1073</v>
      </c>
      <c r="C246" s="187"/>
      <c r="D246" s="187" t="s">
        <v>444</v>
      </c>
      <c r="E246" s="272">
        <v>5.8823529411764712E-4</v>
      </c>
      <c r="F246" s="272">
        <v>5.9000000000000003E-4</v>
      </c>
      <c r="G246" s="273" t="s">
        <v>444</v>
      </c>
      <c r="H246" s="274" t="s">
        <v>444</v>
      </c>
      <c r="I246" s="272">
        <v>1.5294117647058824E-2</v>
      </c>
      <c r="J246" s="272">
        <v>1.4999999999999999E-2</v>
      </c>
      <c r="K246" s="273" t="s">
        <v>444</v>
      </c>
      <c r="L246" s="274" t="s">
        <v>444</v>
      </c>
      <c r="M246" s="272">
        <v>7.058823529411765E-3</v>
      </c>
      <c r="N246" s="272">
        <v>7.1000000000000004E-3</v>
      </c>
      <c r="O246" s="273" t="s">
        <v>444</v>
      </c>
      <c r="P246" s="274" t="s">
        <v>444</v>
      </c>
      <c r="Q246" s="275" t="s">
        <v>444</v>
      </c>
      <c r="R246" s="276" t="s">
        <v>444</v>
      </c>
      <c r="S246" s="187">
        <v>1</v>
      </c>
      <c r="T246" s="187">
        <v>1</v>
      </c>
      <c r="U246" s="187" t="s">
        <v>478</v>
      </c>
      <c r="V246" s="187">
        <v>1</v>
      </c>
      <c r="W246" s="187">
        <v>1</v>
      </c>
      <c r="X246" s="187">
        <v>1</v>
      </c>
      <c r="Y246" s="187">
        <v>1</v>
      </c>
    </row>
    <row r="247" spans="1:25" x14ac:dyDescent="0.25">
      <c r="A247" t="s">
        <v>1074</v>
      </c>
      <c r="B247" t="s">
        <v>1075</v>
      </c>
      <c r="C247" s="187"/>
      <c r="D247" s="187" t="s">
        <v>657</v>
      </c>
      <c r="E247" s="272" t="s">
        <v>444</v>
      </c>
      <c r="F247" s="272" t="s">
        <v>444</v>
      </c>
      <c r="G247" s="273">
        <v>0.1</v>
      </c>
      <c r="H247" s="274">
        <v>0.1</v>
      </c>
      <c r="I247" s="272" t="s">
        <v>444</v>
      </c>
      <c r="J247" s="272" t="s">
        <v>444</v>
      </c>
      <c r="K247" s="273">
        <v>0.44000000000000006</v>
      </c>
      <c r="L247" s="274">
        <v>0.44</v>
      </c>
      <c r="M247" s="272" t="s">
        <v>444</v>
      </c>
      <c r="N247" s="272" t="s">
        <v>444</v>
      </c>
      <c r="O247" s="273">
        <v>0.44000000000000006</v>
      </c>
      <c r="P247" s="274">
        <v>0.44</v>
      </c>
      <c r="Q247" s="275">
        <v>10</v>
      </c>
      <c r="R247" s="276">
        <v>10</v>
      </c>
      <c r="S247" s="187">
        <v>1</v>
      </c>
      <c r="T247" s="187">
        <v>1</v>
      </c>
      <c r="U247" s="187" t="s">
        <v>478</v>
      </c>
      <c r="V247" s="187">
        <v>1</v>
      </c>
      <c r="W247" s="187">
        <v>1</v>
      </c>
      <c r="X247" s="187">
        <v>1</v>
      </c>
      <c r="Y247" s="187">
        <v>1</v>
      </c>
    </row>
    <row r="248" spans="1:25" x14ac:dyDescent="0.25">
      <c r="A248" t="s">
        <v>96</v>
      </c>
      <c r="B248" t="s">
        <v>95</v>
      </c>
      <c r="C248" s="187"/>
      <c r="D248" s="187" t="s">
        <v>657</v>
      </c>
      <c r="E248" s="272" t="s">
        <v>444</v>
      </c>
      <c r="F248" s="272" t="s">
        <v>444</v>
      </c>
      <c r="G248" s="273">
        <v>5000</v>
      </c>
      <c r="H248" s="274">
        <v>5000</v>
      </c>
      <c r="I248" s="272" t="s">
        <v>444</v>
      </c>
      <c r="J248" s="272" t="s">
        <v>444</v>
      </c>
      <c r="K248" s="273">
        <v>22000</v>
      </c>
      <c r="L248" s="274">
        <v>22000</v>
      </c>
      <c r="M248" s="272" t="s">
        <v>444</v>
      </c>
      <c r="N248" s="272" t="s">
        <v>444</v>
      </c>
      <c r="O248" s="273">
        <v>22000</v>
      </c>
      <c r="P248" s="274">
        <v>22000</v>
      </c>
      <c r="Q248" s="275">
        <v>7500</v>
      </c>
      <c r="R248" s="276">
        <v>7500</v>
      </c>
      <c r="S248" s="187">
        <v>1</v>
      </c>
      <c r="T248" s="187">
        <v>1</v>
      </c>
      <c r="U248" s="187" t="s">
        <v>478</v>
      </c>
      <c r="V248" s="187">
        <v>1</v>
      </c>
      <c r="W248" s="187">
        <v>1</v>
      </c>
      <c r="X248" s="187">
        <v>1</v>
      </c>
      <c r="Y248" s="187">
        <v>1</v>
      </c>
    </row>
    <row r="249" spans="1:25" x14ac:dyDescent="0.25">
      <c r="A249" t="s">
        <v>1076</v>
      </c>
      <c r="B249" t="s">
        <v>1077</v>
      </c>
      <c r="C249" s="187"/>
      <c r="D249" s="187" t="s">
        <v>657</v>
      </c>
      <c r="E249" s="272">
        <v>9.0909090909090912E-2</v>
      </c>
      <c r="F249" s="272">
        <v>9.0999999999999998E-2</v>
      </c>
      <c r="G249" s="273">
        <v>2.1000000000000001E-2</v>
      </c>
      <c r="H249" s="274">
        <v>2.1000000000000001E-2</v>
      </c>
      <c r="I249" s="272">
        <v>2.3636363636363638</v>
      </c>
      <c r="J249" s="272">
        <v>2.4</v>
      </c>
      <c r="K249" s="273">
        <v>9.240000000000001E-2</v>
      </c>
      <c r="L249" s="274">
        <v>9.1999999999999998E-2</v>
      </c>
      <c r="M249" s="272">
        <v>1.0909090909090908</v>
      </c>
      <c r="N249" s="272">
        <v>1.1000000000000001</v>
      </c>
      <c r="O249" s="273">
        <v>9.240000000000001E-2</v>
      </c>
      <c r="P249" s="274">
        <v>9.1999999999999998E-2</v>
      </c>
      <c r="Q249" s="275">
        <v>7.0999999999999994E-2</v>
      </c>
      <c r="R249" s="276">
        <v>7.0999999999999994E-2</v>
      </c>
      <c r="S249" s="187">
        <v>1</v>
      </c>
      <c r="T249" s="187">
        <v>1</v>
      </c>
      <c r="U249" s="187" t="s">
        <v>478</v>
      </c>
      <c r="V249" s="187">
        <v>1</v>
      </c>
      <c r="W249" s="187">
        <v>1</v>
      </c>
      <c r="X249" s="187">
        <v>1</v>
      </c>
      <c r="Y249" s="187">
        <v>1</v>
      </c>
    </row>
    <row r="250" spans="1:25" x14ac:dyDescent="0.25">
      <c r="A250" t="s">
        <v>1078</v>
      </c>
      <c r="B250" t="s">
        <v>1079</v>
      </c>
      <c r="C250" s="187"/>
      <c r="D250" s="187" t="s">
        <v>444</v>
      </c>
      <c r="E250" s="272">
        <v>3.1249999999999997E-3</v>
      </c>
      <c r="F250" s="272">
        <v>3.0999999999999999E-3</v>
      </c>
      <c r="G250" s="273" t="s">
        <v>444</v>
      </c>
      <c r="H250" s="274" t="s">
        <v>444</v>
      </c>
      <c r="I250" s="272">
        <v>8.1249999999999989E-2</v>
      </c>
      <c r="J250" s="272">
        <v>8.1000000000000003E-2</v>
      </c>
      <c r="K250" s="273" t="s">
        <v>444</v>
      </c>
      <c r="L250" s="274" t="s">
        <v>444</v>
      </c>
      <c r="M250" s="272">
        <v>3.7499999999999999E-2</v>
      </c>
      <c r="N250" s="272">
        <v>3.7999999999999999E-2</v>
      </c>
      <c r="O250" s="273" t="s">
        <v>444</v>
      </c>
      <c r="P250" s="274" t="s">
        <v>444</v>
      </c>
      <c r="Q250" s="275" t="s">
        <v>444</v>
      </c>
      <c r="R250" s="276" t="s">
        <v>444</v>
      </c>
      <c r="S250" s="187">
        <v>1</v>
      </c>
      <c r="T250" s="187">
        <v>1</v>
      </c>
      <c r="U250" s="187" t="s">
        <v>478</v>
      </c>
      <c r="V250" s="187">
        <v>1</v>
      </c>
      <c r="W250" s="187">
        <v>1</v>
      </c>
      <c r="X250" s="187">
        <v>1</v>
      </c>
      <c r="Y250" s="187">
        <v>1</v>
      </c>
    </row>
    <row r="251" spans="1:25" ht="18" customHeight="1" x14ac:dyDescent="0.25">
      <c r="A251" t="s">
        <v>1080</v>
      </c>
      <c r="B251" t="s">
        <v>1081</v>
      </c>
      <c r="C251" s="187"/>
      <c r="D251" s="187" t="s">
        <v>657</v>
      </c>
      <c r="E251" s="272" t="s">
        <v>444</v>
      </c>
      <c r="F251" s="272" t="s">
        <v>444</v>
      </c>
      <c r="G251" s="273">
        <v>5000</v>
      </c>
      <c r="H251" s="274">
        <v>5000</v>
      </c>
      <c r="I251" s="272" t="s">
        <v>444</v>
      </c>
      <c r="J251" s="272" t="s">
        <v>444</v>
      </c>
      <c r="K251" s="273">
        <v>22000</v>
      </c>
      <c r="L251" s="274">
        <v>22000</v>
      </c>
      <c r="M251" s="272" t="s">
        <v>444</v>
      </c>
      <c r="N251" s="272" t="s">
        <v>444</v>
      </c>
      <c r="O251" s="273">
        <v>22000</v>
      </c>
      <c r="P251" s="274">
        <v>22000</v>
      </c>
      <c r="Q251" s="275">
        <v>11000</v>
      </c>
      <c r="R251" s="276">
        <v>11000</v>
      </c>
      <c r="S251" s="187">
        <v>1</v>
      </c>
      <c r="T251" s="187">
        <v>1</v>
      </c>
      <c r="U251" s="187" t="s">
        <v>478</v>
      </c>
      <c r="V251" s="187">
        <v>1</v>
      </c>
      <c r="W251" s="187">
        <v>1</v>
      </c>
      <c r="X251" s="187">
        <v>1</v>
      </c>
      <c r="Y251" s="187">
        <v>1</v>
      </c>
    </row>
    <row r="252" spans="1:25" x14ac:dyDescent="0.25">
      <c r="A252" t="s">
        <v>1082</v>
      </c>
      <c r="B252" t="s">
        <v>1083</v>
      </c>
      <c r="C252" s="187"/>
      <c r="D252" s="187" t="s">
        <v>444</v>
      </c>
      <c r="E252" s="272">
        <v>6.25E-2</v>
      </c>
      <c r="F252" s="272">
        <v>6.3E-2</v>
      </c>
      <c r="G252" s="273" t="s">
        <v>444</v>
      </c>
      <c r="H252" s="274" t="s">
        <v>444</v>
      </c>
      <c r="I252" s="272">
        <v>1.625</v>
      </c>
      <c r="J252" s="272">
        <v>1.6</v>
      </c>
      <c r="K252" s="273" t="s">
        <v>444</v>
      </c>
      <c r="L252" s="274" t="s">
        <v>444</v>
      </c>
      <c r="M252" s="272">
        <v>0.75</v>
      </c>
      <c r="N252" s="272">
        <v>0.75</v>
      </c>
      <c r="O252" s="273" t="s">
        <v>444</v>
      </c>
      <c r="P252" s="274" t="s">
        <v>444</v>
      </c>
      <c r="Q252" s="275" t="s">
        <v>444</v>
      </c>
      <c r="R252" s="276" t="s">
        <v>444</v>
      </c>
      <c r="S252" s="187">
        <v>1</v>
      </c>
      <c r="T252" s="187">
        <v>1</v>
      </c>
      <c r="U252" s="187" t="s">
        <v>478</v>
      </c>
      <c r="V252" s="187">
        <v>1</v>
      </c>
      <c r="W252" s="187">
        <v>1</v>
      </c>
      <c r="X252" s="187">
        <v>1</v>
      </c>
      <c r="Y252" s="187">
        <v>1</v>
      </c>
    </row>
    <row r="253" spans="1:25" x14ac:dyDescent="0.25">
      <c r="A253" t="s">
        <v>1084</v>
      </c>
      <c r="B253" t="s">
        <v>1085</v>
      </c>
      <c r="C253" s="187" t="s">
        <v>667</v>
      </c>
      <c r="D253" s="187" t="s">
        <v>657</v>
      </c>
      <c r="E253" s="272">
        <v>0.2032520325203252</v>
      </c>
      <c r="F253" s="272">
        <v>0.2</v>
      </c>
      <c r="G253" s="273">
        <v>2.1</v>
      </c>
      <c r="H253" s="274">
        <v>2.1</v>
      </c>
      <c r="I253" s="272">
        <v>3.5230352303523036</v>
      </c>
      <c r="J253" s="272">
        <v>3.5</v>
      </c>
      <c r="K253" s="273">
        <v>9.240000000000002</v>
      </c>
      <c r="L253" s="274">
        <v>9.1999999999999993</v>
      </c>
      <c r="M253" s="272">
        <v>2.9268292682926829</v>
      </c>
      <c r="N253" s="272">
        <v>2.9</v>
      </c>
      <c r="O253" s="273">
        <v>9.240000000000002</v>
      </c>
      <c r="P253" s="274">
        <v>9.1999999999999993</v>
      </c>
      <c r="Q253" s="275">
        <v>2.1</v>
      </c>
      <c r="R253" s="276">
        <v>2.1</v>
      </c>
      <c r="S253" s="187">
        <v>1</v>
      </c>
      <c r="T253" s="187">
        <v>1</v>
      </c>
      <c r="U253" s="187" t="s">
        <v>244</v>
      </c>
      <c r="V253" s="187">
        <v>1</v>
      </c>
      <c r="W253" s="187">
        <v>1</v>
      </c>
      <c r="X253" s="187">
        <v>1</v>
      </c>
      <c r="Y253" s="187">
        <v>1</v>
      </c>
    </row>
    <row r="254" spans="1:25" x14ac:dyDescent="0.25">
      <c r="A254" t="s">
        <v>1086</v>
      </c>
      <c r="B254" t="s">
        <v>1087</v>
      </c>
      <c r="C254" s="187"/>
      <c r="D254" s="187" t="s">
        <v>444</v>
      </c>
      <c r="E254" s="272">
        <v>4.9999999999999996E-2</v>
      </c>
      <c r="F254" s="272">
        <v>0.05</v>
      </c>
      <c r="G254" s="273" t="s">
        <v>444</v>
      </c>
      <c r="H254" s="274" t="s">
        <v>444</v>
      </c>
      <c r="I254" s="272">
        <v>1.2999999999999998</v>
      </c>
      <c r="J254" s="272">
        <v>1.3</v>
      </c>
      <c r="K254" s="273" t="s">
        <v>444</v>
      </c>
      <c r="L254" s="274" t="s">
        <v>444</v>
      </c>
      <c r="M254" s="272">
        <v>0.6</v>
      </c>
      <c r="N254" s="272">
        <v>0.6</v>
      </c>
      <c r="O254" s="273" t="s">
        <v>444</v>
      </c>
      <c r="P254" s="274" t="s">
        <v>444</v>
      </c>
      <c r="Q254" s="275" t="s">
        <v>444</v>
      </c>
      <c r="R254" s="276" t="s">
        <v>444</v>
      </c>
      <c r="S254" s="187">
        <v>1</v>
      </c>
      <c r="T254" s="187">
        <v>1</v>
      </c>
      <c r="U254" s="187" t="s">
        <v>478</v>
      </c>
      <c r="V254" s="187">
        <v>1</v>
      </c>
      <c r="W254" s="187">
        <v>1</v>
      </c>
      <c r="X254" s="187">
        <v>1</v>
      </c>
      <c r="Y254" s="187">
        <v>1</v>
      </c>
    </row>
    <row r="255" spans="1:25" x14ac:dyDescent="0.25">
      <c r="A255" t="s">
        <v>1088</v>
      </c>
      <c r="B255" t="s">
        <v>1089</v>
      </c>
      <c r="C255" s="187"/>
      <c r="D255" s="187" t="s">
        <v>664</v>
      </c>
      <c r="E255" s="272" t="s">
        <v>444</v>
      </c>
      <c r="F255" s="272" t="s">
        <v>444</v>
      </c>
      <c r="G255" s="273">
        <v>0.3</v>
      </c>
      <c r="H255" s="274">
        <v>0.3</v>
      </c>
      <c r="I255" s="272" t="s">
        <v>444</v>
      </c>
      <c r="J255" s="272" t="s">
        <v>444</v>
      </c>
      <c r="K255" s="273">
        <v>1.32</v>
      </c>
      <c r="L255" s="274">
        <v>1.3</v>
      </c>
      <c r="M255" s="272" t="s">
        <v>444</v>
      </c>
      <c r="N255" s="272" t="s">
        <v>444</v>
      </c>
      <c r="O255" s="273">
        <v>1.32</v>
      </c>
      <c r="P255" s="274">
        <v>1.3</v>
      </c>
      <c r="Q255" s="275">
        <v>1.8</v>
      </c>
      <c r="R255" s="276">
        <v>1.8</v>
      </c>
      <c r="S255" s="187">
        <v>1</v>
      </c>
      <c r="T255" s="187">
        <v>1</v>
      </c>
      <c r="U255" s="187" t="s">
        <v>478</v>
      </c>
      <c r="V255" s="187">
        <v>1</v>
      </c>
      <c r="W255" s="187">
        <v>1</v>
      </c>
      <c r="X255" s="187">
        <v>1</v>
      </c>
      <c r="Y255" s="187">
        <v>1</v>
      </c>
    </row>
    <row r="256" spans="1:25" x14ac:dyDescent="0.25">
      <c r="A256" t="s">
        <v>1090</v>
      </c>
      <c r="B256" t="s">
        <v>1091</v>
      </c>
      <c r="C256" s="187"/>
      <c r="D256" s="187" t="s">
        <v>657</v>
      </c>
      <c r="E256" s="272" t="s">
        <v>444</v>
      </c>
      <c r="F256" s="272" t="s">
        <v>444</v>
      </c>
      <c r="G256" s="273">
        <v>200</v>
      </c>
      <c r="H256" s="274">
        <v>200</v>
      </c>
      <c r="I256" s="272" t="s">
        <v>444</v>
      </c>
      <c r="J256" s="272" t="s">
        <v>444</v>
      </c>
      <c r="K256" s="273">
        <v>880.00000000000011</v>
      </c>
      <c r="L256" s="274">
        <v>880</v>
      </c>
      <c r="M256" s="272" t="s">
        <v>444</v>
      </c>
      <c r="N256" s="272" t="s">
        <v>444</v>
      </c>
      <c r="O256" s="273">
        <v>880.00000000000011</v>
      </c>
      <c r="P256" s="274">
        <v>880</v>
      </c>
      <c r="Q256" s="275">
        <v>2800</v>
      </c>
      <c r="R256" s="276">
        <v>2800</v>
      </c>
      <c r="S256" s="187">
        <v>1</v>
      </c>
      <c r="T256" s="187">
        <v>1</v>
      </c>
      <c r="U256" s="187" t="s">
        <v>478</v>
      </c>
      <c r="V256" s="187">
        <v>1</v>
      </c>
      <c r="W256" s="187">
        <v>1</v>
      </c>
      <c r="X256" s="187">
        <v>1</v>
      </c>
      <c r="Y256" s="187">
        <v>1</v>
      </c>
    </row>
    <row r="257" spans="1:25" x14ac:dyDescent="0.25">
      <c r="A257" t="s">
        <v>1092</v>
      </c>
      <c r="B257" t="s">
        <v>1093</v>
      </c>
      <c r="C257" s="187"/>
      <c r="D257" s="187" t="s">
        <v>657</v>
      </c>
      <c r="E257" s="272" t="s">
        <v>444</v>
      </c>
      <c r="F257" s="272" t="s">
        <v>444</v>
      </c>
      <c r="G257" s="273">
        <v>60</v>
      </c>
      <c r="H257" s="274">
        <v>60</v>
      </c>
      <c r="I257" s="272" t="s">
        <v>444</v>
      </c>
      <c r="J257" s="272" t="s">
        <v>444</v>
      </c>
      <c r="K257" s="273">
        <v>264</v>
      </c>
      <c r="L257" s="274">
        <v>260</v>
      </c>
      <c r="M257" s="272" t="s">
        <v>444</v>
      </c>
      <c r="N257" s="272" t="s">
        <v>444</v>
      </c>
      <c r="O257" s="273">
        <v>264</v>
      </c>
      <c r="P257" s="274">
        <v>260</v>
      </c>
      <c r="Q257" s="275" t="s">
        <v>444</v>
      </c>
      <c r="R257" s="276" t="s">
        <v>444</v>
      </c>
      <c r="S257" s="187">
        <v>1</v>
      </c>
      <c r="T257" s="187">
        <v>1</v>
      </c>
      <c r="U257" s="187" t="s">
        <v>478</v>
      </c>
      <c r="V257" s="187">
        <v>1</v>
      </c>
      <c r="W257" s="187">
        <v>1</v>
      </c>
      <c r="X257" s="187">
        <v>1</v>
      </c>
      <c r="Y257" s="187">
        <v>1</v>
      </c>
    </row>
    <row r="258" spans="1:25" x14ac:dyDescent="0.25">
      <c r="A258" t="s">
        <v>1094</v>
      </c>
      <c r="B258" t="s">
        <v>1095</v>
      </c>
      <c r="C258" s="187"/>
      <c r="D258" s="187" t="s">
        <v>657</v>
      </c>
      <c r="E258" s="272" t="s">
        <v>444</v>
      </c>
      <c r="F258" s="272" t="s">
        <v>444</v>
      </c>
      <c r="G258" s="273">
        <v>60</v>
      </c>
      <c r="H258" s="274">
        <v>60</v>
      </c>
      <c r="I258" s="272" t="s">
        <v>444</v>
      </c>
      <c r="J258" s="272" t="s">
        <v>444</v>
      </c>
      <c r="K258" s="273">
        <v>264</v>
      </c>
      <c r="L258" s="274">
        <v>260</v>
      </c>
      <c r="M258" s="272" t="s">
        <v>444</v>
      </c>
      <c r="N258" s="272" t="s">
        <v>444</v>
      </c>
      <c r="O258" s="273">
        <v>264</v>
      </c>
      <c r="P258" s="274">
        <v>260</v>
      </c>
      <c r="Q258" s="275" t="s">
        <v>444</v>
      </c>
      <c r="R258" s="276" t="s">
        <v>444</v>
      </c>
      <c r="S258" s="187">
        <v>1</v>
      </c>
      <c r="T258" s="187">
        <v>1</v>
      </c>
      <c r="U258" s="187" t="s">
        <v>478</v>
      </c>
      <c r="V258" s="187">
        <v>1</v>
      </c>
      <c r="W258" s="187">
        <v>1</v>
      </c>
      <c r="X258" s="187">
        <v>1</v>
      </c>
      <c r="Y258" s="187">
        <v>1</v>
      </c>
    </row>
    <row r="259" spans="1:25" x14ac:dyDescent="0.25">
      <c r="A259" t="s">
        <v>1096</v>
      </c>
      <c r="B259" t="s">
        <v>1097</v>
      </c>
      <c r="C259" s="187"/>
      <c r="D259" s="187" t="s">
        <v>657</v>
      </c>
      <c r="E259" s="272" t="s">
        <v>444</v>
      </c>
      <c r="F259" s="272" t="s">
        <v>444</v>
      </c>
      <c r="G259" s="273">
        <v>60</v>
      </c>
      <c r="H259" s="274">
        <v>60</v>
      </c>
      <c r="I259" s="272" t="s">
        <v>444</v>
      </c>
      <c r="J259" s="272" t="s">
        <v>444</v>
      </c>
      <c r="K259" s="273">
        <v>264</v>
      </c>
      <c r="L259" s="274">
        <v>260</v>
      </c>
      <c r="M259" s="272" t="s">
        <v>444</v>
      </c>
      <c r="N259" s="272" t="s">
        <v>444</v>
      </c>
      <c r="O259" s="273">
        <v>264</v>
      </c>
      <c r="P259" s="274">
        <v>260</v>
      </c>
      <c r="Q259" s="275" t="s">
        <v>444</v>
      </c>
      <c r="R259" s="276" t="s">
        <v>444</v>
      </c>
      <c r="S259" s="187">
        <v>1</v>
      </c>
      <c r="T259" s="187">
        <v>1</v>
      </c>
      <c r="U259" s="187" t="s">
        <v>478</v>
      </c>
      <c r="V259" s="187">
        <v>1</v>
      </c>
      <c r="W259" s="187">
        <v>1</v>
      </c>
      <c r="X259" s="187">
        <v>1</v>
      </c>
      <c r="Y259" s="187">
        <v>1</v>
      </c>
    </row>
    <row r="260" spans="1:25" x14ac:dyDescent="0.25">
      <c r="A260" t="s">
        <v>1098</v>
      </c>
      <c r="B260" t="s">
        <v>1099</v>
      </c>
      <c r="C260" s="187" t="s">
        <v>667</v>
      </c>
      <c r="D260" s="187" t="s">
        <v>444</v>
      </c>
      <c r="E260" s="272">
        <v>2.0283975659229209E-3</v>
      </c>
      <c r="F260" s="272">
        <v>2E-3</v>
      </c>
      <c r="G260" s="273" t="s">
        <v>444</v>
      </c>
      <c r="H260" s="274" t="s">
        <v>444</v>
      </c>
      <c r="I260" s="272">
        <v>2.134646962233169E-2</v>
      </c>
      <c r="J260" s="272">
        <v>2.1000000000000001E-2</v>
      </c>
      <c r="K260" s="273" t="s">
        <v>444</v>
      </c>
      <c r="L260" s="274" t="s">
        <v>444</v>
      </c>
      <c r="M260" s="272">
        <v>4.1379310344827586E-2</v>
      </c>
      <c r="N260" s="272">
        <v>4.1000000000000002E-2</v>
      </c>
      <c r="O260" s="273" t="s">
        <v>444</v>
      </c>
      <c r="P260" s="274" t="s">
        <v>444</v>
      </c>
      <c r="Q260" s="275" t="s">
        <v>444</v>
      </c>
      <c r="R260" s="276" t="s">
        <v>444</v>
      </c>
      <c r="S260" s="187">
        <v>1</v>
      </c>
      <c r="T260" s="187">
        <v>1</v>
      </c>
      <c r="U260" s="187" t="s">
        <v>244</v>
      </c>
      <c r="V260" s="187">
        <v>1</v>
      </c>
      <c r="W260" s="187">
        <v>1</v>
      </c>
      <c r="X260" s="187">
        <v>1</v>
      </c>
      <c r="Y260" s="187">
        <v>1</v>
      </c>
    </row>
    <row r="261" spans="1:25" x14ac:dyDescent="0.25">
      <c r="A261" t="s">
        <v>1100</v>
      </c>
      <c r="B261" t="s">
        <v>1101</v>
      </c>
      <c r="C261" s="187"/>
      <c r="D261" s="187" t="s">
        <v>657</v>
      </c>
      <c r="E261" s="272" t="s">
        <v>444</v>
      </c>
      <c r="F261" s="272" t="s">
        <v>444</v>
      </c>
      <c r="G261" s="273">
        <v>0.1</v>
      </c>
      <c r="H261" s="274">
        <v>0.1</v>
      </c>
      <c r="I261" s="272" t="s">
        <v>444</v>
      </c>
      <c r="J261" s="272" t="s">
        <v>444</v>
      </c>
      <c r="K261" s="273">
        <v>0.44000000000000006</v>
      </c>
      <c r="L261" s="274">
        <v>0.44</v>
      </c>
      <c r="M261" s="272" t="s">
        <v>444</v>
      </c>
      <c r="N261" s="272" t="s">
        <v>444</v>
      </c>
      <c r="O261" s="273">
        <v>0.44000000000000006</v>
      </c>
      <c r="P261" s="274">
        <v>0.44</v>
      </c>
      <c r="Q261" s="275">
        <v>0.8</v>
      </c>
      <c r="R261" s="276">
        <v>0.8</v>
      </c>
      <c r="S261" s="187">
        <v>1</v>
      </c>
      <c r="T261" s="187">
        <v>1</v>
      </c>
      <c r="U261" s="187" t="s">
        <v>478</v>
      </c>
      <c r="V261" s="187">
        <v>1</v>
      </c>
      <c r="W261" s="187">
        <v>1</v>
      </c>
      <c r="X261" s="187">
        <v>1</v>
      </c>
      <c r="Y261" s="187">
        <v>1</v>
      </c>
    </row>
    <row r="262" spans="1:25" x14ac:dyDescent="0.25">
      <c r="A262" t="s">
        <v>1102</v>
      </c>
      <c r="B262" t="s">
        <v>1103</v>
      </c>
      <c r="C262" s="187"/>
      <c r="D262" s="187" t="s">
        <v>657</v>
      </c>
      <c r="E262" s="272">
        <v>1.2048192771084337E-4</v>
      </c>
      <c r="F262" s="272">
        <v>1.2E-4</v>
      </c>
      <c r="G262" s="273">
        <v>7.0000000000000001E-3</v>
      </c>
      <c r="H262" s="274">
        <v>7.0000000000000001E-3</v>
      </c>
      <c r="I262" s="272">
        <v>3.1325301204819275E-3</v>
      </c>
      <c r="J262" s="272">
        <v>3.0999999999999999E-3</v>
      </c>
      <c r="K262" s="273">
        <v>3.0800000000000004E-2</v>
      </c>
      <c r="L262" s="274">
        <v>3.1E-2</v>
      </c>
      <c r="M262" s="272">
        <v>1.4457831325301205E-3</v>
      </c>
      <c r="N262" s="272">
        <v>1.4E-3</v>
      </c>
      <c r="O262" s="273">
        <v>3.0800000000000004E-2</v>
      </c>
      <c r="P262" s="274">
        <v>3.1E-2</v>
      </c>
      <c r="Q262" s="275">
        <v>30</v>
      </c>
      <c r="R262" s="276">
        <v>30</v>
      </c>
      <c r="S262" s="187">
        <v>1</v>
      </c>
      <c r="T262" s="187">
        <v>1</v>
      </c>
      <c r="U262" s="187" t="s">
        <v>478</v>
      </c>
      <c r="V262" s="187">
        <v>1</v>
      </c>
      <c r="W262" s="187">
        <v>1</v>
      </c>
      <c r="X262" s="187">
        <v>1</v>
      </c>
      <c r="Y262" s="187">
        <v>1</v>
      </c>
    </row>
    <row r="263" spans="1:25" x14ac:dyDescent="0.25">
      <c r="A263" t="s">
        <v>1104</v>
      </c>
      <c r="B263" t="s">
        <v>1105</v>
      </c>
      <c r="C263" s="187"/>
      <c r="D263" s="187" t="s">
        <v>657</v>
      </c>
      <c r="E263" s="272" t="s">
        <v>444</v>
      </c>
      <c r="F263" s="272" t="s">
        <v>444</v>
      </c>
      <c r="G263" s="273">
        <v>200</v>
      </c>
      <c r="H263" s="274">
        <v>200</v>
      </c>
      <c r="I263" s="272" t="s">
        <v>444</v>
      </c>
      <c r="J263" s="272" t="s">
        <v>444</v>
      </c>
      <c r="K263" s="273">
        <v>880.00000000000011</v>
      </c>
      <c r="L263" s="274">
        <v>880</v>
      </c>
      <c r="M263" s="272" t="s">
        <v>444</v>
      </c>
      <c r="N263" s="272" t="s">
        <v>444</v>
      </c>
      <c r="O263" s="273">
        <v>880.00000000000011</v>
      </c>
      <c r="P263" s="274">
        <v>880</v>
      </c>
      <c r="Q263" s="275">
        <v>200</v>
      </c>
      <c r="R263" s="276">
        <v>200</v>
      </c>
      <c r="S263" s="187">
        <v>1</v>
      </c>
      <c r="T263" s="187">
        <v>1</v>
      </c>
      <c r="U263" s="187" t="s">
        <v>478</v>
      </c>
      <c r="V263" s="187">
        <v>1</v>
      </c>
      <c r="W263" s="187">
        <v>1</v>
      </c>
      <c r="X263" s="187">
        <v>1</v>
      </c>
      <c r="Y263" s="187">
        <v>1</v>
      </c>
    </row>
    <row r="264" spans="1:25" x14ac:dyDescent="0.25">
      <c r="A264" t="s">
        <v>1106</v>
      </c>
      <c r="B264" t="s">
        <v>1107</v>
      </c>
      <c r="C264" s="187"/>
      <c r="D264" s="187" t="s">
        <v>664</v>
      </c>
      <c r="E264" s="272" t="s">
        <v>444</v>
      </c>
      <c r="F264" s="272" t="s">
        <v>444</v>
      </c>
      <c r="G264" s="273">
        <v>3</v>
      </c>
      <c r="H264" s="274">
        <v>3</v>
      </c>
      <c r="I264" s="272" t="s">
        <v>444</v>
      </c>
      <c r="J264" s="272" t="s">
        <v>444</v>
      </c>
      <c r="K264" s="273">
        <v>13.200000000000001</v>
      </c>
      <c r="L264" s="274">
        <v>13</v>
      </c>
      <c r="M264" s="272" t="s">
        <v>444</v>
      </c>
      <c r="N264" s="272" t="s">
        <v>444</v>
      </c>
      <c r="O264" s="273">
        <v>13.200000000000001</v>
      </c>
      <c r="P264" s="274">
        <v>13</v>
      </c>
      <c r="Q264" s="275" t="s">
        <v>444</v>
      </c>
      <c r="R264" s="276" t="s">
        <v>444</v>
      </c>
      <c r="S264" s="187">
        <v>1</v>
      </c>
      <c r="T264" s="187">
        <v>1</v>
      </c>
      <c r="U264" s="187" t="s">
        <v>478</v>
      </c>
      <c r="V264" s="187">
        <v>1</v>
      </c>
      <c r="W264" s="187">
        <v>1</v>
      </c>
      <c r="X264" s="187">
        <v>1</v>
      </c>
      <c r="Y264" s="187">
        <v>1</v>
      </c>
    </row>
    <row r="265" spans="1:25" x14ac:dyDescent="0.25">
      <c r="A265" t="s">
        <v>1108</v>
      </c>
      <c r="B265" t="s">
        <v>1109</v>
      </c>
      <c r="C265" s="187" t="s">
        <v>1110</v>
      </c>
      <c r="D265" s="187" t="s">
        <v>657</v>
      </c>
      <c r="E265" s="272">
        <v>0.11363636363636362</v>
      </c>
      <c r="F265" s="272">
        <v>0.11</v>
      </c>
      <c r="G265" s="273">
        <v>100</v>
      </c>
      <c r="H265" s="274">
        <v>100</v>
      </c>
      <c r="I265" s="272">
        <v>0.21885521885521883</v>
      </c>
      <c r="J265" s="272">
        <v>0.22</v>
      </c>
      <c r="K265" s="273">
        <v>440.00000000000006</v>
      </c>
      <c r="L265" s="274">
        <v>440</v>
      </c>
      <c r="M265" s="272">
        <v>2.7272727272727266</v>
      </c>
      <c r="N265" s="272">
        <v>2.7</v>
      </c>
      <c r="O265" s="273">
        <v>440.00000000000006</v>
      </c>
      <c r="P265" s="274">
        <v>440</v>
      </c>
      <c r="Q265" s="275">
        <v>1300</v>
      </c>
      <c r="R265" s="276">
        <v>1300</v>
      </c>
      <c r="S265" s="187">
        <v>1</v>
      </c>
      <c r="T265" s="187">
        <v>1</v>
      </c>
      <c r="U265" s="187" t="s">
        <v>244</v>
      </c>
      <c r="V265" s="187">
        <v>1</v>
      </c>
      <c r="W265" s="187">
        <v>1</v>
      </c>
      <c r="X265" s="187">
        <v>1</v>
      </c>
      <c r="Y265" s="187">
        <v>1</v>
      </c>
    </row>
    <row r="266" spans="1:25" x14ac:dyDescent="0.25">
      <c r="A266" t="s">
        <v>1111</v>
      </c>
      <c r="B266" t="s">
        <v>1112</v>
      </c>
      <c r="C266" s="187"/>
      <c r="D266" s="187" t="s">
        <v>657</v>
      </c>
      <c r="E266" s="272" t="s">
        <v>444</v>
      </c>
      <c r="F266" s="272" t="s">
        <v>444</v>
      </c>
      <c r="G266" s="273">
        <v>200</v>
      </c>
      <c r="H266" s="274">
        <v>200</v>
      </c>
      <c r="I266" s="272" t="s">
        <v>444</v>
      </c>
      <c r="J266" s="272" t="s">
        <v>444</v>
      </c>
      <c r="K266" s="273">
        <v>880.00000000000011</v>
      </c>
      <c r="L266" s="274">
        <v>880</v>
      </c>
      <c r="M266" s="272" t="s">
        <v>444</v>
      </c>
      <c r="N266" s="272" t="s">
        <v>444</v>
      </c>
      <c r="O266" s="273">
        <v>880.00000000000011</v>
      </c>
      <c r="P266" s="274">
        <v>880</v>
      </c>
      <c r="Q266" s="275">
        <v>200</v>
      </c>
      <c r="R266" s="276">
        <v>200</v>
      </c>
      <c r="S266" s="187">
        <v>1</v>
      </c>
      <c r="T266" s="187">
        <v>1</v>
      </c>
      <c r="U266" s="187" t="s">
        <v>478</v>
      </c>
      <c r="V266" s="187">
        <v>1</v>
      </c>
      <c r="W266" s="187">
        <v>1</v>
      </c>
      <c r="X266" s="187">
        <v>1</v>
      </c>
      <c r="Y266" s="187">
        <v>1</v>
      </c>
    </row>
    <row r="267" spans="1:25" x14ac:dyDescent="0.25">
      <c r="A267" t="s">
        <v>98</v>
      </c>
      <c r="B267" t="s">
        <v>501</v>
      </c>
      <c r="C267" s="187"/>
      <c r="D267" s="187" t="s">
        <v>657</v>
      </c>
      <c r="E267" s="272" t="s">
        <v>444</v>
      </c>
      <c r="F267" s="272" t="s">
        <v>444</v>
      </c>
      <c r="G267" s="273">
        <v>220</v>
      </c>
      <c r="H267" s="274">
        <v>220</v>
      </c>
      <c r="I267" s="272" t="s">
        <v>444</v>
      </c>
      <c r="J267" s="272" t="s">
        <v>444</v>
      </c>
      <c r="K267" s="273">
        <v>968.00000000000011</v>
      </c>
      <c r="L267" s="274">
        <v>970</v>
      </c>
      <c r="M267" s="272" t="s">
        <v>444</v>
      </c>
      <c r="N267" s="272" t="s">
        <v>444</v>
      </c>
      <c r="O267" s="273">
        <v>968.00000000000011</v>
      </c>
      <c r="P267" s="274">
        <v>970</v>
      </c>
      <c r="Q267" s="275">
        <v>8700</v>
      </c>
      <c r="R267" s="276">
        <v>8700</v>
      </c>
      <c r="S267" s="187">
        <v>1</v>
      </c>
      <c r="T267" s="187">
        <v>1</v>
      </c>
      <c r="U267" s="187" t="s">
        <v>478</v>
      </c>
      <c r="V267" s="187">
        <v>1</v>
      </c>
      <c r="W267" s="187">
        <v>1</v>
      </c>
      <c r="X267" s="187">
        <v>1</v>
      </c>
      <c r="Y267" s="187">
        <v>1</v>
      </c>
    </row>
    <row r="268" spans="1:25" x14ac:dyDescent="0.25">
      <c r="C268" s="187"/>
      <c r="D268" s="187"/>
      <c r="E268" s="187"/>
      <c r="F268" s="187"/>
      <c r="G268" s="187"/>
      <c r="H268" s="187"/>
      <c r="I268" s="187"/>
      <c r="J268" s="187"/>
      <c r="K268" s="187"/>
      <c r="L268" s="187"/>
      <c r="M268" s="187"/>
      <c r="N268" s="187"/>
      <c r="O268" s="187"/>
      <c r="P268" s="187"/>
      <c r="Q268" s="187"/>
      <c r="R268" s="187"/>
      <c r="S268" s="187"/>
      <c r="T268" s="187"/>
      <c r="U268" s="187"/>
      <c r="V268" s="187"/>
      <c r="W268" s="187"/>
      <c r="X268" s="187"/>
      <c r="Y268" s="187"/>
    </row>
    <row r="269" spans="1:25" x14ac:dyDescent="0.25">
      <c r="A269" s="310" t="s">
        <v>1113</v>
      </c>
      <c r="C269" s="187"/>
      <c r="D269" s="187"/>
      <c r="E269" s="187"/>
      <c r="F269" s="187"/>
      <c r="G269" s="187"/>
      <c r="H269" s="187"/>
      <c r="I269" s="187"/>
      <c r="J269" s="187"/>
      <c r="K269" s="187"/>
      <c r="L269" s="187"/>
      <c r="M269" s="187"/>
      <c r="N269" s="187"/>
      <c r="O269" s="187"/>
      <c r="P269" s="187"/>
      <c r="Q269" s="187"/>
      <c r="R269" s="187"/>
      <c r="S269" s="187"/>
      <c r="T269" s="187"/>
      <c r="U269" s="187"/>
      <c r="V269" s="187"/>
      <c r="W269" s="187"/>
      <c r="X269" s="187"/>
      <c r="Y269" s="187"/>
    </row>
    <row r="270" spans="1:25" x14ac:dyDescent="0.25">
      <c r="A270" s="311" t="s">
        <v>1114</v>
      </c>
      <c r="C270" s="187"/>
      <c r="D270" s="187"/>
      <c r="E270" s="187"/>
      <c r="F270" s="187"/>
      <c r="G270" s="187"/>
      <c r="H270" s="187"/>
      <c r="I270" s="187"/>
      <c r="J270" s="187"/>
      <c r="K270" s="187"/>
      <c r="L270" s="187"/>
      <c r="M270" s="187"/>
      <c r="N270" s="187"/>
      <c r="O270" s="187"/>
      <c r="P270" s="187"/>
      <c r="Q270" s="187"/>
      <c r="R270" s="187"/>
      <c r="S270" s="187"/>
      <c r="T270" s="187">
        <v>261</v>
      </c>
      <c r="U270" s="187"/>
      <c r="V270" s="187"/>
      <c r="W270" s="187"/>
      <c r="X270" s="187"/>
      <c r="Y270" s="187"/>
    </row>
    <row r="271" spans="1:25" x14ac:dyDescent="0.25">
      <c r="A271" s="310"/>
      <c r="B271" s="312" t="s">
        <v>1115</v>
      </c>
      <c r="C271" s="313"/>
      <c r="D271" s="313"/>
      <c r="K271" s="187"/>
      <c r="L271" s="187"/>
      <c r="M271" s="187"/>
      <c r="N271" s="187"/>
      <c r="O271" s="187"/>
      <c r="P271" s="187"/>
      <c r="Q271" s="187"/>
      <c r="R271" s="187"/>
      <c r="S271" s="187"/>
      <c r="T271" s="187"/>
      <c r="U271" s="277"/>
      <c r="V271" s="277"/>
      <c r="W271" s="277"/>
      <c r="X271" s="277"/>
      <c r="Y271" s="277"/>
    </row>
    <row r="272" spans="1:25" x14ac:dyDescent="0.25">
      <c r="A272" s="310"/>
      <c r="B272" s="312" t="s">
        <v>1116</v>
      </c>
      <c r="C272" s="313"/>
      <c r="D272" s="313"/>
      <c r="K272" s="187"/>
      <c r="L272" s="187"/>
      <c r="M272" s="187"/>
      <c r="N272" s="187"/>
      <c r="O272" s="187"/>
      <c r="P272" s="187"/>
      <c r="Q272" s="187"/>
      <c r="R272" s="187"/>
      <c r="S272" s="187"/>
      <c r="T272" s="187"/>
      <c r="U272" s="277"/>
      <c r="V272" s="277"/>
      <c r="W272" s="277"/>
      <c r="X272" s="277"/>
      <c r="Y272" s="277"/>
    </row>
    <row r="273" spans="1:8" x14ac:dyDescent="0.25">
      <c r="A273" s="310"/>
      <c r="B273" s="312" t="s">
        <v>1117</v>
      </c>
    </row>
    <row r="274" spans="1:8" x14ac:dyDescent="0.25">
      <c r="A274" s="310"/>
      <c r="B274" s="312" t="s">
        <v>1118</v>
      </c>
    </row>
    <row r="275" spans="1:8" x14ac:dyDescent="0.25">
      <c r="A275" s="310"/>
      <c r="B275" s="278" t="s">
        <v>1119</v>
      </c>
      <c r="C275" s="313"/>
      <c r="D275" s="313"/>
    </row>
    <row r="276" spans="1:8" x14ac:dyDescent="0.25">
      <c r="A276" s="310"/>
      <c r="B276" s="312" t="s">
        <v>1120</v>
      </c>
    </row>
    <row r="277" spans="1:8" x14ac:dyDescent="0.25">
      <c r="A277" s="310"/>
      <c r="B277" s="312" t="s">
        <v>1121</v>
      </c>
    </row>
    <row r="278" spans="1:8" x14ac:dyDescent="0.25">
      <c r="A278" s="310"/>
      <c r="B278" s="278" t="s">
        <v>1122</v>
      </c>
      <c r="C278" s="187"/>
      <c r="D278" s="187"/>
      <c r="E278" s="187"/>
      <c r="F278" s="187"/>
      <c r="G278" s="187"/>
      <c r="H278" s="187"/>
    </row>
    <row r="279" spans="1:8" x14ac:dyDescent="0.25">
      <c r="A279" s="310"/>
      <c r="B279" s="278" t="s">
        <v>1123</v>
      </c>
      <c r="C279" s="187"/>
      <c r="D279" s="187"/>
      <c r="E279" s="187"/>
      <c r="F279" s="187"/>
      <c r="G279" s="187"/>
      <c r="H279" s="187"/>
    </row>
    <row r="280" spans="1:8" x14ac:dyDescent="0.25">
      <c r="A280" s="310"/>
      <c r="B280" s="312" t="s">
        <v>1124</v>
      </c>
      <c r="C280" s="187"/>
      <c r="D280" s="187"/>
      <c r="E280" s="187"/>
      <c r="F280" s="187"/>
      <c r="G280" s="187"/>
      <c r="H280" s="187"/>
    </row>
    <row r="281" spans="1:8" x14ac:dyDescent="0.25">
      <c r="A281" s="310"/>
      <c r="B281" s="312" t="s">
        <v>1125</v>
      </c>
      <c r="C281" s="187"/>
      <c r="D281" s="187"/>
      <c r="E281" s="187"/>
      <c r="F281" s="187"/>
      <c r="G281" s="187"/>
      <c r="H281" s="187"/>
    </row>
    <row r="282" spans="1:8" x14ac:dyDescent="0.25">
      <c r="A282" s="310"/>
      <c r="B282" s="312" t="s">
        <v>1126</v>
      </c>
      <c r="C282" s="187"/>
      <c r="D282" s="187"/>
      <c r="E282" s="187"/>
      <c r="F282" s="187"/>
      <c r="G282" s="187"/>
      <c r="H282" s="187"/>
    </row>
    <row r="283" spans="1:8" x14ac:dyDescent="0.25">
      <c r="A283" s="310"/>
      <c r="B283" s="312" t="s">
        <v>1127</v>
      </c>
      <c r="C283" s="187"/>
      <c r="D283" s="187"/>
      <c r="E283" s="187"/>
      <c r="F283" s="187"/>
      <c r="G283" s="187"/>
      <c r="H283" s="187"/>
    </row>
    <row r="284" spans="1:8" x14ac:dyDescent="0.25">
      <c r="A284" s="310"/>
      <c r="B284" s="312" t="s">
        <v>1128</v>
      </c>
      <c r="C284" s="187"/>
      <c r="D284" s="187"/>
      <c r="E284" s="187"/>
      <c r="F284" s="187"/>
      <c r="G284" s="187"/>
      <c r="H284" s="187"/>
    </row>
    <row r="285" spans="1:8" x14ac:dyDescent="0.25">
      <c r="A285" s="310"/>
      <c r="B285" s="312" t="s">
        <v>1129</v>
      </c>
      <c r="C285" s="187"/>
      <c r="D285" s="187"/>
      <c r="E285" s="187"/>
      <c r="F285" s="187"/>
      <c r="G285" s="187"/>
      <c r="H285" s="187"/>
    </row>
    <row r="286" spans="1:8" x14ac:dyDescent="0.25">
      <c r="A286" s="310"/>
      <c r="B286" s="312" t="s">
        <v>1130</v>
      </c>
      <c r="C286" s="187"/>
      <c r="D286" s="187"/>
      <c r="E286" s="187"/>
      <c r="F286" s="187"/>
      <c r="G286" s="187"/>
      <c r="H286" s="187"/>
    </row>
    <row r="287" spans="1:8" x14ac:dyDescent="0.25">
      <c r="A287" s="310"/>
      <c r="B287" s="312" t="s">
        <v>1131</v>
      </c>
      <c r="C287" s="187"/>
      <c r="D287" s="187"/>
      <c r="E287" s="187"/>
      <c r="F287" s="187"/>
      <c r="G287" s="187"/>
      <c r="H287" s="187"/>
    </row>
    <row r="288" spans="1:8" x14ac:dyDescent="0.25">
      <c r="A288" s="310"/>
      <c r="B288" s="312" t="s">
        <v>1132</v>
      </c>
      <c r="C288" s="187"/>
      <c r="D288" s="187"/>
      <c r="E288" s="187"/>
      <c r="F288" s="187"/>
      <c r="G288" s="187"/>
      <c r="H288" s="187"/>
    </row>
    <row r="289" spans="1:8" x14ac:dyDescent="0.25">
      <c r="A289" s="310"/>
      <c r="B289" s="312" t="s">
        <v>1133</v>
      </c>
      <c r="C289" s="187"/>
      <c r="D289" s="187"/>
      <c r="E289" s="187"/>
      <c r="F289" s="187"/>
      <c r="G289" s="187"/>
      <c r="H289" s="187"/>
    </row>
    <row r="290" spans="1:8" x14ac:dyDescent="0.25">
      <c r="A290" s="310"/>
      <c r="B290" s="312" t="s">
        <v>1134</v>
      </c>
      <c r="C290" s="187"/>
      <c r="D290" s="187"/>
      <c r="E290" s="187"/>
      <c r="F290" s="187"/>
      <c r="G290" s="187"/>
      <c r="H290" s="187"/>
    </row>
    <row r="291" spans="1:8" x14ac:dyDescent="0.25">
      <c r="A291" s="314" t="s">
        <v>1135</v>
      </c>
      <c r="C291" s="187"/>
      <c r="D291" s="187"/>
      <c r="E291" s="187"/>
      <c r="F291" s="187"/>
      <c r="G291" s="187"/>
      <c r="H291" s="187"/>
    </row>
    <row r="292" spans="1:8" x14ac:dyDescent="0.25">
      <c r="A292" s="314" t="s">
        <v>1136</v>
      </c>
      <c r="C292" s="187"/>
      <c r="D292" s="187"/>
      <c r="E292" s="187"/>
      <c r="F292" s="187"/>
      <c r="G292" s="187"/>
      <c r="H292" s="187"/>
    </row>
    <row r="293" spans="1:8" x14ac:dyDescent="0.25">
      <c r="A293" s="314" t="s">
        <v>1137</v>
      </c>
      <c r="C293" s="187"/>
      <c r="D293" s="187"/>
      <c r="E293" s="187"/>
      <c r="F293" s="187"/>
      <c r="G293" s="187"/>
      <c r="H293" s="187"/>
    </row>
    <row r="294" spans="1:8" x14ac:dyDescent="0.25">
      <c r="A294" s="314" t="s">
        <v>1138</v>
      </c>
      <c r="C294" s="187"/>
      <c r="D294" s="187"/>
      <c r="E294" s="187"/>
      <c r="F294" s="187"/>
      <c r="G294" s="187"/>
      <c r="H294" s="187"/>
    </row>
    <row r="295" spans="1:8" s="187" customFormat="1" x14ac:dyDescent="0.25">
      <c r="A295" s="314" t="s">
        <v>1139</v>
      </c>
      <c r="B295"/>
    </row>
    <row r="296" spans="1:8" s="187" customFormat="1" x14ac:dyDescent="0.25">
      <c r="A296" s="314" t="s">
        <v>1140</v>
      </c>
      <c r="B296"/>
    </row>
    <row r="297" spans="1:8" s="187" customFormat="1" x14ac:dyDescent="0.25">
      <c r="A297" s="314" t="s">
        <v>1141</v>
      </c>
      <c r="B297"/>
    </row>
    <row r="298" spans="1:8" s="187" customFormat="1" ht="38.25" customHeight="1" x14ac:dyDescent="0.25">
      <c r="A298" s="772" t="s">
        <v>1142</v>
      </c>
      <c r="B298" s="772"/>
      <c r="C298" s="772"/>
      <c r="D298" s="772"/>
      <c r="E298" s="772"/>
      <c r="F298" s="772"/>
      <c r="G298" s="772"/>
      <c r="H298" s="772"/>
    </row>
    <row r="299" spans="1:8" s="187" customFormat="1" ht="25.5" customHeight="1" x14ac:dyDescent="0.25">
      <c r="A299" s="772" t="s">
        <v>1143</v>
      </c>
      <c r="B299" s="772"/>
      <c r="C299" s="772"/>
      <c r="D299" s="772"/>
      <c r="E299" s="772"/>
      <c r="F299" s="772"/>
      <c r="G299" s="772"/>
      <c r="H299" s="772"/>
    </row>
    <row r="300" spans="1:8" s="187" customFormat="1" x14ac:dyDescent="0.25">
      <c r="A300" s="314" t="s">
        <v>1144</v>
      </c>
      <c r="B300"/>
    </row>
    <row r="301" spans="1:8" s="187" customFormat="1" x14ac:dyDescent="0.25">
      <c r="A301" s="314" t="s">
        <v>1145</v>
      </c>
      <c r="B301"/>
    </row>
    <row r="302" spans="1:8" s="187" customFormat="1" x14ac:dyDescent="0.25">
      <c r="A302" s="314" t="s">
        <v>1146</v>
      </c>
      <c r="B302"/>
    </row>
    <row r="303" spans="1:8" s="187" customFormat="1" x14ac:dyDescent="0.25">
      <c r="A303" s="314" t="s">
        <v>1147</v>
      </c>
      <c r="B303"/>
    </row>
    <row r="304" spans="1:8" s="187" customFormat="1" x14ac:dyDescent="0.25">
      <c r="A304" s="314" t="s">
        <v>1148</v>
      </c>
      <c r="B304"/>
    </row>
    <row r="305" spans="1:9" s="187" customFormat="1" x14ac:dyDescent="0.25">
      <c r="A305" s="314" t="s">
        <v>1149</v>
      </c>
      <c r="B305"/>
    </row>
    <row r="306" spans="1:9" s="187" customFormat="1" x14ac:dyDescent="0.25">
      <c r="A306" s="314" t="s">
        <v>1150</v>
      </c>
      <c r="B306"/>
    </row>
    <row r="307" spans="1:9" s="187" customFormat="1" x14ac:dyDescent="0.25">
      <c r="A307" s="314" t="s">
        <v>1151</v>
      </c>
      <c r="B307"/>
    </row>
    <row r="308" spans="1:9" x14ac:dyDescent="0.25">
      <c r="C308" s="187"/>
      <c r="D308" s="187"/>
      <c r="E308" s="187"/>
      <c r="F308" s="187"/>
      <c r="G308" s="187"/>
      <c r="H308" s="187"/>
      <c r="I308" s="187"/>
    </row>
    <row r="309" spans="1:9" s="187" customFormat="1" x14ac:dyDescent="0.25">
      <c r="A309"/>
      <c r="B309"/>
      <c r="E309" s="279" t="s">
        <v>1152</v>
      </c>
      <c r="F309" s="279" t="s">
        <v>1153</v>
      </c>
      <c r="H309" s="279"/>
      <c r="I309"/>
    </row>
    <row r="310" spans="1:9" s="187" customFormat="1" x14ac:dyDescent="0.25">
      <c r="A310" s="2" t="s">
        <v>1154</v>
      </c>
      <c r="B310"/>
      <c r="E310" s="315" t="s">
        <v>1155</v>
      </c>
      <c r="F310" s="280">
        <v>1.7</v>
      </c>
      <c r="G310" t="s">
        <v>1156</v>
      </c>
      <c r="H310" s="316" t="s">
        <v>1157</v>
      </c>
      <c r="I310" s="317" t="s">
        <v>1158</v>
      </c>
    </row>
    <row r="311" spans="1:9" s="187" customFormat="1" x14ac:dyDescent="0.25">
      <c r="A311" s="2" t="s">
        <v>1159</v>
      </c>
      <c r="B311"/>
      <c r="E311" s="315" t="s">
        <v>1160</v>
      </c>
      <c r="F311" s="280">
        <v>4.2</v>
      </c>
      <c r="G311" t="s">
        <v>1156</v>
      </c>
      <c r="H311" s="316" t="s">
        <v>1157</v>
      </c>
      <c r="I311" s="317" t="s">
        <v>1161</v>
      </c>
    </row>
    <row r="312" spans="1:9" s="187" customFormat="1" x14ac:dyDescent="0.25">
      <c r="A312" t="s">
        <v>1162</v>
      </c>
      <c r="B312"/>
      <c r="E312" s="281" t="s">
        <v>1163</v>
      </c>
      <c r="F312" s="282">
        <v>26</v>
      </c>
      <c r="G312" t="s">
        <v>1156</v>
      </c>
      <c r="H312" s="316" t="s">
        <v>1157</v>
      </c>
      <c r="I312" s="317" t="s">
        <v>1164</v>
      </c>
    </row>
    <row r="313" spans="1:9" s="187" customFormat="1" x14ac:dyDescent="0.25">
      <c r="A313" t="s">
        <v>1165</v>
      </c>
      <c r="B313"/>
      <c r="E313" s="283" t="s">
        <v>1166</v>
      </c>
      <c r="F313" s="284">
        <v>4.4000000000000004</v>
      </c>
      <c r="G313" t="s">
        <v>1156</v>
      </c>
      <c r="H313" s="316" t="s">
        <v>1157</v>
      </c>
      <c r="I313" s="317" t="s">
        <v>1167</v>
      </c>
    </row>
    <row r="314" spans="1:9" s="187" customFormat="1" x14ac:dyDescent="0.25">
      <c r="A314" t="s">
        <v>1168</v>
      </c>
      <c r="B314"/>
      <c r="E314" s="283" t="s">
        <v>1169</v>
      </c>
      <c r="F314" s="284">
        <v>12</v>
      </c>
      <c r="G314" t="s">
        <v>1156</v>
      </c>
      <c r="H314" s="316" t="s">
        <v>1157</v>
      </c>
      <c r="I314" s="317" t="s">
        <v>1170</v>
      </c>
    </row>
    <row r="315" spans="1:9" s="187" customFormat="1" x14ac:dyDescent="0.25">
      <c r="A315" t="s">
        <v>1171</v>
      </c>
      <c r="B315"/>
      <c r="E315" s="285" t="s">
        <v>1172</v>
      </c>
      <c r="F315" s="286">
        <v>4.4000000000000004</v>
      </c>
      <c r="G315" t="s">
        <v>1156</v>
      </c>
      <c r="H315" s="316" t="s">
        <v>1157</v>
      </c>
      <c r="I315" s="317" t="s">
        <v>1167</v>
      </c>
    </row>
    <row r="656" spans="6:6" x14ac:dyDescent="0.25">
      <c r="F656" s="187"/>
    </row>
    <row r="657" spans="6:6" x14ac:dyDescent="0.25">
      <c r="F657" s="187"/>
    </row>
    <row r="658" spans="6:6" x14ac:dyDescent="0.25">
      <c r="F658" s="187"/>
    </row>
    <row r="659" spans="6:6" x14ac:dyDescent="0.25">
      <c r="F659" s="187"/>
    </row>
    <row r="660" spans="6:6" x14ac:dyDescent="0.25">
      <c r="F660" s="187"/>
    </row>
    <row r="661" spans="6:6" x14ac:dyDescent="0.25">
      <c r="F661" s="187"/>
    </row>
  </sheetData>
  <mergeCells count="5">
    <mergeCell ref="E4:H4"/>
    <mergeCell ref="I4:P4"/>
    <mergeCell ref="Q4:R4"/>
    <mergeCell ref="A298:H298"/>
    <mergeCell ref="A299:H299"/>
  </mergeCells>
  <pageMargins left="0.7" right="0.7" top="0.75" bottom="0.75" header="0.3" footer="0.3"/>
  <pageSetup scale="56" fitToHeight="0" orientation="landscape" r:id="rId1"/>
  <headerFooter>
    <oddHeader>&amp;C&amp;G</oddHead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C483A6-14EE-4B86-BB9C-68960DE4F6D6}">
  <sheetPr codeName="Sheet3"/>
  <dimension ref="A1:N157"/>
  <sheetViews>
    <sheetView topLeftCell="B1" zoomScale="85" zoomScaleNormal="85" workbookViewId="0">
      <pane ySplit="3" topLeftCell="A129" activePane="bottomLeft" state="frozen"/>
      <selection activeCell="F526" sqref="F526:L526"/>
      <selection pane="bottomLeft" activeCell="F526" sqref="F526:L526"/>
    </sheetView>
  </sheetViews>
  <sheetFormatPr defaultColWidth="9.140625" defaultRowHeight="15" x14ac:dyDescent="0.25"/>
  <cols>
    <col min="1" max="1" width="2.140625" style="55" bestFit="1" customWidth="1"/>
    <col min="2" max="2" width="29" style="59" customWidth="1"/>
    <col min="3" max="4" width="14.140625" style="59" customWidth="1"/>
    <col min="5" max="5" width="13.5703125" style="59" customWidth="1"/>
    <col min="6" max="13" width="12.85546875" style="59" customWidth="1"/>
    <col min="14" max="14" width="12.140625" style="2" customWidth="1"/>
    <col min="15" max="15" width="2.140625" style="2" customWidth="1"/>
    <col min="16" max="16384" width="9.140625" style="2"/>
  </cols>
  <sheetData>
    <row r="1" spans="1:14" ht="15.75" thickBot="1" x14ac:dyDescent="0.3">
      <c r="A1" s="154"/>
      <c r="B1" s="99" t="s">
        <v>116</v>
      </c>
      <c r="C1" s="69"/>
      <c r="D1" s="69"/>
      <c r="E1" s="69"/>
      <c r="F1" s="69"/>
      <c r="G1" s="69"/>
      <c r="H1" s="69"/>
      <c r="I1" s="69"/>
      <c r="J1" s="69"/>
      <c r="K1" s="69"/>
      <c r="L1" s="69"/>
      <c r="M1" s="69"/>
    </row>
    <row r="2" spans="1:14" ht="15.75" customHeight="1" thickBot="1" x14ac:dyDescent="0.3">
      <c r="A2" s="154"/>
      <c r="B2" s="638" t="s">
        <v>1</v>
      </c>
      <c r="C2" s="632" t="s">
        <v>2</v>
      </c>
      <c r="D2" s="635" t="s">
        <v>117</v>
      </c>
      <c r="E2" s="615" t="s">
        <v>118</v>
      </c>
      <c r="F2" s="616"/>
      <c r="G2" s="616"/>
      <c r="H2" s="616"/>
      <c r="I2" s="616"/>
      <c r="J2" s="616"/>
      <c r="K2" s="616"/>
      <c r="L2" s="616"/>
      <c r="M2" s="617"/>
      <c r="N2" s="215"/>
    </row>
    <row r="3" spans="1:14" ht="41.1" customHeight="1" thickBot="1" x14ac:dyDescent="0.3">
      <c r="A3" s="154"/>
      <c r="B3" s="639"/>
      <c r="C3" s="634"/>
      <c r="D3" s="636"/>
      <c r="E3" s="186" t="s">
        <v>119</v>
      </c>
      <c r="F3" s="236" t="s">
        <v>120</v>
      </c>
      <c r="G3" s="236" t="s">
        <v>121</v>
      </c>
      <c r="H3" s="236" t="s">
        <v>122</v>
      </c>
      <c r="I3" s="236" t="s">
        <v>123</v>
      </c>
      <c r="J3" s="236" t="s">
        <v>124</v>
      </c>
      <c r="K3" s="236" t="s">
        <v>125</v>
      </c>
      <c r="L3" s="236" t="s">
        <v>126</v>
      </c>
      <c r="M3" s="247" t="s">
        <v>127</v>
      </c>
    </row>
    <row r="4" spans="1:14" x14ac:dyDescent="0.25">
      <c r="A4" s="154"/>
      <c r="B4" s="100" t="s">
        <v>4</v>
      </c>
      <c r="C4" s="101" t="s">
        <v>5</v>
      </c>
      <c r="D4" s="216" t="s">
        <v>128</v>
      </c>
      <c r="E4" s="238">
        <f>IFERROR(('EF Determination'!H6*$C$56/1000+IF($D4="Yes",'EF Determination'!H6/1000*$G$56*$G$67*$C$70,0)),)</f>
        <v>1.1842966453333335</v>
      </c>
      <c r="F4" s="189">
        <f>IFERROR(('EF Determination'!H6*$C$57/1000+IF($D4="Yes",'EF Determination'!H6/1000*$G$57*$G$67*$C$71,0)),)</f>
        <v>1.266048466</v>
      </c>
      <c r="G4" s="189">
        <f>IFERROR(('EF Determination'!H6*$C$58/1000+IF($D4="Yes",'EF Determination'!H6/1000*$G$58*$G$67*$C$72,0)),)</f>
        <v>1.5886367313333336</v>
      </c>
      <c r="H4" s="189">
        <f>IFERROR(('EF Determination'!H6*$C$59/1000+IF($D4="Yes",'EF Determination'!H6/1000*$G$59*$G$67*$C$73,0)),)</f>
        <v>2.837009128</v>
      </c>
      <c r="I4" s="189">
        <f>IFERROR(('EF Determination'!H6*$C$60/1000+IF($D4="Yes",'EF Determination'!H6/1000*$G$60*$G$67*$C$74,0)),)</f>
        <v>3.0690075380000001</v>
      </c>
      <c r="J4" s="189">
        <f>IFERROR(('EF Determination'!G6*$C$61/1000+IF($D4="Yes",'EF Determination'!G6/1000*$G$61*$G$67*$C$75,0)),)</f>
        <v>0</v>
      </c>
      <c r="K4" s="190">
        <f>IFERROR(('EF Determination'!H6*$C$62/1000+IF($D4="Yes",'EF Determination'!H6/1000*$G$62*$G$67*$C$76,0)),)</f>
        <v>3.6014991266666669</v>
      </c>
      <c r="L4" s="189">
        <f>IFERROR(('EF Determination'!H6*$C$63/1000+IF($D4="Yes",'EF Determination'!H6/1000*$G$63*$G$67*$C$77,0)),)</f>
        <v>1.1842966453333335</v>
      </c>
      <c r="M4" s="248">
        <f>IFERROR(('EF Determination'!H6*$C$64/1000+IF($D4="Yes",'EF Determination'!H6/1000*$G$64*$G$67*$C$78,0)),)</f>
        <v>2.2802129440000001</v>
      </c>
    </row>
    <row r="5" spans="1:14" x14ac:dyDescent="0.25">
      <c r="A5" s="154"/>
      <c r="B5" s="102" t="s">
        <v>129</v>
      </c>
      <c r="C5" s="92" t="s">
        <v>8</v>
      </c>
      <c r="D5" s="217" t="s">
        <v>128</v>
      </c>
      <c r="E5" s="224">
        <f>IFERROR(('EF Determination'!H7*$C$56/1000+IF($D5="Yes",'EF Determination'!H7/1000*$G$56*$G$67*$C$70,0)),)</f>
        <v>4.0018457246308132E-3</v>
      </c>
      <c r="F5" s="93">
        <f>IFERROR(('EF Determination'!H7*$C$57/1000+IF($D5="Yes",'EF Determination'!H7/1000*$G$57*$G$67*$C$71,0)),)</f>
        <v>4.2780925377116719E-3</v>
      </c>
      <c r="G5" s="93">
        <f>IFERROR(('EF Determination'!H7*$C$58/1000+IF($D5="Yes",'EF Determination'!H7/1000*$G$58*$G$67*$C$72,0)),)</f>
        <v>5.3681475298685746E-3</v>
      </c>
      <c r="H5" s="93">
        <f>IFERROR(('EF Determination'!H7*$C$59/1000+IF($D5="Yes",'EF Determination'!H7/1000*$G$59*$G$67*$C$73,0)),)</f>
        <v>9.5865110269141122E-3</v>
      </c>
      <c r="I5" s="89">
        <f>IFERROR(('EF Determination'!H7*$C$60/1000+IF($D5="Yes",'EF Determination'!H7/1000*$G$60*$G$67*$C$74,0)),)</f>
        <v>1.037045468565709E-2</v>
      </c>
      <c r="J5" s="93">
        <f>IFERROR(('EF Determination'!G7*$C$61/1000+IF($D5="Yes",'EF Determination'!G7/1000*$G$61*$G$67*$C$75,0)),)</f>
        <v>1.0044359335933504E-2</v>
      </c>
      <c r="K5" s="93">
        <f>IFERROR(('EF Determination'!H7*$C$62/1000+IF($D5="Yes",'EF Determination'!H7/1000*$G$62*$G$67*$C$76,0)),)</f>
        <v>1.2169792035724302E-2</v>
      </c>
      <c r="L5" s="93">
        <f>IFERROR(('EF Determination'!H7*$C$63/1000+IF($D5="Yes",'EF Determination'!H7/1000*$G$63*$G$67*$C$77,0)),)</f>
        <v>4.0018457246308132E-3</v>
      </c>
      <c r="M5" s="225">
        <f>IFERROR(('EF Determination'!H7*$C$64/1000+IF($D5="Yes",'EF Determination'!H7/1000*$G$64*$G$67*$C$78,0)),)</f>
        <v>7.7050462459309693E-3</v>
      </c>
    </row>
    <row r="6" spans="1:14" x14ac:dyDescent="0.25">
      <c r="A6" s="154"/>
      <c r="B6" s="104" t="s">
        <v>130</v>
      </c>
      <c r="C6" s="91" t="s">
        <v>10</v>
      </c>
      <c r="D6" s="218" t="s">
        <v>128</v>
      </c>
      <c r="E6" s="224">
        <f>IFERROR(('EF Determination'!H8*$C$56/1000+IF($D6="Yes",'EF Determination'!H8/1000*$G$56*$G$67*$C$70,0)),)</f>
        <v>4.4115124835171883E-3</v>
      </c>
      <c r="F6" s="93">
        <f>IFERROR(('EF Determination'!H8*$C$57/1000+IF($D6="Yes",'EF Determination'!H8/1000*$G$57*$G$67*$C$71,0)),)</f>
        <v>4.7160385318196808E-3</v>
      </c>
      <c r="G6" s="93">
        <f>IFERROR(('EF Determination'!H8*$C$58/1000+IF($D6="Yes",'EF Determination'!H8/1000*$G$58*$G$67*$C$72,0)),)</f>
        <v>5.9176818575538415E-3</v>
      </c>
      <c r="H6" s="93">
        <f>IFERROR(('EF Determination'!H8*$C$59/1000+IF($D6="Yes",'EF Determination'!H8/1000*$G$59*$G$67*$C$73,0)),)</f>
        <v>1.056787691947028E-2</v>
      </c>
      <c r="I6" s="89">
        <f>IFERROR(('EF Determination'!H8*$C$60/1000+IF($D6="Yes",'EF Determination'!H8/1000*$G$60*$G$67*$C$74,0)),)</f>
        <v>1.1432072461950325E-2</v>
      </c>
      <c r="J6" s="93">
        <f>IFERROR(('EF Determination'!G8*$C$61/1000+IF($D6="Yes",'EF Determination'!G8/1000*$G$61*$G$67*$C$75,0)),)</f>
        <v>1.1955592426768876E-2</v>
      </c>
      <c r="K6" s="93">
        <f>IFERROR(('EF Determination'!H8*$C$62/1000+IF($D6="Yes",'EF Determination'!H8/1000*$G$62*$G$67*$C$76,0)),)</f>
        <v>1.3415606992785481E-2</v>
      </c>
      <c r="L6" s="93">
        <f>IFERROR(('EF Determination'!H8*$C$63/1000+IF($D6="Yes",'EF Determination'!H8/1000*$G$63*$G$67*$C$77,0)),)</f>
        <v>4.4115124835171883E-3</v>
      </c>
      <c r="M6" s="225">
        <f>IFERROR(('EF Determination'!H8*$C$64/1000+IF($D6="Yes",'EF Determination'!H8/1000*$G$64*$G$67*$C$78,0)),)</f>
        <v>8.4938076175181693E-3</v>
      </c>
    </row>
    <row r="7" spans="1:14" x14ac:dyDescent="0.25">
      <c r="A7" s="154"/>
      <c r="B7" s="104" t="s">
        <v>11</v>
      </c>
      <c r="C7" s="91" t="s">
        <v>12</v>
      </c>
      <c r="D7" s="90" t="s">
        <v>128</v>
      </c>
      <c r="E7" s="224">
        <f>IFERROR(('EF Determination'!H9*$C$56/1000+IF($D7="Yes",'EF Determination'!H9/1000*$G$56*$G$67*$C$70,0)),)</f>
        <v>4.2670633039999997</v>
      </c>
      <c r="F7" s="93">
        <f>IFERROR(('EF Determination'!H9*$C$57/1000+IF($D7="Yes",'EF Determination'!H9/1000*$G$57*$G$67*$C$71,0)),)</f>
        <v>4.5616180469999996</v>
      </c>
      <c r="G7" s="93">
        <f>IFERROR(('EF Determination'!H9*$C$58/1000+IF($D7="Yes",'EF Determination'!H9/1000*$G$58*$G$67*$C$72,0)),)</f>
        <v>5.7239151410000009</v>
      </c>
      <c r="H7" s="93">
        <f>IFERROR(('EF Determination'!H9*$C$59/1000+IF($D7="Yes",'EF Determination'!H9/1000*$G$59*$G$67*$C$73,0)),)</f>
        <v>10.221845675999999</v>
      </c>
      <c r="I7" s="89">
        <f>IFERROR(('EF Determination'!H9*$C$60/1000+IF($D7="Yes",'EF Determination'!H9/1000*$G$60*$G$67*$C$74,0)),)</f>
        <v>11.057744270999999</v>
      </c>
      <c r="J7" s="93">
        <f>IFERROR(('EF Determination'!G9*$C$61/1000+IF($D7="Yes",'EF Determination'!G9/1000*$G$61*$G$67*$C$75,0)),)</f>
        <v>0</v>
      </c>
      <c r="K7" s="93">
        <f>IFERROR(('EF Determination'!H9*$C$62/1000+IF($D7="Yes",'EF Determination'!H9/1000*$G$62*$G$67*$C$76,0)),)</f>
        <v>12.97633057</v>
      </c>
      <c r="L7" s="93">
        <f>IFERROR(('EF Determination'!H9*$C$63/1000+IF($D7="Yes",'EF Determination'!H9/1000*$G$63*$G$67*$C$77,0)),)</f>
        <v>4.2670633039999997</v>
      </c>
      <c r="M7" s="225">
        <f>IFERROR(('EF Determination'!H9*$C$64/1000+IF($D7="Yes",'EF Determination'!H9/1000*$G$64*$G$67*$C$78,0)),)</f>
        <v>8.2156890479999998</v>
      </c>
    </row>
    <row r="8" spans="1:14" x14ac:dyDescent="0.25">
      <c r="A8" s="154"/>
      <c r="B8" s="104" t="s">
        <v>13</v>
      </c>
      <c r="C8" s="91" t="s">
        <v>14</v>
      </c>
      <c r="D8" s="90" t="s">
        <v>128</v>
      </c>
      <c r="E8" s="224">
        <f>IFERROR(('EF Determination'!H10*$C$56/1000+IF($D8="Yes",'EF Determination'!H10/1000*$G$56*$G$67*$C$70,0)),)</f>
        <v>0.18467183200000001</v>
      </c>
      <c r="F8" s="93">
        <f>IFERROR(('EF Determination'!H10*$C$57/1000+IF($D8="Yes",'EF Determination'!H10/1000*$G$57*$G$67*$C$71,0)),)</f>
        <v>0.19741970099999998</v>
      </c>
      <c r="G8" s="93">
        <f>IFERROR(('EF Determination'!H10*$C$58/1000+IF($D8="Yes",'EF Determination'!H10/1000*$G$58*$G$67*$C$72,0)),)</f>
        <v>0.247722103</v>
      </c>
      <c r="H8" s="93">
        <f>IFERROR(('EF Determination'!H10*$C$59/1000+IF($D8="Yes",'EF Determination'!H10/1000*$G$59*$G$67*$C$73,0)),)</f>
        <v>0.44238550799999998</v>
      </c>
      <c r="I8" s="89">
        <f>IFERROR(('EF Determination'!H10*$C$60/1000+IF($D8="Yes",'EF Determination'!H10/1000*$G$60*$G$67*$C$74,0)),)</f>
        <v>0.47856189299999996</v>
      </c>
      <c r="J8" s="93">
        <f>IFERROR(('EF Determination'!G10*$C$61/1000+IF($D8="Yes",'EF Determination'!G10/1000*$G$61*$G$67*$C$75,0)),)</f>
        <v>0.59777169499999994</v>
      </c>
      <c r="K8" s="93">
        <f>IFERROR(('EF Determination'!H10*$C$62/1000+IF($D8="Yes",'EF Determination'!H10/1000*$G$62*$G$67*$C$76,0)),)</f>
        <v>0.56159530999999985</v>
      </c>
      <c r="L8" s="93">
        <f>IFERROR(('EF Determination'!H10*$C$63/1000+IF($D8="Yes",'EF Determination'!H10/1000*$G$63*$G$67*$C$77,0)),)</f>
        <v>0.18467183200000001</v>
      </c>
      <c r="M8" s="225">
        <f>IFERROR(('EF Determination'!H10*$C$64/1000+IF($D8="Yes",'EF Determination'!H10/1000*$G$64*$G$67*$C$78,0)),)</f>
        <v>0.355562184</v>
      </c>
    </row>
    <row r="9" spans="1:14" x14ac:dyDescent="0.25">
      <c r="A9" s="154"/>
      <c r="B9" s="104" t="s">
        <v>15</v>
      </c>
      <c r="C9" s="91" t="s">
        <v>16</v>
      </c>
      <c r="D9" s="90" t="s">
        <v>131</v>
      </c>
      <c r="E9" s="224">
        <f>IFERROR(('EF Determination'!H11*$C$56/1000+IF($D9="Yes",'EF Determination'!H11/1000*$G$56*$G$67*$C$70,0)),)</f>
        <v>4.2880000000000003</v>
      </c>
      <c r="F9" s="93">
        <f>IFERROR(('EF Determination'!H11*$C$57/1000+IF($D9="Yes",'EF Determination'!H11/1000*$G$57*$G$67*$C$71,0)),)</f>
        <v>4.5839999999999996</v>
      </c>
      <c r="G9" s="93">
        <f>IFERROR(('EF Determination'!H11*$C$58/1000+IF($D9="Yes",'EF Determination'!H11/1000*$G$58*$G$67*$C$72,0)),)</f>
        <v>5.7520000000000007</v>
      </c>
      <c r="H9" s="93">
        <f>IFERROR(('EF Determination'!H11*$C$59/1000+IF($D9="Yes",'EF Determination'!H11/1000*$G$59*$G$67*$C$73,0)),)</f>
        <v>10.272</v>
      </c>
      <c r="I9" s="89">
        <f>IFERROR(('EF Determination'!H11*$C$60/1000+IF($D9="Yes",'EF Determination'!H11/1000*$G$60*$G$67*$C$74,0)),)</f>
        <v>11.112</v>
      </c>
      <c r="J9" s="93">
        <f>IFERROR(('EF Determination'!G11*$C$61/1000+IF($D9="Yes",'EF Determination'!G11/1000*$G$61*$G$67*$C$75,0)),)</f>
        <v>13.88</v>
      </c>
      <c r="K9" s="93">
        <f>IFERROR(('EF Determination'!H11*$C$62/1000+IF($D9="Yes",'EF Determination'!H11/1000*$G$62*$G$67*$C$76,0)),)</f>
        <v>13.04</v>
      </c>
      <c r="L9" s="93">
        <f>IFERROR(('EF Determination'!H11*$C$63/1000+IF($D9="Yes",'EF Determination'!H11/1000*$G$63*$G$67*$C$77,0)),)</f>
        <v>4.2880000000000003</v>
      </c>
      <c r="M9" s="225">
        <f>IFERROR(('EF Determination'!H11*$C$64/1000+IF($D9="Yes",'EF Determination'!H11/1000*$G$64*$G$67*$C$78,0)),)</f>
        <v>8.2560000000000002</v>
      </c>
    </row>
    <row r="10" spans="1:14" x14ac:dyDescent="0.25">
      <c r="A10" s="154"/>
      <c r="B10" s="104" t="s">
        <v>132</v>
      </c>
      <c r="C10" s="91" t="s">
        <v>18</v>
      </c>
      <c r="D10" s="90" t="s">
        <v>128</v>
      </c>
      <c r="E10" s="224">
        <f>IFERROR(('EF Determination'!H12*$C$56/1000+IF($D10="Yes",'EF Determination'!H12/1000*$G$56*$G$67*$C$70,0)),)</f>
        <v>2.4627814235819931E-3</v>
      </c>
      <c r="F10" s="93">
        <f>IFERROR(('EF Determination'!H12*$C$57/1000+IF($D10="Yes",'EF Determination'!H12/1000*$G$57*$G$67*$C$71,0)),)</f>
        <v>2.6327868576725417E-3</v>
      </c>
      <c r="G10" s="93">
        <f>IFERROR(('EF Determination'!H12*$C$58/1000+IF($D10="Yes",'EF Determination'!H12/1000*$G$58*$G$67*$C$72,0)),)</f>
        <v>3.3036191111109211E-3</v>
      </c>
      <c r="H10" s="93">
        <f>IFERROR(('EF Determination'!H12*$C$59/1000+IF($D10="Yes",'EF Determination'!H12/1000*$G$59*$G$67*$C$73,0)),)</f>
        <v>5.8996480370882088E-3</v>
      </c>
      <c r="I10" s="89">
        <f>IFERROR(('EF Determination'!H12*$C$60/1000+IF($D10="Yes",'EF Determination'!H12/1000*$G$60*$G$67*$C$74,0)),)</f>
        <v>6.3820958905884129E-3</v>
      </c>
      <c r="J10" s="93">
        <f>IFERROR(('EF Determination'!G12*$C$61/1000+IF($D10="Yes",'EF Determination'!G12/1000*$G$61*$G$67*$C$75,0)),)</f>
        <v>5.5383928752881246E-3</v>
      </c>
      <c r="K10" s="93">
        <f>IFERROR(('EF Determination'!H12*$C$62/1000+IF($D10="Yes",'EF Determination'!H12/1000*$G$62*$G$67*$C$76,0)),)</f>
        <v>7.4894285829079279E-3</v>
      </c>
      <c r="L10" s="93">
        <f>IFERROR(('EF Determination'!H12*$C$63/1000+IF($D10="Yes",'EF Determination'!H12/1000*$G$63*$G$67*$C$77,0)),)</f>
        <v>2.4627814235819931E-3</v>
      </c>
      <c r="M10" s="225">
        <f>IFERROR(('EF Determination'!H12*$C$64/1000+IF($D10="Yes",'EF Determination'!H12/1000*$G$64*$G$67*$C$78,0)),)</f>
        <v>4.7417731886877186E-3</v>
      </c>
    </row>
    <row r="11" spans="1:14" x14ac:dyDescent="0.25">
      <c r="A11" s="154"/>
      <c r="B11" s="104" t="s">
        <v>19</v>
      </c>
      <c r="C11" s="91" t="s">
        <v>20</v>
      </c>
      <c r="D11" s="90" t="s">
        <v>131</v>
      </c>
      <c r="E11" s="224">
        <f>IFERROR(('EF Determination'!H13*$C$56/1000+IF($D11="Yes",'EF Determination'!H13/1000*$G$56*$G$67*$C$70,0)),)</f>
        <v>1.7054837835402523E-3</v>
      </c>
      <c r="F11" s="93">
        <f>IFERROR(('EF Determination'!H13*$C$57/1000+IF($D11="Yes",'EF Determination'!H13/1000*$G$57*$G$67*$C$71,0)),)</f>
        <v>1.8232130745682174E-3</v>
      </c>
      <c r="G11" s="93">
        <f>IFERROR(('EF Determination'!H13*$C$58/1000+IF($D11="Yes",'EF Determination'!H13/1000*$G$58*$G$67*$C$72,0)),)</f>
        <v>2.2877664932191072E-3</v>
      </c>
      <c r="H11" s="93">
        <f>IFERROR(('EF Determination'!H13*$C$59/1000+IF($D11="Yes",'EF Determination'!H13/1000*$G$59*$G$67*$C$73,0)),)</f>
        <v>4.0855245859434397E-3</v>
      </c>
      <c r="I11" s="89">
        <f>IFERROR(('EF Determination'!H13*$C$60/1000+IF($D11="Yes",'EF Determination'!H13/1000*$G$60*$G$67*$C$74,0)),)</f>
        <v>4.4196212226444223E-3</v>
      </c>
      <c r="J11" s="93">
        <f>IFERROR(('EF Determination'!G13*$C$61/1000+IF($D11="Yes",'EF Determination'!G13/1000*$G$61*$G$67*$C$75,0)),)</f>
        <v>4.413588757702514E-3</v>
      </c>
      <c r="K11" s="93">
        <f>IFERROR(('EF Determination'!H13*$C$62/1000+IF($D11="Yes",'EF Determination'!H13/1000*$G$62*$G$67*$C$76,0)),)</f>
        <v>5.186452550691438E-3</v>
      </c>
      <c r="L11" s="93">
        <f>IFERROR(('EF Determination'!H13*$C$63/1000+IF($D11="Yes",'EF Determination'!H13/1000*$G$63*$G$67*$C$77,0)),)</f>
        <v>1.7054837835402523E-3</v>
      </c>
      <c r="M11" s="225">
        <f>IFERROR(('EF Determination'!H13*$C$64/1000+IF($D11="Yes",'EF Determination'!H13/1000*$G$64*$G$67*$C$78,0)),)</f>
        <v>3.2836926578610828E-3</v>
      </c>
    </row>
    <row r="12" spans="1:14" ht="15.75" customHeight="1" x14ac:dyDescent="0.25">
      <c r="A12" s="154"/>
      <c r="B12" s="104" t="s">
        <v>21</v>
      </c>
      <c r="C12" s="91" t="s">
        <v>22</v>
      </c>
      <c r="D12" s="90" t="s">
        <v>131</v>
      </c>
      <c r="E12" s="224">
        <f>IFERROR(('EF Determination'!H14*$C$56/1000+IF($D12="Yes",'EF Determination'!H14/1000*$G$56*$G$67*$C$70,0)),)</f>
        <v>1.483930356131232E-3</v>
      </c>
      <c r="F12" s="93">
        <f>IFERROR(('EF Determination'!H14*$C$57/1000+IF($D12="Yes",'EF Determination'!H14/1000*$G$57*$G$67*$C$71,0)),)</f>
        <v>1.586365847132828E-3</v>
      </c>
      <c r="G12" s="93">
        <f>IFERROR(('EF Determination'!H14*$C$58/1000+IF($D12="Yes",'EF Determination'!H14/1000*$G$58*$G$67*$C$72,0)),)</f>
        <v>1.9905707575715598E-3</v>
      </c>
      <c r="H12" s="93">
        <f>IFERROR(('EF Determination'!H14*$C$59/1000+IF($D12="Yes",'EF Determination'!H14/1000*$G$59*$G$67*$C$73,0)),)</f>
        <v>3.5547883904337723E-3</v>
      </c>
      <c r="I12" s="89">
        <f>IFERROR(('EF Determination'!H14*$C$60/1000+IF($D12="Yes",'EF Determination'!H14/1000*$G$60*$G$67*$C$74,0)),)</f>
        <v>3.8454837027355991E-3</v>
      </c>
      <c r="J12" s="93">
        <f>IFERROR(('EF Determination'!G14*$C$61/1000+IF($D12="Yes",'EF Determination'!G14/1000*$G$61*$G$67*$C$75,0)),)</f>
        <v>3.3658999999999998E-3</v>
      </c>
      <c r="K12" s="93">
        <f>IFERROR(('EF Determination'!H14*$C$62/1000+IF($D12="Yes",'EF Determination'!H14/1000*$G$62*$G$67*$C$76,0)),)</f>
        <v>4.5126986576378885E-3</v>
      </c>
      <c r="L12" s="93">
        <f>IFERROR(('EF Determination'!H14*$C$63/1000+IF($D12="Yes",'EF Determination'!H14/1000*$G$63*$G$67*$C$77,0)),)</f>
        <v>1.483930356131232E-3</v>
      </c>
      <c r="M12" s="225">
        <f>IFERROR(('EF Determination'!H14*$C$64/1000+IF($D12="Yes",'EF Determination'!H14/1000*$G$64*$G$67*$C$78,0)),)</f>
        <v>2.8571196409093867E-3</v>
      </c>
    </row>
    <row r="13" spans="1:14" ht="15.75" customHeight="1" x14ac:dyDescent="0.25">
      <c r="A13" s="154"/>
      <c r="B13" s="104" t="s">
        <v>23</v>
      </c>
      <c r="C13" s="91" t="s">
        <v>24</v>
      </c>
      <c r="D13" s="90" t="s">
        <v>131</v>
      </c>
      <c r="E13" s="224">
        <f>IFERROR(('EF Determination'!H15*$C$56/1000+IF($D13="Yes",'EF Determination'!H15/1000*$G$56*$G$67*$C$70,0)),)</f>
        <v>2.0040683527333659E-3</v>
      </c>
      <c r="F13" s="93">
        <f>IFERROR(('EF Determination'!H15*$C$57/1000+IF($D13="Yes",'EF Determination'!H15/1000*$G$57*$G$67*$C$71,0)),)</f>
        <v>2.1424088920078705E-3</v>
      </c>
      <c r="G13" s="93">
        <f>IFERROR(('EF Determination'!H15*$C$58/1000+IF($D13="Yes",'EF Determination'!H15/1000*$G$58*$G$67*$C$72,0)),)</f>
        <v>2.6882931821180784E-3</v>
      </c>
      <c r="H13" s="93">
        <f>IFERROR(('EF Determination'!H15*$C$59/1000+IF($D13="Yes",'EF Determination'!H15/1000*$G$59*$G$67*$C$73,0)),)</f>
        <v>4.8007906061747043E-3</v>
      </c>
      <c r="I13" s="89">
        <f>IFERROR(('EF Determination'!H15*$C$60/1000+IF($D13="Yes",'EF Determination'!H15/1000*$G$60*$G$67*$C$74,0)),)</f>
        <v>5.1933786230347855E-3</v>
      </c>
      <c r="J13" s="93">
        <f>IFERROR(('EF Determination'!G15*$C$61/1000+IF($D13="Yes",'EF Determination'!G15/1000*$G$61*$G$67*$C$75,0)),)</f>
        <v>1.198998208923862E-2</v>
      </c>
      <c r="K13" s="93">
        <f>IFERROR(('EF Determination'!H15*$C$62/1000+IF($D13="Yes",'EF Determination'!H15/1000*$G$62*$G$67*$C$76,0)),)</f>
        <v>6.0944615950660188E-3</v>
      </c>
      <c r="L13" s="93">
        <f>IFERROR(('EF Determination'!H15*$C$63/1000+IF($D13="Yes",'EF Determination'!H15/1000*$G$63*$G$67*$C$77,0)),)</f>
        <v>2.0040683527333659E-3</v>
      </c>
      <c r="M13" s="225">
        <f>IFERROR(('EF Determination'!H15*$C$64/1000+IF($D13="Yes",'EF Determination'!H15/1000*$G$64*$G$67*$C$78,0)),)</f>
        <v>3.8585793657105101E-3</v>
      </c>
    </row>
    <row r="14" spans="1:14" ht="15.75" customHeight="1" x14ac:dyDescent="0.25">
      <c r="A14" s="154"/>
      <c r="B14" s="104" t="s">
        <v>133</v>
      </c>
      <c r="C14" s="91" t="s">
        <v>26</v>
      </c>
      <c r="D14" s="90" t="s">
        <v>128</v>
      </c>
      <c r="E14" s="224">
        <f>IFERROR(('EF Determination'!H16*$C$56/1000+IF($D14="Yes",'EF Determination'!H16/1000*$G$56*$G$67*$C$70,0)),)</f>
        <v>2.6443112612631786E-4</v>
      </c>
      <c r="F14" s="93">
        <f>IFERROR(('EF Determination'!H16*$C$57/1000+IF($D14="Yes",'EF Determination'!H16/1000*$G$57*$G$67*$C$71,0)),)</f>
        <v>2.8268476729548535E-4</v>
      </c>
      <c r="G14" s="93">
        <f>IFERROR(('EF Determination'!H16*$C$58/1000+IF($D14="Yes",'EF Determination'!H16/1000*$G$58*$G$67*$C$72,0)),)</f>
        <v>3.5471264866571373E-4</v>
      </c>
      <c r="H14" s="93">
        <f>IFERROR(('EF Determination'!H16*$C$59/1000+IF($D14="Yes",'EF Determination'!H16/1000*$G$59*$G$67*$C$73,0)),)</f>
        <v>6.334506827354331E-4</v>
      </c>
      <c r="I14" s="89">
        <f>IFERROR(('EF Determination'!H16*$C$60/1000+IF($D14="Yes",'EF Determination'!H16/1000*$G$60*$G$67*$C$74,0)),)</f>
        <v>6.852515563236111E-4</v>
      </c>
      <c r="J14" s="93">
        <f>IFERROR(('EF Determination'!G16*$C$61/1000+IF($D14="Yes",'EF Determination'!G16/1000*$G$61*$G$67*$C$75,0)),)</f>
        <v>7.0581751771950536E-4</v>
      </c>
      <c r="K14" s="93">
        <f>IFERROR(('EF Determination'!H16*$C$62/1000+IF($D14="Yes",'EF Determination'!H16/1000*$G$62*$G$67*$C$76,0)),)</f>
        <v>8.0414689474980988E-4</v>
      </c>
      <c r="L14" s="93">
        <f>IFERROR(('EF Determination'!H16*$C$63/1000+IF($D14="Yes",'EF Determination'!H16/1000*$G$63*$G$67*$C$77,0)),)</f>
        <v>2.6443112612631786E-4</v>
      </c>
      <c r="M14" s="225">
        <f>IFERROR(('EF Determination'!H16*$C$64/1000+IF($D14="Yes",'EF Determination'!H16/1000*$G$64*$G$67*$C$78,0)),)</f>
        <v>5.0912858612380603E-4</v>
      </c>
    </row>
    <row r="15" spans="1:14" ht="15.75" customHeight="1" x14ac:dyDescent="0.25">
      <c r="A15" s="154"/>
      <c r="B15" s="104" t="s">
        <v>27</v>
      </c>
      <c r="C15" s="91" t="s">
        <v>28</v>
      </c>
      <c r="D15" s="90" t="s">
        <v>128</v>
      </c>
      <c r="E15" s="224">
        <f>IFERROR(('EF Determination'!H17*$C$56/1000+IF($D15="Yes",'EF Determination'!H17/1000*$G$56*$G$67*$C$70,0)),)</f>
        <v>1.014877944</v>
      </c>
      <c r="F15" s="93">
        <f>IFERROR(('EF Determination'!H17*$C$57/1000+IF($D15="Yes",'EF Determination'!H17/1000*$G$57*$G$67*$C$71,0)),)</f>
        <v>1.0849348169999999</v>
      </c>
      <c r="G15" s="93">
        <f>IFERROR(('EF Determination'!H17*$C$58/1000+IF($D15="Yes",'EF Determination'!H17/1000*$G$58*$G$67*$C$72,0)),)</f>
        <v>1.361375451</v>
      </c>
      <c r="H15" s="93">
        <f>IFERROR(('EF Determination'!H17*$C$59/1000+IF($D15="Yes",'EF Determination'!H17/1000*$G$59*$G$67*$C$73,0)),)</f>
        <v>2.4311628359999999</v>
      </c>
      <c r="I15" s="89">
        <f>IFERROR(('EF Determination'!H17*$C$60/1000+IF($D15="Yes",'EF Determination'!H17/1000*$G$60*$G$67*$C$74,0)),)</f>
        <v>2.629972881</v>
      </c>
      <c r="J15" s="93">
        <f>IFERROR(('EF Determination'!G17*$C$61/1000+IF($D15="Yes",'EF Determination'!G17/1000*$G$61*$G$67*$C$75,0)),)</f>
        <v>0</v>
      </c>
      <c r="K15" s="93">
        <f>IFERROR(('EF Determination'!H17*$C$62/1000+IF($D15="Yes",'EF Determination'!H17/1000*$G$62*$G$67*$C$76,0)),)</f>
        <v>3.08628927</v>
      </c>
      <c r="L15" s="93">
        <f>IFERROR(('EF Determination'!H17*$C$63/1000+IF($D15="Yes",'EF Determination'!H17/1000*$G$63*$G$67*$C$77,0)),)</f>
        <v>1.014877944</v>
      </c>
      <c r="M15" s="225">
        <f>IFERROR(('EF Determination'!H17*$C$64/1000+IF($D15="Yes",'EF Determination'!H17/1000*$G$64*$G$67*$C$78,0)),)</f>
        <v>1.9540187279999999</v>
      </c>
    </row>
    <row r="16" spans="1:14" ht="15.75" customHeight="1" x14ac:dyDescent="0.25">
      <c r="A16" s="154"/>
      <c r="B16" s="104" t="s">
        <v>134</v>
      </c>
      <c r="C16" s="91" t="s">
        <v>30</v>
      </c>
      <c r="D16" s="90" t="s">
        <v>128</v>
      </c>
      <c r="E16" s="224">
        <f>IFERROR(('EF Determination'!H18*$C$56/1000+IF($D16="Yes",'EF Determination'!H18/1000*$G$56*$G$67*$C$70,0)),)</f>
        <v>7.8364251800930039E-5</v>
      </c>
      <c r="F16" s="93">
        <f>IFERROR(('EF Determination'!H18*$C$57/1000+IF($D16="Yes",'EF Determination'!H18/1000*$G$57*$G$67*$C$71,0)),)</f>
        <v>8.3773724406591271E-5</v>
      </c>
      <c r="G16" s="93">
        <f>IFERROR(('EF Determination'!H18*$C$58/1000+IF($D16="Yes",'EF Determination'!H18/1000*$G$58*$G$67*$C$72,0)),)</f>
        <v>1.0511921090460581E-4</v>
      </c>
      <c r="H16" s="93">
        <f>IFERROR(('EF Determination'!H18*$C$59/1000+IF($D16="Yes",'EF Determination'!H18/1000*$G$59*$G$67*$C$73,0)),)</f>
        <v>1.8772331961267573E-4</v>
      </c>
      <c r="I16" s="89">
        <f>IFERROR(('EF Determination'!H18*$C$60/1000+IF($D16="Yes",'EF Determination'!H18/1000*$G$60*$G$67*$C$74,0)),)</f>
        <v>2.0307452565576834E-4</v>
      </c>
      <c r="J16" s="93">
        <f>IFERROR(('EF Determination'!G18*$C$61/1000+IF($D16="Yes",'EF Determination'!G18/1000*$G$61*$G$67*$C$75,0)),)</f>
        <v>2.2487832707833092E-4</v>
      </c>
      <c r="K16" s="93">
        <f>IFERROR(('EF Determination'!H18*$C$62/1000+IF($D16="Yes",'EF Determination'!H18/1000*$G$62*$G$67*$C$76,0)),)</f>
        <v>2.3830919857372384E-4</v>
      </c>
      <c r="L16" s="93">
        <f>IFERROR(('EF Determination'!H18*$C$63/1000+IF($D16="Yes",'EF Determination'!H18/1000*$G$63*$G$67*$C$77,0)),)</f>
        <v>7.8364251800930039E-5</v>
      </c>
      <c r="M16" s="225">
        <f>IFERROR(('EF Determination'!H18*$C$64/1000+IF($D16="Yes",'EF Determination'!H18/1000*$G$64*$G$67*$C$78,0)),)</f>
        <v>1.5088042510925337E-4</v>
      </c>
    </row>
    <row r="17" spans="1:13" ht="15.75" customHeight="1" x14ac:dyDescent="0.25">
      <c r="A17" s="154"/>
      <c r="B17" s="104" t="s">
        <v>135</v>
      </c>
      <c r="C17" s="91" t="s">
        <v>32</v>
      </c>
      <c r="D17" s="90" t="s">
        <v>128</v>
      </c>
      <c r="E17" s="224">
        <f>IFERROR(('EF Determination'!H19*$C$56/1000+IF($D17="Yes",'EF Determination'!H19/1000*$G$56*$G$67*$C$70,0)),)</f>
        <v>2.4161818672919667E-4</v>
      </c>
      <c r="F17" s="93">
        <f>IFERROR(('EF Determination'!H19*$C$57/1000+IF($D17="Yes",'EF Determination'!H19/1000*$G$57*$G$67*$C$71,0)),)</f>
        <v>2.5829705409669717E-4</v>
      </c>
      <c r="G17" s="93">
        <f>IFERROR(('EF Determination'!H19*$C$58/1000+IF($D17="Yes",'EF Determination'!H19/1000*$G$58*$G$67*$C$72,0)),)</f>
        <v>3.2411096316845597E-4</v>
      </c>
      <c r="H17" s="93">
        <f>IFERROR(('EF Determination'!H19*$C$59/1000+IF($D17="Yes",'EF Determination'!H19/1000*$G$59*$G$67*$C$73,0)),)</f>
        <v>5.7880177567218001E-4</v>
      </c>
      <c r="I17" s="89">
        <f>IFERROR(('EF Determination'!H19*$C$60/1000+IF($D17="Yes",'EF Determination'!H19/1000*$G$60*$G$67*$C$74,0)),)</f>
        <v>6.2613369657995178E-4</v>
      </c>
      <c r="J17" s="93">
        <f>IFERROR(('EF Determination'!G19*$C$61/1000+IF($D17="Yes",'EF Determination'!G19/1000*$G$61*$G$67*$C$75,0)),)</f>
        <v>5.9728324342383197E-4</v>
      </c>
      <c r="K17" s="93">
        <f>IFERROR(('EF Determination'!H19*$C$62/1000+IF($D17="Yes",'EF Determination'!H19/1000*$G$62*$G$67*$C$76,0)),)</f>
        <v>7.347717245682659E-4</v>
      </c>
      <c r="L17" s="93">
        <f>IFERROR(('EF Determination'!H19*$C$63/1000+IF($D17="Yes",'EF Determination'!H19/1000*$G$63*$G$67*$C$77,0)),)</f>
        <v>2.4161818672919667E-4</v>
      </c>
      <c r="M17" s="225">
        <f>IFERROR(('EF Determination'!H19*$C$64/1000+IF($D17="Yes",'EF Determination'!H19/1000*$G$64*$G$67*$C$78,0)),)</f>
        <v>4.652051654935279E-4</v>
      </c>
    </row>
    <row r="18" spans="1:13" ht="15.75" customHeight="1" x14ac:dyDescent="0.25">
      <c r="A18" s="154"/>
      <c r="B18" s="104" t="s">
        <v>136</v>
      </c>
      <c r="C18" s="91" t="s">
        <v>34</v>
      </c>
      <c r="D18" s="90" t="s">
        <v>128</v>
      </c>
      <c r="E18" s="224">
        <f>IFERROR(('EF Determination'!H20*$C$56/1000+IF($D18="Yes",'EF Determination'!H20/1000*$G$56*$G$67*$C$70,0)),)</f>
        <v>1.7905156769270895E-4</v>
      </c>
      <c r="F18" s="93">
        <f>IFERROR(('EF Determination'!H20*$C$57/1000+IF($D18="Yes",'EF Determination'!H20/1000*$G$57*$G$67*$C$71,0)),)</f>
        <v>1.9141147068642205E-4</v>
      </c>
      <c r="G18" s="93">
        <f>IFERROR(('EF Determination'!H20*$C$58/1000+IF($D18="Yes",'EF Determination'!H20/1000*$G$58*$G$67*$C$72,0)),)</f>
        <v>2.4018297979674951E-4</v>
      </c>
      <c r="H18" s="93">
        <f>IFERROR(('EF Determination'!H20*$C$59/1000+IF($D18="Yes",'EF Determination'!H20/1000*$G$59*$G$67*$C$73,0)),)</f>
        <v>4.2892203902507141E-4</v>
      </c>
      <c r="I18" s="89">
        <f>IFERROR(('EF Determination'!H20*$C$60/1000+IF($D18="Yes",'EF Determination'!H20/1000*$G$60*$G$67*$C$74,0)),)</f>
        <v>4.6399743941263568E-4</v>
      </c>
      <c r="J18" s="93">
        <f>IFERROR(('EF Determination'!G20*$C$61/1000+IF($D18="Yes",'EF Determination'!G20/1000*$G$61*$G$67*$C$75,0)),)</f>
        <v>4.5113610447077669E-4</v>
      </c>
      <c r="K18" s="93">
        <f>IFERROR(('EF Determination'!H20*$C$62/1000+IF($D18="Yes",'EF Determination'!H20/1000*$G$62*$G$67*$C$76,0)),)</f>
        <v>5.4450383458790226E-4</v>
      </c>
      <c r="L18" s="93">
        <f>IFERROR(('EF Determination'!H20*$C$63/1000+IF($D18="Yes",'EF Determination'!H20/1000*$G$63*$G$67*$C$77,0)),)</f>
        <v>1.7905156769270895E-4</v>
      </c>
      <c r="M18" s="225">
        <f>IFERROR(('EF Determination'!H20*$C$64/1000+IF($D18="Yes",'EF Determination'!H20/1000*$G$64*$G$67*$C$78,0)),)</f>
        <v>3.4474107809491717E-4</v>
      </c>
    </row>
    <row r="19" spans="1:13" ht="15.75" customHeight="1" x14ac:dyDescent="0.25">
      <c r="A19" s="154"/>
      <c r="B19" s="104" t="s">
        <v>137</v>
      </c>
      <c r="C19" s="91" t="s">
        <v>36</v>
      </c>
      <c r="D19" s="90" t="s">
        <v>128</v>
      </c>
      <c r="E19" s="224">
        <f>IFERROR(('EF Determination'!H21*$C$56/1000+IF($D19="Yes",'EF Determination'!H21/1000*$G$56*$G$67*$C$70,0)),)</f>
        <v>1.1916126300318169E-4</v>
      </c>
      <c r="F19" s="93">
        <f>IFERROR(('EF Determination'!H21*$C$57/1000+IF($D19="Yes",'EF Determination'!H21/1000*$G$57*$G$67*$C$71,0)),)</f>
        <v>1.273869472030282E-4</v>
      </c>
      <c r="G19" s="93">
        <f>IFERROR(('EF Determination'!H21*$C$58/1000+IF($D19="Yes",'EF Determination'!H21/1000*$G$58*$G$67*$C$72,0)),)</f>
        <v>1.5984505242404412E-4</v>
      </c>
      <c r="H19" s="93">
        <f>IFERROR(('EF Determination'!H21*$C$59/1000+IF($D19="Yes",'EF Determination'!H21/1000*$G$59*$G$67*$C$73,0)),)</f>
        <v>2.8545347331359195E-4</v>
      </c>
      <c r="I19" s="89">
        <f>IFERROR(('EF Determination'!H21*$C$60/1000+IF($D19="Yes",'EF Determination'!H21/1000*$G$60*$G$67*$C$74,0)),)</f>
        <v>3.0879663117802121E-4</v>
      </c>
      <c r="J19" s="93">
        <f>IFERROR(('EF Determination'!G21*$C$61/1000+IF($D19="Yes",'EF Determination'!G21/1000*$G$61*$G$67*$C$75,0)),)</f>
        <v>3.3729104193592558E-4</v>
      </c>
      <c r="K19" s="93">
        <f>IFERROR(('EF Determination'!H21*$C$62/1000+IF($D19="Yes",'EF Determination'!H21/1000*$G$62*$G$67*$C$76,0)),)</f>
        <v>3.6237473637161597E-4</v>
      </c>
      <c r="L19" s="93">
        <f>IFERROR(('EF Determination'!H21*$C$63/1000+IF($D19="Yes",'EF Determination'!H21/1000*$G$63*$G$67*$C$77,0)),)</f>
        <v>1.1916126300318169E-4</v>
      </c>
      <c r="M19" s="225">
        <f>IFERROR(('EF Determination'!H21*$C$64/1000+IF($D19="Yes",'EF Determination'!H21/1000*$G$64*$G$67*$C$78,0)),)</f>
        <v>2.2942989443896174E-4</v>
      </c>
    </row>
    <row r="20" spans="1:13" ht="15.75" customHeight="1" x14ac:dyDescent="0.25">
      <c r="A20" s="154"/>
      <c r="B20" s="104" t="s">
        <v>138</v>
      </c>
      <c r="C20" s="91" t="s">
        <v>38</v>
      </c>
      <c r="D20" s="90" t="s">
        <v>128</v>
      </c>
      <c r="E20" s="224">
        <f>IFERROR(('EF Determination'!H22*$C$56/1000+IF($D20="Yes",'EF Determination'!H22/1000*$G$56*$G$67*$C$70,0)),)</f>
        <v>7.1114229680510705E-5</v>
      </c>
      <c r="F20" s="93">
        <f>IFERROR(('EF Determination'!H22*$C$57/1000+IF($D20="Yes",'EF Determination'!H22/1000*$G$57*$G$67*$C$71,0)),)</f>
        <v>7.6023234341292235E-5</v>
      </c>
      <c r="G20" s="93">
        <f>IFERROR(('EF Determination'!H22*$C$58/1000+IF($D20="Yes",'EF Determination'!H22/1000*$G$58*$G$67*$C$72,0)),)</f>
        <v>9.5393901381132847E-5</v>
      </c>
      <c r="H20" s="93">
        <f>IFERROR(('EF Determination'!H22*$C$59/1000+IF($D20="Yes",'EF Determination'!H22/1000*$G$59*$G$67*$C$73,0)),)</f>
        <v>1.7035572930928315E-4</v>
      </c>
      <c r="I20" s="89">
        <f>IFERROR(('EF Determination'!H22*$C$60/1000+IF($D20="Yes",'EF Determination'!H22/1000*$G$60*$G$67*$C$74,0)),)</f>
        <v>1.8428668848177125E-4</v>
      </c>
      <c r="J20" s="93">
        <f>IFERROR(('EF Determination'!G22*$C$61/1000+IF($D20="Yes",'EF Determination'!G22/1000*$G$61*$G$67*$C$75,0)),)</f>
        <v>1.7884167779396408E-4</v>
      </c>
      <c r="K20" s="93">
        <f>IFERROR(('EF Determination'!H22*$C$62/1000+IF($D20="Yes",'EF Determination'!H22/1000*$G$62*$G$67*$C$76,0)),)</f>
        <v>2.1626155667767247E-4</v>
      </c>
      <c r="L20" s="93">
        <f>IFERROR(('EF Determination'!H22*$C$63/1000+IF($D20="Yes",'EF Determination'!H22/1000*$G$63*$G$67*$C$77,0)),)</f>
        <v>7.1114229680510705E-5</v>
      </c>
      <c r="M20" s="225">
        <f>IFERROR(('EF Determination'!H22*$C$64/1000+IF($D20="Yes",'EF Determination'!H22/1000*$G$64*$G$67*$C$78,0)),)</f>
        <v>1.3692142729531165E-4</v>
      </c>
    </row>
    <row r="21" spans="1:13" ht="15.75" customHeight="1" x14ac:dyDescent="0.25">
      <c r="A21" s="154"/>
      <c r="B21" s="104" t="s">
        <v>39</v>
      </c>
      <c r="C21" s="91" t="s">
        <v>40</v>
      </c>
      <c r="D21" s="90" t="s">
        <v>131</v>
      </c>
      <c r="E21" s="224">
        <f>IFERROR(('EF Determination'!H23*$C$56/1000+IF($D21="Yes",'EF Determination'!H23/1000*$G$56*$G$67*$C$70,0)),)</f>
        <v>2.557173604282522E-5</v>
      </c>
      <c r="F21" s="93">
        <f>IFERROR(('EF Determination'!H23*$C$57/1000+IF($D21="Yes",'EF Determination'!H23/1000*$G$57*$G$67*$C$71,0)),)</f>
        <v>2.7336949165184421E-5</v>
      </c>
      <c r="G21" s="93">
        <f>IFERROR(('EF Determination'!H23*$C$58/1000+IF($D21="Yes",'EF Determination'!H23/1000*$G$58*$G$67*$C$72,0)),)</f>
        <v>3.4302384729088307E-5</v>
      </c>
      <c r="H21" s="93">
        <f>IFERROR(('EF Determination'!H23*$C$59/1000+IF($D21="Yes",'EF Determination'!H23/1000*$G$59*$G$67*$C$73,0)),)</f>
        <v>6.1257666192141003E-5</v>
      </c>
      <c r="I21" s="89">
        <f>IFERROR(('EF Determination'!H23*$C$60/1000+IF($D21="Yes",'EF Determination'!H23/1000*$G$60*$G$67*$C$74,0)),)</f>
        <v>6.6267054782619841E-5</v>
      </c>
      <c r="J21" s="93">
        <f>IFERROR(('EF Determination'!G23*$C$61/1000+IF($D21="Yes",'EF Determination'!G23/1000*$G$61*$G$67*$C$75,0)),)</f>
        <v>0</v>
      </c>
      <c r="K21" s="93">
        <f>IFERROR(('EF Determination'!H23*$C$62/1000+IF($D21="Yes",'EF Determination'!H23/1000*$G$62*$G$67*$C$76,0)),)</f>
        <v>7.7764794309337891E-5</v>
      </c>
      <c r="L21" s="93">
        <f>IFERROR(('EF Determination'!H23*$C$63/1000+IF($D21="Yes",'EF Determination'!H23/1000*$G$63*$G$67*$C$77,0)),)</f>
        <v>2.557173604282522E-5</v>
      </c>
      <c r="M21" s="225">
        <f>IFERROR(('EF Determination'!H23*$C$64/1000+IF($D21="Yes",'EF Determination'!H23/1000*$G$64*$G$67*$C$78,0)),)</f>
        <v>4.9235133574991839E-5</v>
      </c>
    </row>
    <row r="22" spans="1:13" x14ac:dyDescent="0.25">
      <c r="A22" s="154"/>
      <c r="B22" s="104" t="s">
        <v>41</v>
      </c>
      <c r="C22" s="91" t="s">
        <v>42</v>
      </c>
      <c r="D22" s="90" t="s">
        <v>131</v>
      </c>
      <c r="E22" s="224">
        <f>IFERROR(('EF Determination'!H24*$C$56/1000+IF($D22="Yes",'EF Determination'!H24/1000*$G$56*$G$67*$C$70,0)),)</f>
        <v>4.3297166538910426E-4</v>
      </c>
      <c r="F22" s="93">
        <f>IFERROR(('EF Determination'!H24*$C$57/1000+IF($D22="Yes",'EF Determination'!H24/1000*$G$57*$G$67*$C$71,0)),)</f>
        <v>4.6285963482827749E-4</v>
      </c>
      <c r="G22" s="93">
        <f>IFERROR(('EF Determination'!H24*$C$58/1000+IF($D22="Yes",'EF Determination'!H24/1000*$G$58*$G$67*$C$72,0)),)</f>
        <v>5.8079594666933954E-4</v>
      </c>
      <c r="H22" s="93">
        <f>IFERROR(('EF Determination'!H24*$C$59/1000+IF($D22="Yes",'EF Determination'!H24/1000*$G$59*$G$67*$C$73,0)),)</f>
        <v>1.0371933178350929E-3</v>
      </c>
      <c r="I22" s="89">
        <f>IFERROR(('EF Determination'!H24*$C$60/1000+IF($D22="Yes",'EF Determination'!H24/1000*$G$60*$G$67*$C$74,0)),)</f>
        <v>1.1220105284057199E-3</v>
      </c>
      <c r="J22" s="93">
        <f>IFERROR(('EF Determination'!G24*$C$61/1000+IF($D22="Yes",'EF Determination'!G24/1000*$G$61*$G$67*$C$75,0)),)</f>
        <v>0</v>
      </c>
      <c r="K22" s="93">
        <f>IFERROR(('EF Determination'!H24*$C$62/1000+IF($D22="Yes",'EF Determination'!H24/1000*$G$62*$G$67*$C$76,0)),)</f>
        <v>1.3166862212392536E-3</v>
      </c>
      <c r="L22" s="93">
        <f>IFERROR(('EF Determination'!H24*$C$63/1000+IF($D22="Yes",'EF Determination'!H24/1000*$G$63*$G$67*$C$77,0)),)</f>
        <v>4.3297166538910426E-4</v>
      </c>
      <c r="M22" s="225">
        <f>IFERROR(('EF Determination'!H24*$C$64/1000+IF($D22="Yes",'EF Determination'!H24/1000*$G$64*$G$67*$C$78,0)),)</f>
        <v>8.3363201246558873E-4</v>
      </c>
    </row>
    <row r="23" spans="1:13" x14ac:dyDescent="0.25">
      <c r="A23" s="154"/>
      <c r="B23" s="104" t="s">
        <v>43</v>
      </c>
      <c r="C23" s="91" t="s">
        <v>44</v>
      </c>
      <c r="D23" s="90" t="s">
        <v>128</v>
      </c>
      <c r="E23" s="224">
        <f>IFERROR(('EF Determination'!H25*$C$56/1000+IF($D23="Yes",'EF Determination'!H25/1000*$G$56*$G$67*$C$70,0)),)</f>
        <v>1.0895093333333334E-3</v>
      </c>
      <c r="F23" s="93">
        <f>IFERROR(('EF Determination'!H25*$C$57/1000+IF($D23="Yes",'EF Determination'!H25/1000*$G$57*$G$67*$C$71,0)),)</f>
        <v>1.1647180000000001E-3</v>
      </c>
      <c r="G23" s="93">
        <f>IFERROR(('EF Determination'!H25*$C$58/1000+IF($D23="Yes",'EF Determination'!H25/1000*$G$58*$G$67*$C$72,0)),)</f>
        <v>1.4614873333333336E-3</v>
      </c>
      <c r="H23" s="93">
        <f>IFERROR(('EF Determination'!H25*$C$59/1000+IF($D23="Yes",'EF Determination'!H25/1000*$G$59*$G$67*$C$73,0)),)</f>
        <v>2.6099439999999999E-3</v>
      </c>
      <c r="I23" s="89">
        <f>IFERROR(('EF Determination'!H25*$C$60/1000+IF($D23="Yes",'EF Determination'!H25/1000*$G$60*$G$67*$C$74,0)),)</f>
        <v>2.823374E-3</v>
      </c>
      <c r="J23" s="93">
        <f>IFERROR(('EF Determination'!G25*$C$61/1000+IF($D23="Yes",'EF Determination'!G25/1000*$G$61*$G$67*$C$75,0)),)</f>
        <v>3.5266766666666666E-3</v>
      </c>
      <c r="K23" s="93">
        <f>IFERROR(('EF Determination'!H25*$C$62/1000+IF($D23="Yes",'EF Determination'!H25/1000*$G$62*$G$67*$C$76,0)),)</f>
        <v>3.3132466666666669E-3</v>
      </c>
      <c r="L23" s="93">
        <f>IFERROR(('EF Determination'!H25*$C$63/1000+IF($D23="Yes",'EF Determination'!H25/1000*$G$63*$G$67*$C$77,0)),)</f>
        <v>1.0895093333333334E-3</v>
      </c>
      <c r="M23" s="225">
        <f>IFERROR(('EF Determination'!H25*$C$64/1000+IF($D23="Yes",'EF Determination'!H25/1000*$G$64*$G$67*$C$78,0)),)</f>
        <v>2.0977119999999998E-3</v>
      </c>
    </row>
    <row r="24" spans="1:13" x14ac:dyDescent="0.25">
      <c r="A24" s="154"/>
      <c r="B24" s="104" t="s">
        <v>139</v>
      </c>
      <c r="C24" s="91" t="s">
        <v>46</v>
      </c>
      <c r="D24" s="90" t="s">
        <v>128</v>
      </c>
      <c r="E24" s="224">
        <f>IFERROR(('EF Determination'!H26*$C$56/1000+IF($D24="Yes",'EF Determination'!H26/1000*$G$56*$G$67*$C$70,0)),)</f>
        <v>3.649851535895699E-4</v>
      </c>
      <c r="F24" s="93">
        <f>IFERROR(('EF Determination'!H26*$C$57/1000+IF($D24="Yes",'EF Determination'!H26/1000*$G$57*$G$67*$C$71,0)),)</f>
        <v>3.9018002426646184E-4</v>
      </c>
      <c r="G24" s="93">
        <f>IFERROR(('EF Determination'!H26*$C$58/1000+IF($D24="Yes",'EF Determination'!H26/1000*$G$58*$G$67*$C$72,0)),)</f>
        <v>4.895976220725761E-4</v>
      </c>
      <c r="H24" s="93">
        <f>IFERROR(('EF Determination'!H26*$C$59/1000+IF($D24="Yes",'EF Determination'!H26/1000*$G$59*$G$67*$C$73,0)),)</f>
        <v>8.7433010673322337E-4</v>
      </c>
      <c r="I24" s="89">
        <f>IFERROR(('EF Determination'!H26*$C$60/1000+IF($D24="Yes",'EF Determination'!H26/1000*$G$60*$G$67*$C$74,0)),)</f>
        <v>9.4582906405953841E-4</v>
      </c>
      <c r="J24" s="93">
        <f>IFERROR(('EF Determination'!G26*$C$61/1000+IF($D24="Yes",'EF Determination'!G26/1000*$G$61*$G$67*$C$75,0)),)</f>
        <v>1.120402180172596E-3</v>
      </c>
      <c r="K24" s="93">
        <f>IFERROR(('EF Determination'!H26*$C$62/1000+IF($D24="Yes",'EF Determination'!H26/1000*$G$62*$G$67*$C$76,0)),)</f>
        <v>1.1099361946846995E-3</v>
      </c>
      <c r="L24" s="93">
        <f>IFERROR(('EF Determination'!H26*$C$63/1000+IF($D24="Yes",'EF Determination'!H26/1000*$G$63*$G$67*$C$77,0)),)</f>
        <v>3.649851535895699E-4</v>
      </c>
      <c r="M24" s="225">
        <f>IFERROR(('EF Determination'!H26*$C$64/1000+IF($D24="Yes",'EF Determination'!H26/1000*$G$64*$G$67*$C$78,0)),)</f>
        <v>7.0273260915006738E-4</v>
      </c>
    </row>
    <row r="25" spans="1:13" x14ac:dyDescent="0.25">
      <c r="A25" s="154"/>
      <c r="B25" s="104" t="s">
        <v>47</v>
      </c>
      <c r="C25" s="91" t="s">
        <v>48</v>
      </c>
      <c r="D25" s="90" t="s">
        <v>131</v>
      </c>
      <c r="E25" s="224">
        <f>IFERROR(('EF Determination'!H27*$C$56/1000+IF($D25="Yes",'EF Determination'!H27/1000*$G$56*$G$67*$C$70,0)),)</f>
        <v>8.4426098512783971E-5</v>
      </c>
      <c r="F25" s="93">
        <f>IFERROR(('EF Determination'!H27*$C$57/1000+IF($D25="Yes",'EF Determination'!H27/1000*$G$57*$G$67*$C$71,0)),)</f>
        <v>9.0254019492211224E-5</v>
      </c>
      <c r="G25" s="93">
        <f>IFERROR(('EF Determination'!H27*$C$58/1000+IF($D25="Yes",'EF Determination'!H27/1000*$G$58*$G$67*$C$72,0)),)</f>
        <v>1.1325068065427552E-4</v>
      </c>
      <c r="H25" s="93">
        <f>IFERROR(('EF Determination'!H27*$C$59/1000+IF($D25="Yes",'EF Determination'!H27/1000*$G$59*$G$67*$C$73,0)),)</f>
        <v>2.0224460912390786E-4</v>
      </c>
      <c r="I25" s="89">
        <f>IFERROR(('EF Determination'!H27*$C$60/1000+IF($D25="Yes",'EF Determination'!H27/1000*$G$60*$G$67*$C$74,0)),)</f>
        <v>2.1878330379525545E-4</v>
      </c>
      <c r="J25" s="93">
        <f>IFERROR(('EF Determination'!G27*$C$61/1000+IF($D25="Yes",'EF Determination'!G27/1000*$G$61*$G$67*$C$75,0)),)</f>
        <v>0</v>
      </c>
      <c r="K25" s="93">
        <f>IFERROR(('EF Determination'!H27*$C$62/1000+IF($D25="Yes",'EF Determination'!H27/1000*$G$62*$G$67*$C$76,0)),)</f>
        <v>2.5674354585044376E-4</v>
      </c>
      <c r="L25" s="93">
        <f>IFERROR(('EF Determination'!H27*$C$63/1000+IF($D25="Yes",'EF Determination'!H27/1000*$G$63*$G$67*$C$77,0)),)</f>
        <v>8.4426098512783971E-5</v>
      </c>
      <c r="M25" s="225">
        <f>IFERROR(('EF Determination'!H27*$C$64/1000+IF($D25="Yes",'EF Determination'!H27/1000*$G$64*$G$67*$C$78,0)),)</f>
        <v>1.6255174191267361E-4</v>
      </c>
    </row>
    <row r="26" spans="1:13" x14ac:dyDescent="0.25">
      <c r="A26" s="154"/>
      <c r="B26" s="104" t="s">
        <v>49</v>
      </c>
      <c r="C26" s="91" t="s">
        <v>50</v>
      </c>
      <c r="D26" s="90" t="s">
        <v>131</v>
      </c>
      <c r="E26" s="224">
        <f>IFERROR(('EF Determination'!H28*$C$56/1000+IF($D26="Yes",'EF Determination'!H28/1000*$G$56*$G$67*$C$70,0)),)</f>
        <v>2.6914447162497018E-3</v>
      </c>
      <c r="F26" s="93">
        <f>IFERROR(('EF Determination'!H28*$C$57/1000+IF($D26="Yes",'EF Determination'!H28/1000*$G$57*$G$67*$C$71,0)),)</f>
        <v>2.8772347433042526E-3</v>
      </c>
      <c r="G26" s="93">
        <f>IFERROR(('EF Determination'!H28*$C$58/1000+IF($D26="Yes",'EF Determination'!H28/1000*$G$58*$G$67*$C$72,0)),)</f>
        <v>3.6103521473573432E-3</v>
      </c>
      <c r="H26" s="93">
        <f>IFERROR(('EF Determination'!H28*$C$59/1000+IF($D26="Yes",'EF Determination'!H28/1000*$G$59*$G$67*$C$73,0)),)</f>
        <v>6.4474160740011516E-3</v>
      </c>
      <c r="I26" s="89">
        <f>IFERROR(('EF Determination'!H28*$C$60/1000+IF($D26="Yes",'EF Determination'!H28/1000*$G$60*$G$67*$C$74,0)),)</f>
        <v>6.9746580426694703E-3</v>
      </c>
      <c r="J26" s="93">
        <f>IFERROR(('EF Determination'!G28*$C$61/1000+IF($D26="Yes",'EF Determination'!G28/1000*$G$61*$G$67*$C$75,0)),)</f>
        <v>0</v>
      </c>
      <c r="K26" s="93">
        <f>IFERROR(('EF Determination'!H28*$C$62/1000+IF($D26="Yes",'EF Determination'!H28/1000*$G$62*$G$67*$C$76,0)),)</f>
        <v>8.1848038945653255E-3</v>
      </c>
      <c r="L26" s="93">
        <f>IFERROR(('EF Determination'!H28*$C$63/1000+IF($D26="Yes",'EF Determination'!H28/1000*$G$63*$G$67*$C$77,0)),)</f>
        <v>2.6914447162497018E-3</v>
      </c>
      <c r="M26" s="225">
        <f>IFERROR(('EF Determination'!H28*$C$64/1000+IF($D26="Yes",'EF Determination'!H28/1000*$G$64*$G$67*$C$78,0)),)</f>
        <v>5.1820353491971874E-3</v>
      </c>
    </row>
    <row r="27" spans="1:13" x14ac:dyDescent="0.25">
      <c r="A27" s="154"/>
      <c r="B27" s="106" t="s">
        <v>140</v>
      </c>
      <c r="C27" s="94" t="s">
        <v>52</v>
      </c>
      <c r="D27" s="219" t="s">
        <v>128</v>
      </c>
      <c r="E27" s="224">
        <f>IFERROR(('EF Determination'!H29*$C$56/1000+IF($D27="Yes",'EF Determination'!H29/1000*$G$56*$G$67*$C$70,0)),)</f>
        <v>5.6490332664351003E-6</v>
      </c>
      <c r="F27" s="93">
        <f>IFERROR(('EF Determination'!H29*$C$57/1000+IF($D27="Yes",'EF Determination'!H29/1000*$G$57*$G$67*$C$71,0)),)</f>
        <v>6.0389851896778208E-6</v>
      </c>
      <c r="G27" s="93">
        <f>IFERROR(('EF Determination'!H29*$C$58/1000+IF($D27="Yes",'EF Determination'!H29/1000*$G$58*$G$67*$C$72,0)),)</f>
        <v>7.5777144003112635E-6</v>
      </c>
      <c r="H27" s="93">
        <f>IFERROR(('EF Determination'!H29*$C$59/1000+IF($D27="Yes",'EF Determination'!H29/1000*$G$59*$G$67*$C$73,0)),)</f>
        <v>1.3532385660639309E-5</v>
      </c>
      <c r="I27" s="89">
        <f>IFERROR(('EF Determination'!H29*$C$60/1000+IF($D27="Yes",'EF Determination'!H29/1000*$G$60*$G$67*$C$74,0)),)</f>
        <v>1.4639005983355137E-5</v>
      </c>
      <c r="J27" s="93">
        <f>IFERROR(('EF Determination'!G29*$C$61/1000+IF($D27="Yes",'EF Determination'!G29/1000*$G$61*$G$67*$C$75,0)),)</f>
        <v>4.7081133499999994E-6</v>
      </c>
      <c r="K27" s="93">
        <f>IFERROR(('EF Determination'!H29*$C$62/1000+IF($D27="Yes",'EF Determination'!H29/1000*$G$62*$G$67*$C$76,0)),)</f>
        <v>1.7178963105017189E-5</v>
      </c>
      <c r="L27" s="93">
        <f>IFERROR(('EF Determination'!H29*$C$63/1000+IF($D27="Yes",'EF Determination'!H29/1000*$G$63*$G$67*$C$77,0)),)</f>
        <v>5.6490332664351003E-6</v>
      </c>
      <c r="M27" s="225">
        <f>IFERROR(('EF Determination'!H29*$C$64/1000+IF($D27="Yes",'EF Determination'!H29/1000*$G$64*$G$67*$C$78,0)),)</f>
        <v>1.0876496886121313E-5</v>
      </c>
    </row>
    <row r="28" spans="1:13" x14ac:dyDescent="0.25">
      <c r="A28" s="154"/>
      <c r="B28" s="107" t="s">
        <v>113</v>
      </c>
      <c r="C28" s="95">
        <v>200</v>
      </c>
      <c r="D28" s="220" t="s">
        <v>128</v>
      </c>
      <c r="E28" s="237">
        <f>IFERROR(('EF Determination'!D67/1000*$C$56+IF($D28="Yes",'EF Determination'!D67/1000*$G$56*$G$67*$C$70,0)),)</f>
        <v>127.36364106666667</v>
      </c>
      <c r="F28" s="227">
        <f>IFERROR(('EF Determination'!E67/1000*$C$57+IF($D28="Yes",'EF Determination'!E67/1000*$G$57*$G$67*$C$71,0)),)</f>
        <v>136.15553420000001</v>
      </c>
      <c r="G28" s="227">
        <f>IFERROR(('EF Determination'!F67/1000*$C$58+IF($D28="Yes",'EF Determination'!F67/1000*$G$58*$G$67*$C$72,0)),)</f>
        <v>170.84786926666669</v>
      </c>
      <c r="H28" s="227">
        <f>IFERROR(('EF Determination'!G67/1000*$C$59+IF($D28="Yes",'EF Determination'!G67/1000*$G$59*$G$67*$C$73,0)),)</f>
        <v>305.10245359999993</v>
      </c>
      <c r="I28" s="227">
        <f>IFERROR(('EF Determination'!H67/1000*$C$60+IF($D28="Yes",'EF Determination'!H67/1000*$G$60*$G$67*$C$74,0)),)</f>
        <v>330.0524206</v>
      </c>
      <c r="J28" s="227">
        <f>IFERROR(('EF Determination'!I67/1000*$C$61+IF($D28="Yes",'EF Determination'!I67/1000*$G$61*$G$67*$C$75,0)),)</f>
        <v>299.33101461285679</v>
      </c>
      <c r="K28" s="227">
        <f>IFERROR(('EF Determination'!J67/1000*$C$62+IF($D28="Yes",'EF Determination'!J67/1000*$G$62*$G$67*$C$76,0)),)</f>
        <v>387.31853533333339</v>
      </c>
      <c r="L28" s="227">
        <f>IFERROR(('EF Determination'!K67/1000*$C$63+IF($D28="Yes",'EF Determination'!K67/1000*$G$63*$G$67*$C$77,0)),)</f>
        <v>1278.739901754386</v>
      </c>
      <c r="M28" s="249">
        <f>IFERROR(('EF Determination'!L67/1000*$C$64+IF($D28="Yes",'EF Determination'!L67/1000*$G$64*$G$67*$C$78,0)),)</f>
        <v>245.22253279999995</v>
      </c>
    </row>
    <row r="29" spans="1:13" x14ac:dyDescent="0.25">
      <c r="A29" s="154"/>
      <c r="B29" s="104" t="s">
        <v>53</v>
      </c>
      <c r="C29" s="91" t="s">
        <v>54</v>
      </c>
      <c r="D29" s="90" t="s">
        <v>128</v>
      </c>
      <c r="E29" s="224">
        <f>IFERROR(('EF Determination'!H30*$C$56/1000+IF($D29="Yes",'EF Determination'!H30/1000*$G$56*$G$67*$C$70,0)),)</f>
        <v>5.9378258666666663E-2</v>
      </c>
      <c r="F29" s="93">
        <f>IFERROR(('EF Determination'!H30*$C$57/1000+IF($D29="Yes",'EF Determination'!H30/1000*$G$57*$G$67*$C$71,0)),)</f>
        <v>6.3477130999999992E-2</v>
      </c>
      <c r="G29" s="93">
        <f>IFERROR(('EF Determination'!H30*$C$58/1000+IF($D29="Yes",'EF Determination'!H30/1000*$G$58*$G$67*$C$72,0)),)</f>
        <v>7.9651059666666676E-2</v>
      </c>
      <c r="H29" s="93">
        <f>IFERROR(('EF Determination'!H30*$C$59/1000+IF($D29="Yes",'EF Determination'!H30/1000*$G$59*$G$67*$C$73,0)),)</f>
        <v>0.14224194799999998</v>
      </c>
      <c r="I29" s="89">
        <f>IFERROR(('EF Determination'!H30*$C$60/1000+IF($D29="Yes",'EF Determination'!H30/1000*$G$60*$G$67*$C$74,0)),)</f>
        <v>0.15387388299999999</v>
      </c>
      <c r="J29" s="93">
        <f>IFERROR(('EF Determination'!G30*$C$61/1000+IF($D29="Yes",'EF Determination'!G30/1000*$G$61*$G$67*$C$75,0)),)</f>
        <v>0</v>
      </c>
      <c r="K29" s="93">
        <f>IFERROR(('EF Determination'!H30*$C$62/1000+IF($D29="Yes",'EF Determination'!H30/1000*$G$62*$G$67*$C$76,0)),)</f>
        <v>0.18057194333333332</v>
      </c>
      <c r="L29" s="93">
        <f>IFERROR(('EF Determination'!H30*$C$63/1000+IF($D29="Yes",'EF Determination'!H30/1000*$G$63*$G$67*$C$77,0)),)</f>
        <v>5.9378258666666663E-2</v>
      </c>
      <c r="M29" s="225">
        <f>IFERROR(('EF Determination'!H30*$C$64/1000+IF($D29="Yes",'EF Determination'!H30/1000*$G$64*$G$67*$C$78,0)),)</f>
        <v>0.114325304</v>
      </c>
    </row>
    <row r="30" spans="1:13" x14ac:dyDescent="0.25">
      <c r="A30" s="154"/>
      <c r="B30" s="107" t="s">
        <v>141</v>
      </c>
      <c r="C30" s="95" t="s">
        <v>56</v>
      </c>
      <c r="D30" s="90" t="s">
        <v>128</v>
      </c>
      <c r="E30" s="224">
        <f>IFERROR(('EF Determination'!H31*$C$56/1000+IF($D30="Yes",'EF Determination'!H31/1000*$G$56*$G$67*$C$70,0)),)</f>
        <v>2.0153376423926485E-3</v>
      </c>
      <c r="F30" s="93">
        <f>IFERROR(('EF Determination'!H31*$C$57/1000+IF($D30="Yes",'EF Determination'!H31/1000*$G$57*$G$67*$C$71,0)),)</f>
        <v>2.1544560990503503E-3</v>
      </c>
      <c r="G30" s="93">
        <f>IFERROR(('EF Determination'!H31*$C$58/1000+IF($D30="Yes",'EF Determination'!H31/1000*$G$58*$G$67*$C$72,0)),)</f>
        <v>2.7034100091050646E-3</v>
      </c>
      <c r="H30" s="93">
        <f>IFERROR(('EF Determination'!H31*$C$59/1000+IF($D30="Yes",'EF Determination'!H31/1000*$G$59*$G$67*$C$73,0)),)</f>
        <v>4.8277864418510468E-3</v>
      </c>
      <c r="I30" s="89">
        <f>IFERROR(('EF Determination'!H31*$C$60/1000+IF($D30="Yes",'EF Determination'!H31/1000*$G$60*$G$67*$C$74,0)),)</f>
        <v>5.2225820620958752E-3</v>
      </c>
      <c r="J30" s="93">
        <f>IFERROR(('EF Determination'!G31*$C$61/1000+IF($D30="Yes",'EF Determination'!G31/1000*$G$61*$G$67*$C$75,0)),)</f>
        <v>4.7124319289998141E-3</v>
      </c>
      <c r="K30" s="93">
        <f>IFERROR(('EF Determination'!H31*$C$62/1000+IF($D30="Yes",'EF Determination'!H31/1000*$G$62*$G$67*$C$76,0)),)</f>
        <v>6.1287320095149587E-3</v>
      </c>
      <c r="L30" s="93">
        <f>IFERROR(('EF Determination'!H31*$C$63/1000+IF($D30="Yes",'EF Determination'!H31/1000*$G$63*$G$67*$C$77,0)),)</f>
        <v>2.0153376423926485E-3</v>
      </c>
      <c r="M30" s="225">
        <f>IFERROR(('EF Determination'!H31*$C$64/1000+IF($D30="Yes",'EF Determination'!H31/1000*$G$64*$G$67*$C$78,0)),)</f>
        <v>3.880276953263458E-3</v>
      </c>
    </row>
    <row r="31" spans="1:13" x14ac:dyDescent="0.25">
      <c r="A31" s="154"/>
      <c r="B31" s="107" t="s">
        <v>142</v>
      </c>
      <c r="C31" s="95" t="s">
        <v>58</v>
      </c>
      <c r="D31" s="90" t="s">
        <v>128</v>
      </c>
      <c r="E31" s="224">
        <f>IFERROR(('EF Determination'!H32*$C$56/1000+IF($D31="Yes",'EF Determination'!H32/1000*$G$56*$G$67*$C$70,0)),)</f>
        <v>1.1899606111700428E-2</v>
      </c>
      <c r="F31" s="93">
        <f>IFERROR(('EF Determination'!H32*$C$57/1000+IF($D31="Yes",'EF Determination'!H32/1000*$G$57*$G$67*$C$71,0)),)</f>
        <v>1.2721034145530496E-2</v>
      </c>
      <c r="G31" s="93">
        <f>IFERROR(('EF Determination'!H32*$C$58/1000+IF($D31="Yes",'EF Determination'!H32/1000*$G$58*$G$67*$C$72,0)),)</f>
        <v>1.5962344765508601E-2</v>
      </c>
      <c r="H31" s="93">
        <f>IFERROR(('EF Determination'!H32*$C$59/1000+IF($D31="Yes",'EF Determination'!H32/1000*$G$59*$G$67*$C$73,0)),)</f>
        <v>2.8505772849670433E-2</v>
      </c>
      <c r="I31" s="89">
        <f>IFERROR(('EF Determination'!H32*$C$60/1000+IF($D31="Yes",'EF Determination'!H32/1000*$G$60*$G$67*$C$74,0)),)</f>
        <v>3.0836852405134136E-2</v>
      </c>
      <c r="J31" s="93">
        <f>IFERROR(('EF Determination'!G32*$C$61/1000+IF($D31="Yes",'EF Determination'!G32/1000*$G$61*$G$67*$C$75,0)),)</f>
        <v>2.7616682009457084E-2</v>
      </c>
      <c r="K31" s="93">
        <f>IFERROR(('EF Determination'!H32*$C$62/1000+IF($D31="Yes",'EF Determination'!H32/1000*$G$62*$G$67*$C$76,0)),)</f>
        <v>3.6187235003865115E-2</v>
      </c>
      <c r="L31" s="93">
        <f>IFERROR(('EF Determination'!H32*$C$63/1000+IF($D31="Yes",'EF Determination'!H32/1000*$G$63*$G$67*$C$77,0)),)</f>
        <v>1.1899606111700428E-2</v>
      </c>
      <c r="M31" s="225">
        <f>IFERROR(('EF Determination'!H32*$C$64/1000+IF($D31="Yes",'EF Determination'!H32/1000*$G$64*$G$67*$C$78,0)),)</f>
        <v>2.2911181916557541E-2</v>
      </c>
    </row>
    <row r="32" spans="1:13" x14ac:dyDescent="0.25">
      <c r="A32" s="154"/>
      <c r="B32" s="104" t="s">
        <v>59</v>
      </c>
      <c r="C32" s="91" t="s">
        <v>60</v>
      </c>
      <c r="D32" s="90" t="s">
        <v>128</v>
      </c>
      <c r="E32" s="229">
        <f>IFERROR(('EF Determination'!H33*$C$56/1000+IF($D32="Yes",'EF Determination'!H33/1000*$G$56*$G$68*$C$70,0)),)</f>
        <v>14.820738404598565</v>
      </c>
      <c r="F32" s="227">
        <f>IFERROR(('EF Determination'!H33*$C$57/1000+IF($D32="Yes",'EF Determination'!H33/1000*$G$57*$G$68*$C$71,0)),)</f>
        <v>15.843811764617495</v>
      </c>
      <c r="G32" s="227">
        <f>IFERROR(('EF Determination'!H33*$C$58/1000+IF($D32="Yes",'EF Determination'!H33/1000*$G$58*$G$68*$C$72,0)),)</f>
        <v>19.880803941989495</v>
      </c>
      <c r="H32" s="227">
        <f>IFERROR(('EF Determination'!H33*$C$59/1000+IF($D32="Yes",'EF Determination'!H33/1000*$G$59*$G$68*$C$73,0)),)</f>
        <v>35.503410655792081</v>
      </c>
      <c r="I32" s="230">
        <f>IFERROR(('EF Determination'!H33*$C$60/1000+IF($D32="Yes",'EF Determination'!H33/1000*$G$60*$G$68*$C$74,0)),)</f>
        <v>38.406726947737695</v>
      </c>
      <c r="J32" s="227">
        <f>IFERROR(('EF Determination'!G33*$C$61/1000+IF($D32="Yes",'EF Determination'!G33/1000*$G$61*$G$68*$C$75,0)),)</f>
        <v>40.427376613095305</v>
      </c>
      <c r="K32" s="227">
        <f>IFERROR(('EF Determination'!H33*$C$62/1000+IF($D32="Yes",'EF Determination'!H33/1000*$G$62*$G$68*$C$76,0)),)</f>
        <v>45.070529103536678</v>
      </c>
      <c r="L32" s="227">
        <f>IFERROR(('EF Determination'!H33*$C$63/1000+IF($D32="Yes",'EF Determination'!H33/1000*$G$63*$G$68*$C$77,0)),)</f>
        <v>14.820738404598565</v>
      </c>
      <c r="M32" s="228">
        <f>IFERROR(('EF Determination'!H33*$C$64/1000+IF($D32="Yes",'EF Determination'!H33/1000*$G$64*$G$68*$C$78,0)),)</f>
        <v>28.535451555122609</v>
      </c>
    </row>
    <row r="33" spans="1:13" x14ac:dyDescent="0.25">
      <c r="A33" s="154"/>
      <c r="B33" s="104" t="s">
        <v>61</v>
      </c>
      <c r="C33" s="91" t="s">
        <v>62</v>
      </c>
      <c r="D33" s="90" t="s">
        <v>128</v>
      </c>
      <c r="E33" s="224">
        <f>IFERROR(('EF Determination'!H34*$C$56/1000+IF($D33="Yes",'EF Determination'!H34/1000*$G$56*$G$67*$C$70,0)),)</f>
        <v>0.14653900533333333</v>
      </c>
      <c r="F33" s="93">
        <f>IFERROR(('EF Determination'!H34*$C$57/1000+IF($D33="Yes",'EF Determination'!H34/1000*$G$57*$G$67*$C$71,0)),)</f>
        <v>0.15665457099999999</v>
      </c>
      <c r="G33" s="93">
        <f>IFERROR(('EF Determination'!H34*$C$58/1000+IF($D33="Yes",'EF Determination'!H34/1000*$G$58*$G$67*$C$72,0)),)</f>
        <v>0.19657004633333336</v>
      </c>
      <c r="H33" s="93">
        <f>IFERROR(('EF Determination'!H34*$C$59/1000+IF($D33="Yes",'EF Determination'!H34/1000*$G$59*$G$67*$C$73,0)),)</f>
        <v>0.35103746800000002</v>
      </c>
      <c r="I33" s="89">
        <f>IFERROR(('EF Determination'!H34*$C$60/1000+IF($D33="Yes",'EF Determination'!H34/1000*$G$60*$G$67*$C$74,0)),)</f>
        <v>0.37974380299999999</v>
      </c>
      <c r="J33" s="93">
        <f>IFERROR(('EF Determination'!G34*$C$61/1000+IF($D33="Yes",'EF Determination'!G34/1000*$G$61*$G$67*$C$75,0)),)</f>
        <v>0</v>
      </c>
      <c r="K33" s="93">
        <f>IFERROR(('EF Determination'!H34*$C$62/1000+IF($D33="Yes",'EF Determination'!H34/1000*$G$62*$G$67*$C$76,0)),)</f>
        <v>0.4456316766666667</v>
      </c>
      <c r="L33" s="93">
        <f>IFERROR(('EF Determination'!H34*$C$63/1000+IF($D33="Yes",'EF Determination'!H34/1000*$G$63*$G$67*$C$77,0)),)</f>
        <v>0.14653900533333333</v>
      </c>
      <c r="M33" s="225">
        <f>IFERROR(('EF Determination'!H34*$C$64/1000+IF($D33="Yes",'EF Determination'!H34/1000*$G$64*$G$67*$C$78,0)),)</f>
        <v>0.28214226400000003</v>
      </c>
    </row>
    <row r="34" spans="1:13" x14ac:dyDescent="0.25">
      <c r="A34" s="154"/>
      <c r="B34" s="104" t="s">
        <v>143</v>
      </c>
      <c r="C34" s="91" t="s">
        <v>63</v>
      </c>
      <c r="D34" s="90" t="s">
        <v>131</v>
      </c>
      <c r="E34" s="224">
        <f>IFERROR(('EF Determination'!H35*$C$56/1000+IF($D34="Yes",'EF Determination'!H35/1000*$G$56*$G$67*$C$70,0)),)</f>
        <v>3.3845430360898026E-4</v>
      </c>
      <c r="F34" s="93">
        <f>IFERROR(('EF Determination'!H35*$C$57/1000+IF($D34="Yes",'EF Determination'!H35/1000*$G$57*$G$67*$C$71,0)),)</f>
        <v>3.6181775367154044E-4</v>
      </c>
      <c r="G34" s="93">
        <f>IFERROR(('EF Determination'!H35*$C$58/1000+IF($D34="Yes",'EF Determination'!H35/1000*$G$58*$G$67*$C$72,0)),)</f>
        <v>4.5400866472921053E-4</v>
      </c>
      <c r="H34" s="93">
        <f>IFERROR(('EF Determination'!H35*$C$59/1000+IF($D34="Yes",'EF Determination'!H35/1000*$G$59*$G$67*$C$73,0)),)</f>
        <v>8.107748616304676E-4</v>
      </c>
      <c r="I34" s="89">
        <f>IFERROR(('EF Determination'!H35*$C$60/1000+IF($D34="Yes",'EF Determination'!H35/1000*$G$60*$G$67*$C$74,0)),)</f>
        <v>8.7707654424043578E-4</v>
      </c>
      <c r="J34" s="93">
        <f>IFERROR(('EF Determination'!G35*$C$61/1000+IF($D34="Yes",'EF Determination'!G35/1000*$G$61*$G$67*$C$75,0)),)</f>
        <v>5.7466237051128225E-3</v>
      </c>
      <c r="K34" s="93">
        <f>IFERROR(('EF Determination'!H35*$C$62/1000+IF($D34="Yes",'EF Determination'!H35/1000*$G$62*$G$67*$C$76,0)),)</f>
        <v>1.0292546919452199E-3</v>
      </c>
      <c r="L34" s="93">
        <f>IFERROR(('EF Determination'!H35*$C$63/1000+IF($D34="Yes",'EF Determination'!H35/1000*$G$63*$G$67*$C$77,0)),)</f>
        <v>3.3845430360898026E-4</v>
      </c>
      <c r="M34" s="225">
        <f>IFERROR(('EF Determination'!H35*$C$64/1000+IF($D34="Yes",'EF Determination'!H35/1000*$G$64*$G$67*$C$78,0)),)</f>
        <v>6.5165082336654414E-4</v>
      </c>
    </row>
    <row r="35" spans="1:13" x14ac:dyDescent="0.25">
      <c r="A35" s="154"/>
      <c r="B35" s="104" t="s">
        <v>64</v>
      </c>
      <c r="C35" s="91" t="s">
        <v>65</v>
      </c>
      <c r="D35" s="90" t="s">
        <v>128</v>
      </c>
      <c r="E35" s="224">
        <f>IFERROR(('EF Determination'!H36*$C$56/1000+IF($D35="Yes",'EF Determination'!H36/1000*$G$56*$G$67*$C$70,0)),)</f>
        <v>1.014877944</v>
      </c>
      <c r="F35" s="93">
        <f>IFERROR(('EF Determination'!H36*$C$57/1000+IF($D35="Yes",'EF Determination'!H36/1000*$G$57*$G$67*$C$71,0)),)</f>
        <v>1.0849348169999999</v>
      </c>
      <c r="G35" s="93">
        <f>IFERROR(('EF Determination'!H36*$C$58/1000+IF($D35="Yes",'EF Determination'!H36/1000*$G$58*$G$67*$C$72,0)),)</f>
        <v>1.361375451</v>
      </c>
      <c r="H35" s="93">
        <f>IFERROR(('EF Determination'!H36*$C$59/1000+IF($D35="Yes",'EF Determination'!H36/1000*$G$59*$G$67*$C$73,0)),)</f>
        <v>2.4311628359999999</v>
      </c>
      <c r="I35" s="89">
        <f>IFERROR(('EF Determination'!H36*$C$60/1000+IF($D35="Yes",'EF Determination'!H36/1000*$G$60*$G$67*$C$74,0)),)</f>
        <v>2.629972881</v>
      </c>
      <c r="J35" s="93">
        <f>IFERROR(('EF Determination'!G36*$C$61/1000+IF($D35="Yes",'EF Determination'!G36/1000*$G$61*$G$67*$C$75,0)),)</f>
        <v>3.2850993149999996</v>
      </c>
      <c r="K35" s="93">
        <f>IFERROR(('EF Determination'!H36*$C$62/1000+IF($D35="Yes",'EF Determination'!H36/1000*$G$62*$G$67*$C$76,0)),)</f>
        <v>3.08628927</v>
      </c>
      <c r="L35" s="93">
        <f>IFERROR(('EF Determination'!H36*$C$63/1000+IF($D35="Yes",'EF Determination'!H36/1000*$G$63*$G$67*$C$77,0)),)</f>
        <v>1.014877944</v>
      </c>
      <c r="M35" s="225">
        <f>IFERROR(('EF Determination'!H36*$C$64/1000+IF($D35="Yes",'EF Determination'!H36/1000*$G$64*$G$67*$C$78,0)),)</f>
        <v>1.9540187279999999</v>
      </c>
    </row>
    <row r="36" spans="1:13" x14ac:dyDescent="0.25">
      <c r="A36" s="154"/>
      <c r="B36" s="107" t="s">
        <v>144</v>
      </c>
      <c r="C36" s="95" t="s">
        <v>67</v>
      </c>
      <c r="D36" s="90" t="s">
        <v>128</v>
      </c>
      <c r="E36" s="224">
        <f>IFERROR(('EF Determination'!H37*$C$56/1000+IF($D36="Yes",'EF Determination'!H37/1000*$G$56*$G$67*$C$70,0)),)</f>
        <v>5.8348528261401315E-5</v>
      </c>
      <c r="F36" s="93">
        <f>IFERROR(('EF Determination'!H37*$C$57/1000+IF($D36="Yes",'EF Determination'!H37/1000*$G$57*$G$67*$C$71,0)),)</f>
        <v>6.2376318458550275E-5</v>
      </c>
      <c r="G36" s="93">
        <f>IFERROR(('EF Determination'!H37*$C$58/1000+IF($D36="Yes",'EF Determination'!H37/1000*$G$58*$G$67*$C$72,0)),)</f>
        <v>7.8269760858111099E-5</v>
      </c>
      <c r="H36" s="93">
        <f>IFERROR(('EF Determination'!H37*$C$59/1000+IF($D36="Yes",'EF Determination'!H37/1000*$G$59*$G$67*$C$73,0)),)</f>
        <v>1.3977520576052106E-4</v>
      </c>
      <c r="I36" s="89">
        <f>IFERROR(('EF Determination'!H37*$C$60/1000+IF($D36="Yes",'EF Determination'!H37/1000*$G$60*$G$67*$C$74,0)),)</f>
        <v>1.5120542118486274E-4</v>
      </c>
      <c r="J36" s="93">
        <f>IFERROR(('EF Determination'!G37*$C$61/1000+IF($D36="Yes",'EF Determination'!G37/1000*$G$61*$G$67*$C$75,0)),)</f>
        <v>1.3843660519271194E-4</v>
      </c>
      <c r="K36" s="93">
        <f>IFERROR(('EF Determination'!H37*$C$62/1000+IF($D36="Yes",'EF Determination'!H37/1000*$G$62*$G$67*$C$76,0)),)</f>
        <v>1.7744048706358983E-4</v>
      </c>
      <c r="L36" s="93">
        <f>IFERROR(('EF Determination'!H37*$C$63/1000+IF($D36="Yes",'EF Determination'!H37/1000*$G$63*$G$67*$C$77,0)),)</f>
        <v>5.8348528261401315E-5</v>
      </c>
      <c r="M36" s="225">
        <f>IFERROR(('EF Determination'!H37*$C$64/1000+IF($D36="Yes",'EF Determination'!H37/1000*$G$64*$G$67*$C$78,0)),)</f>
        <v>1.1234268874210103E-4</v>
      </c>
    </row>
    <row r="37" spans="1:13" x14ac:dyDescent="0.25">
      <c r="A37" s="154"/>
      <c r="B37" s="104" t="s">
        <v>68</v>
      </c>
      <c r="C37" s="91" t="s">
        <v>69</v>
      </c>
      <c r="D37" s="90" t="s">
        <v>131</v>
      </c>
      <c r="E37" s="224">
        <f>IFERROR(('EF Determination'!H38*$C$56/1000+IF($D37="Yes",'EF Determination'!H38/1000*$G$56*$G$67*$C$70,0)),)</f>
        <v>1.9492794104189605E-3</v>
      </c>
      <c r="F37" s="93">
        <f>IFERROR(('EF Determination'!H38*$C$57/1000+IF($D37="Yes",'EF Determination'!H38/1000*$G$57*$G$67*$C$71,0)),)</f>
        <v>2.0838378771829559E-3</v>
      </c>
      <c r="G37" s="93">
        <f>IFERROR(('EF Determination'!H38*$C$58/1000+IF($D37="Yes",'EF Determination'!H38/1000*$G$58*$G$67*$C$72,0)),)</f>
        <v>2.6147983136030461E-3</v>
      </c>
      <c r="H37" s="93">
        <f>IFERROR(('EF Determination'!H38*$C$59/1000+IF($D37="Yes",'EF Determination'!H38/1000*$G$59*$G$67*$C$73,0)),)</f>
        <v>4.6695424682424358E-3</v>
      </c>
      <c r="I37" s="89">
        <f>IFERROR(('EF Determination'!H38*$C$60/1000+IF($D37="Yes",'EF Determination'!H38/1000*$G$60*$G$67*$C$74,0)),)</f>
        <v>5.0513975766267472E-3</v>
      </c>
      <c r="J37" s="93">
        <f>IFERROR(('EF Determination'!G38*$C$61/1000+IF($D37="Yes",'EF Determination'!G38/1000*$G$61*$G$67*$C$75,0)),)</f>
        <v>4.1293000000000007E-3</v>
      </c>
      <c r="K37" s="93">
        <f>IFERROR(('EF Determination'!H38*$C$62/1000+IF($D37="Yes",'EF Determination'!H38/1000*$G$62*$G$67*$C$76,0)),)</f>
        <v>5.9278459682516899E-3</v>
      </c>
      <c r="L37" s="93">
        <f>IFERROR(('EF Determination'!H38*$C$63/1000+IF($D37="Yes",'EF Determination'!H38/1000*$G$63*$G$67*$C$77,0)),)</f>
        <v>1.9492794104189605E-3</v>
      </c>
      <c r="M37" s="225">
        <f>IFERROR(('EF Determination'!H38*$C$64/1000+IF($D37="Yes",'EF Determination'!H38/1000*$G$64*$G$67*$C$78,0)),)</f>
        <v>3.7530902081200886E-3</v>
      </c>
    </row>
    <row r="38" spans="1:13" x14ac:dyDescent="0.25">
      <c r="A38" s="154"/>
      <c r="B38" s="104" t="s">
        <v>70</v>
      </c>
      <c r="C38" s="91" t="s">
        <v>71</v>
      </c>
      <c r="D38" s="90" t="s">
        <v>131</v>
      </c>
      <c r="E38" s="224">
        <f>IFERROR(('EF Determination'!H39*$C$56/1000+IF($D38="Yes",'EF Determination'!H39/1000*$G$56*$G$67*$C$70,0)),)</f>
        <v>2.2507317996560577E-3</v>
      </c>
      <c r="F38" s="93">
        <f>IFERROR(('EF Determination'!H39*$C$57/1000+IF($D38="Yes",'EF Determination'!H39/1000*$G$57*$G$67*$C$71,0)),)</f>
        <v>2.4060994798561965E-3</v>
      </c>
      <c r="G38" s="93">
        <f>IFERROR(('EF Determination'!H39*$C$58/1000+IF($D38="Yes",'EF Determination'!H39/1000*$G$58*$G$67*$C$72,0)),)</f>
        <v>3.019171947672959E-3</v>
      </c>
      <c r="H38" s="93">
        <f>IFERROR(('EF Determination'!H39*$C$59/1000+IF($D38="Yes",'EF Determination'!H39/1000*$G$59*$G$67*$C$73,0)),)</f>
        <v>5.3916784155939894E-3</v>
      </c>
      <c r="I38" s="89">
        <f>IFERROR(('EF Determination'!H39*$C$60/1000+IF($D38="Yes",'EF Determination'!H39/1000*$G$60*$G$67*$C$74,0)),)</f>
        <v>5.8325866972430305E-3</v>
      </c>
      <c r="J38" s="93">
        <f>IFERROR(('EF Determination'!G39*$C$61/1000+IF($D38="Yes",'EF Determination'!G39/1000*$G$61*$G$67*$C$75,0)),)</f>
        <v>3.6030226864815378E-3</v>
      </c>
      <c r="K38" s="93">
        <f>IFERROR(('EF Determination'!H39*$C$62/1000+IF($D38="Yes",'EF Determination'!H39/1000*$G$62*$G$67*$C$76,0)),)</f>
        <v>6.8445761817898772E-3</v>
      </c>
      <c r="L38" s="93">
        <f>IFERROR(('EF Determination'!H39*$C$63/1000+IF($D38="Yes",'EF Determination'!H39/1000*$G$63*$G$67*$C$77,0)),)</f>
        <v>2.2507317996560577E-3</v>
      </c>
      <c r="M38" s="225">
        <f>IFERROR(('EF Determination'!H39*$C$64/1000+IF($D38="Yes",'EF Determination'!H39/1000*$G$64*$G$67*$C$78,0)),)</f>
        <v>4.3334985396362912E-3</v>
      </c>
    </row>
    <row r="39" spans="1:13" x14ac:dyDescent="0.25">
      <c r="A39" s="154"/>
      <c r="B39" s="104" t="s">
        <v>72</v>
      </c>
      <c r="C39" s="91" t="s">
        <v>73</v>
      </c>
      <c r="D39" s="90" t="s">
        <v>131</v>
      </c>
      <c r="E39" s="224">
        <f>IFERROR(('EF Determination'!H40*$C$56/1000+IF($D39="Yes",'EF Determination'!H40/1000*$G$56*$G$67*$C$70,0)),)</f>
        <v>8.0975323823854846E-5</v>
      </c>
      <c r="F39" s="93">
        <f>IFERROR(('EF Determination'!H40*$C$57/1000+IF($D39="Yes",'EF Determination'!H40/1000*$G$57*$G$67*$C$71,0)),)</f>
        <v>8.656503834154631E-5</v>
      </c>
      <c r="G39" s="93">
        <f>IFERROR(('EF Determination'!H40*$C$58/1000+IF($D39="Yes",'EF Determination'!H40/1000*$G$58*$G$67*$C$72,0)),)</f>
        <v>1.0862174968162619E-4</v>
      </c>
      <c r="H39" s="93">
        <f>IFERROR(('EF Determination'!H40*$C$59/1000+IF($D39="Yes",'EF Determination'!H40/1000*$G$59*$G$67*$C$73,0)),)</f>
        <v>1.9397820110042842E-4</v>
      </c>
      <c r="I39" s="89">
        <f>IFERROR(('EF Determination'!H40*$C$60/1000+IF($D39="Yes",'EF Determination'!H40/1000*$G$60*$G$67*$C$74,0)),)</f>
        <v>2.0984090446144474E-4</v>
      </c>
      <c r="J39" s="93">
        <f>IFERROR(('EF Determination'!G40*$C$61/1000+IF($D39="Yes",'EF Determination'!G40/1000*$G$61*$G$67*$C$75,0)),)</f>
        <v>2.2207999999999999E-4</v>
      </c>
      <c r="K39" s="93">
        <f>IFERROR(('EF Determination'!H40*$C$62/1000+IF($D39="Yes",'EF Determination'!H40/1000*$G$62*$G$67*$C$76,0)),)</f>
        <v>2.4624958550911079E-4</v>
      </c>
      <c r="L39" s="93">
        <f>IFERROR(('EF Determination'!H40*$C$63/1000+IF($D39="Yes",'EF Determination'!H40/1000*$G$63*$G$67*$C$77,0)),)</f>
        <v>8.0975323823854846E-5</v>
      </c>
      <c r="M39" s="225">
        <f>IFERROR(('EF Determination'!H40*$C$64/1000+IF($D39="Yes",'EF Determination'!H40/1000*$G$64*$G$67*$C$78,0)),)</f>
        <v>1.5590771303398916E-4</v>
      </c>
    </row>
    <row r="40" spans="1:13" x14ac:dyDescent="0.25">
      <c r="A40" s="154"/>
      <c r="B40" s="104" t="s">
        <v>145</v>
      </c>
      <c r="C40" s="91" t="s">
        <v>75</v>
      </c>
      <c r="D40" s="90" t="s">
        <v>128</v>
      </c>
      <c r="E40" s="224">
        <f>IFERROR(('EF Determination'!H41*$C$56/1000+IF($D40="Yes",'EF Determination'!H41/1000*$G$56*$G$67*$C$70,0)),)</f>
        <v>6.6993424543340271E-2</v>
      </c>
      <c r="F40" s="93">
        <f>IFERROR(('EF Determination'!H41*$C$57/1000+IF($D40="Yes",'EF Determination'!H41/1000*$G$57*$G$67*$C$71,0)),)</f>
        <v>7.1617970640548465E-2</v>
      </c>
      <c r="G40" s="93">
        <f>IFERROR(('EF Determination'!H41*$C$58/1000+IF($D40="Yes",'EF Determination'!H41/1000*$G$58*$G$67*$C$72,0)),)</f>
        <v>8.986617956466729E-2</v>
      </c>
      <c r="H40" s="93">
        <f>IFERROR(('EF Determination'!H41*$C$59/1000+IF($D40="Yes",'EF Determination'!H41/1000*$G$59*$G$67*$C$73,0)),)</f>
        <v>0.16048424834635991</v>
      </c>
      <c r="I40" s="89">
        <f>IFERROR(('EF Determination'!H41*$C$60/1000+IF($D40="Yes",'EF Determination'!H41/1000*$G$60*$G$67*$C$74,0)),)</f>
        <v>0.17360796024384262</v>
      </c>
      <c r="J40" s="93">
        <f>IFERROR(('EF Determination'!G41*$C$61/1000+IF($D40="Yes",'EF Determination'!G41/1000*$G$61*$G$67*$C$75,0)),)</f>
        <v>0.15514491659475077</v>
      </c>
      <c r="K40" s="93">
        <f>IFERROR(('EF Determination'!H41*$C$62/1000+IF($D40="Yes",'EF Determination'!H41/1000*$G$62*$G$67*$C$76,0)),)</f>
        <v>0.20373000374187436</v>
      </c>
      <c r="L40" s="93">
        <f>IFERROR(('EF Determination'!H41*$C$63/1000+IF($D40="Yes",'EF Determination'!H41/1000*$G$63*$G$67*$C$77,0)),)</f>
        <v>6.6993424543340271E-2</v>
      </c>
      <c r="M40" s="225">
        <f>IFERROR(('EF Determination'!H41*$C$64/1000+IF($D40="Yes",'EF Determination'!H41/1000*$G$64*$G$67*$C$78,0)),)</f>
        <v>0.12898733979240143</v>
      </c>
    </row>
    <row r="41" spans="1:13" x14ac:dyDescent="0.25">
      <c r="A41" s="154"/>
      <c r="B41" s="104" t="s">
        <v>146</v>
      </c>
      <c r="C41" s="91" t="s">
        <v>77</v>
      </c>
      <c r="D41" s="90" t="s">
        <v>128</v>
      </c>
      <c r="E41" s="224">
        <f>IFERROR(('EF Determination'!H42*$C$56/1000+IF($D41="Yes",'EF Determination'!H42/1000*$G$56*$G$67*$C$70,0)),)</f>
        <v>0.14355588037176018</v>
      </c>
      <c r="F41" s="93">
        <f>IFERROR(('EF Determination'!H42*$C$57/1000+IF($D41="Yes",'EF Determination'!H42/1000*$G$57*$G$67*$C$71,0)),)</f>
        <v>0.15346552136757199</v>
      </c>
      <c r="G41" s="93">
        <f>IFERROR(('EF Determination'!H42*$C$58/1000+IF($D41="Yes",'EF Determination'!H42/1000*$G$58*$G$67*$C$72,0)),)</f>
        <v>0.19256842908077532</v>
      </c>
      <c r="H41" s="93">
        <f>IFERROR(('EF Determination'!H42*$C$59/1000+IF($D41="Yes",'EF Determination'!H42/1000*$G$59*$G$67*$C$73,0)),)</f>
        <v>0.34389132536817174</v>
      </c>
      <c r="I41" s="89">
        <f>IFERROR(('EF Determination'!H42*$C$60/1000+IF($D41="Yes",'EF Determination'!H42/1000*$G$60*$G$67*$C$74,0)),)</f>
        <v>0.37201327954547553</v>
      </c>
      <c r="J41" s="93">
        <f>IFERROR(('EF Determination'!G42*$C$61/1000+IF($D41="Yes",'EF Determination'!G42/1000*$G$61*$G$67*$C$75,0)),)</f>
        <v>0.29979421553913449</v>
      </c>
      <c r="K41" s="93">
        <f>IFERROR(('EF Determination'!H42*$C$62/1000+IF($D41="Yes",'EF Determination'!H42/1000*$G$62*$G$67*$C$76,0)),)</f>
        <v>0.43655986008576325</v>
      </c>
      <c r="L41" s="93">
        <f>IFERROR(('EF Determination'!H42*$C$63/1000+IF($D41="Yes",'EF Determination'!H42/1000*$G$63*$G$67*$C$77,0)),)</f>
        <v>0.14355588037176018</v>
      </c>
      <c r="M41" s="225">
        <f>IFERROR(('EF Determination'!H42*$C$64/1000+IF($D41="Yes",'EF Determination'!H42/1000*$G$64*$G$67*$C$78,0)),)</f>
        <v>0.2763986353426427</v>
      </c>
    </row>
    <row r="42" spans="1:13" x14ac:dyDescent="0.25">
      <c r="A42" s="154"/>
      <c r="B42" s="104" t="s">
        <v>78</v>
      </c>
      <c r="C42" s="91">
        <v>365</v>
      </c>
      <c r="D42" s="90" t="s">
        <v>131</v>
      </c>
      <c r="E42" s="224">
        <f>IFERROR(('EF Determination'!H43*$C$56/1000+IF($D42="Yes",'EF Determination'!H43/1000*$G$56*$G$67*$C$70,0)),)</f>
        <v>9.767492695400672E-4</v>
      </c>
      <c r="F42" s="93">
        <f>IFERROR(('EF Determination'!H43*$C$57/1000+IF($D42="Yes",'EF Determination'!H43/1000*$G$57*$G$67*$C$71,0)),)</f>
        <v>1.0441741258329449E-3</v>
      </c>
      <c r="G42" s="93">
        <f>IFERROR(('EF Determination'!H43*$C$58/1000+IF($D42="Yes",'EF Determination'!H43/1000*$G$58*$G$67*$C$72,0)),)</f>
        <v>1.3102289641778141E-3</v>
      </c>
      <c r="H42" s="93">
        <f>IFERROR(('EF Determination'!H43*$C$59/1000+IF($D42="Yes",'EF Determination'!H43/1000*$G$59*$G$67*$C$73,0)),)</f>
        <v>2.3398247427041906E-3</v>
      </c>
      <c r="I42" s="89">
        <f>IFERROR(('EF Determination'!H43*$C$60/1000+IF($D42="Yes",'EF Determination'!H43/1000*$G$60*$G$67*$C$74,0)),)</f>
        <v>2.5311655511028978E-3</v>
      </c>
      <c r="J42" s="93">
        <f>IFERROR(('EF Determination'!G43*$C$61/1000+IF($D42="Yes",'EF Determination'!G43/1000*$G$61*$G$67*$C$75,0)),)</f>
        <v>3.2292396248204251E-3</v>
      </c>
      <c r="K42" s="93">
        <f>IFERROR(('EF Determination'!H43*$C$62/1000+IF($D42="Yes",'EF Determination'!H43/1000*$G$62*$G$67*$C$76,0)),)</f>
        <v>2.9703382637132642E-3</v>
      </c>
      <c r="L42" s="93">
        <f>IFERROR(('EF Determination'!H43*$C$63/1000+IF($D42="Yes",'EF Determination'!H43/1000*$G$63*$G$67*$C$77,0)),)</f>
        <v>9.767492695400672E-4</v>
      </c>
      <c r="M42" s="225">
        <f>IFERROR(('EF Determination'!H43*$C$64/1000+IF($D42="Yes",'EF Determination'!H43/1000*$G$64*$G$67*$C$78,0)),)</f>
        <v>1.8806068025472935E-3</v>
      </c>
    </row>
    <row r="43" spans="1:13" x14ac:dyDescent="0.25">
      <c r="A43" s="154"/>
      <c r="B43" s="104" t="s">
        <v>147</v>
      </c>
      <c r="C43" s="91" t="s">
        <v>80</v>
      </c>
      <c r="D43" s="90" t="s">
        <v>128</v>
      </c>
      <c r="E43" s="224">
        <f>IFERROR(('EF Determination'!H44*$C$56/1000+IF($D43="Yes",'EF Determination'!H44/1000*$G$56*$G$67*$C$70,0)),)</f>
        <v>6.4185530846224399E-6</v>
      </c>
      <c r="F43" s="93">
        <f>IFERROR(('EF Determination'!H44*$C$57/1000+IF($D43="Yes",'EF Determination'!H44/1000*$G$57*$G$67*$C$71,0)),)</f>
        <v>6.8616248460609298E-6</v>
      </c>
      <c r="G43" s="93">
        <f>IFERROR(('EF Determination'!H44*$C$58/1000+IF($D43="Yes",'EF Determination'!H44/1000*$G$58*$G$67*$C$72,0)),)</f>
        <v>8.6099620668722669E-6</v>
      </c>
      <c r="H43" s="93">
        <f>IFERROR(('EF Determination'!H44*$C$59/1000+IF($D43="Yes",'EF Determination'!H44/1000*$G$59*$G$67*$C$73,0)),)</f>
        <v>1.5375787613162713E-5</v>
      </c>
      <c r="I43" s="89">
        <f>IFERROR(('EF Determination'!H44*$C$60/1000+IF($D43="Yes",'EF Determination'!H44/1000*$G$60*$G$67*$C$74,0)),)</f>
        <v>1.6633153422650315E-5</v>
      </c>
      <c r="J43" s="93">
        <f>IFERROR(('EF Determination'!G44*$C$61/1000+IF($D43="Yes",'EF Determination'!G44/1000*$G$61*$G$67*$C$75,0)),)</f>
        <v>6.1893175499999997E-6</v>
      </c>
      <c r="K43" s="93">
        <f>IFERROR(('EF Determination'!H44*$C$62/1000+IF($D43="Yes",'EF Determination'!H44/1000*$G$62*$G$67*$C$76,0)),)</f>
        <v>1.9519107328236153E-5</v>
      </c>
      <c r="L43" s="93">
        <f>IFERROR(('EF Determination'!H44*$C$63/1000+IF($D43="Yes",'EF Determination'!H44/1000*$G$63*$G$67*$C$77,0)),)</f>
        <v>6.4185530846224399E-6</v>
      </c>
      <c r="M43" s="225">
        <f>IFERROR(('EF Determination'!H44*$C$64/1000+IF($D43="Yes",'EF Determination'!H44/1000*$G$64*$G$67*$C$78,0)),)</f>
        <v>1.235810967039246E-5</v>
      </c>
    </row>
    <row r="44" spans="1:13" x14ac:dyDescent="0.25">
      <c r="A44" s="154"/>
      <c r="B44" s="104" t="s">
        <v>148</v>
      </c>
      <c r="C44" s="91" t="s">
        <v>82</v>
      </c>
      <c r="D44" s="90" t="s">
        <v>128</v>
      </c>
      <c r="E44" s="224">
        <f>IFERROR(('EF Determination'!H45*$C$56/1000+IF($D44="Yes",'EF Determination'!H45/1000*$G$56*$G$67*$C$70,0)),)</f>
        <v>2.4742465694116762E-2</v>
      </c>
      <c r="F44" s="93">
        <f>IFERROR(('EF Determination'!H45*$C$57/1000+IF($D44="Yes",'EF Determination'!H45/1000*$G$57*$G$67*$C$71,0)),)</f>
        <v>2.6450434408076318E-2</v>
      </c>
      <c r="G44" s="93">
        <f>IFERROR(('EF Determination'!H45*$C$58/1000+IF($D44="Yes",'EF Determination'!H45/1000*$G$58*$G$67*$C$72,0)),)</f>
        <v>3.3189986630727523E-2</v>
      </c>
      <c r="H44" s="93">
        <f>IFERROR(('EF Determination'!H45*$C$59/1000+IF($D44="Yes",'EF Determination'!H45/1000*$G$59*$G$67*$C$73,0)),)</f>
        <v>5.9271130506055827E-2</v>
      </c>
      <c r="I44" s="89">
        <f>IFERROR(('EF Determination'!H45*$C$60/1000+IF($D44="Yes",'EF Determination'!H45/1000*$G$60*$G$67*$C$74,0)),)</f>
        <v>6.4118068748373475E-2</v>
      </c>
      <c r="J44" s="93">
        <f>IFERROR(('EF Determination'!G45*$C$61/1000+IF($D44="Yes",'EF Determination'!G45/1000*$G$61*$G$67*$C$75,0)),)</f>
        <v>6.7559887151887668E-2</v>
      </c>
      <c r="K44" s="93">
        <f>IFERROR(('EF Determination'!H45*$C$62/1000+IF($D44="Yes",'EF Determination'!H45/1000*$G$62*$G$67*$C$76,0)),)</f>
        <v>7.5242946047407305E-2</v>
      </c>
      <c r="L44" s="93">
        <f>IFERROR(('EF Determination'!H45*$C$63/1000+IF($D44="Yes",'EF Determination'!H45/1000*$G$63*$G$67*$C$77,0)),)</f>
        <v>2.4742465694116762E-2</v>
      </c>
      <c r="M44" s="225">
        <f>IFERROR(('EF Determination'!H45*$C$64/1000+IF($D44="Yes",'EF Determination'!H45/1000*$G$64*$G$67*$C$78,0)),)</f>
        <v>4.7638478724493463E-2</v>
      </c>
    </row>
    <row r="45" spans="1:13" x14ac:dyDescent="0.25">
      <c r="A45" s="154"/>
      <c r="B45" s="104" t="s">
        <v>83</v>
      </c>
      <c r="C45" s="91">
        <v>504</v>
      </c>
      <c r="D45" s="90" t="s">
        <v>131</v>
      </c>
      <c r="E45" s="224">
        <f>IFERROR(('EF Determination'!H46*$C$56/1000+IF($D45="Yes",'EF Determination'!H46/1000*$G$56*$G$67*$C$70,0)),)</f>
        <v>4.5045363519457302E-2</v>
      </c>
      <c r="F45" s="93">
        <f>IFERROR(('EF Determination'!H46*$C$57/1000+IF($D45="Yes",'EF Determination'!H46/1000*$G$57*$G$67*$C$71,0)),)</f>
        <v>4.8154838240016859E-2</v>
      </c>
      <c r="G45" s="93">
        <f>IFERROR(('EF Determination'!H46*$C$58/1000+IF($D45="Yes",'EF Determination'!H46/1000*$G$58*$G$67*$C$72,0)),)</f>
        <v>6.0424657407630235E-2</v>
      </c>
      <c r="H45" s="93">
        <f>IFERROR(('EF Determination'!H46*$C$59/1000+IF($D45="Yes",'EF Determination'!H46/1000*$G$59*$G$67*$C$73,0)),)</f>
        <v>0.10790717678914773</v>
      </c>
      <c r="I45" s="89">
        <f>IFERROR(('EF Determination'!H46*$C$60/1000+IF($D45="Yes",'EF Determination'!H46/1000*$G$60*$G$67*$C$74,0)),)</f>
        <v>0.11673136180695187</v>
      </c>
      <c r="J45" s="93">
        <f>IFERROR(('EF Determination'!G46*$C$61/1000+IF($D45="Yes",'EF Determination'!G46/1000*$G$61*$G$67*$C$75,0)),)</f>
        <v>9.5252142566150624E-2</v>
      </c>
      <c r="K45" s="93">
        <f>IFERROR(('EF Determination'!H46*$C$62/1000+IF($D45="Yes",'EF Determination'!H46/1000*$G$62*$G$67*$C$76,0)),)</f>
        <v>0.13698496741924518</v>
      </c>
      <c r="L45" s="93">
        <f>IFERROR(('EF Determination'!H46*$C$63/1000+IF($D45="Yes",'EF Determination'!H46/1000*$G$63*$G$67*$C$77,0)),)</f>
        <v>4.5045363519457302E-2</v>
      </c>
      <c r="M45" s="225">
        <f>IFERROR(('EF Determination'!H46*$C$64/1000+IF($D45="Yes",'EF Determination'!H46/1000*$G$64*$G$67*$C$78,0)),)</f>
        <v>8.6729132746417803E-2</v>
      </c>
    </row>
    <row r="46" spans="1:13" x14ac:dyDescent="0.25">
      <c r="A46" s="154"/>
      <c r="B46" s="104" t="s">
        <v>84</v>
      </c>
      <c r="C46" s="91" t="s">
        <v>85</v>
      </c>
      <c r="D46" s="90" t="s">
        <v>128</v>
      </c>
      <c r="E46" s="224">
        <f>IFERROR(('EF Determination'!H47*$C$56/1000+IF($D46="Yes",'EF Determination'!H47/1000*$G$56*$G$67*$C$70,0)),)</f>
        <v>2.5603469333333329</v>
      </c>
      <c r="F46" s="93">
        <f>IFERROR(('EF Determination'!H47*$C$57/1000+IF($D46="Yes",'EF Determination'!H47/1000*$G$57*$G$67*$C$71,0)),)</f>
        <v>2.7370872999999998</v>
      </c>
      <c r="G46" s="93">
        <f>IFERROR(('EF Determination'!H47*$C$58/1000+IF($D46="Yes",'EF Determination'!H47/1000*$G$58*$G$67*$C$72,0)),)</f>
        <v>3.4344952333333332</v>
      </c>
      <c r="H46" s="93">
        <f>IFERROR(('EF Determination'!H47*$C$59/1000+IF($D46="Yes",'EF Determination'!H47/1000*$G$59*$G$67*$C$73,0)),)</f>
        <v>6.1333683999999984</v>
      </c>
      <c r="I46" s="89">
        <f>IFERROR(('EF Determination'!H47*$C$60/1000+IF($D46="Yes",'EF Determination'!H47/1000*$G$60*$G$67*$C$74,0)),)</f>
        <v>6.6349288999999985</v>
      </c>
      <c r="J46" s="93">
        <f>IFERROR(('EF Determination'!G47*$C$61/1000+IF($D46="Yes",'EF Determination'!G47/1000*$G$61*$G$67*$C$75,0)),)</f>
        <v>8.2876901666666658</v>
      </c>
      <c r="K46" s="93">
        <f>IFERROR(('EF Determination'!H47*$C$62/1000+IF($D46="Yes",'EF Determination'!H47/1000*$G$62*$G$67*$C$76,0)),)</f>
        <v>7.7861296666666657</v>
      </c>
      <c r="L46" s="93">
        <f>IFERROR(('EF Determination'!H47*$C$63/1000+IF($D46="Yes",'EF Determination'!H47/1000*$G$63*$G$67*$C$77,0)),)</f>
        <v>2.5603469333333329</v>
      </c>
      <c r="M46" s="225">
        <f>IFERROR(('EF Determination'!H47*$C$64/1000+IF($D46="Yes",'EF Determination'!H47/1000*$G$64*$G$67*$C$78,0)),)</f>
        <v>4.9296231999999991</v>
      </c>
    </row>
    <row r="47" spans="1:13" x14ac:dyDescent="0.25">
      <c r="A47" s="154"/>
      <c r="B47" s="104" t="s">
        <v>149</v>
      </c>
      <c r="C47" s="91" t="s">
        <v>87</v>
      </c>
      <c r="D47" s="90" t="s">
        <v>128</v>
      </c>
      <c r="E47" s="224">
        <f>IFERROR(('EF Determination'!H48*$C$56/1000+IF($D47="Yes",'EF Determination'!H48/1000*$G$56*$G$67*$C$70,0)),)</f>
        <v>6.8094333333333333E-3</v>
      </c>
      <c r="F47" s="93">
        <f>IFERROR(('EF Determination'!H48*$C$57/1000+IF($D47="Yes",'EF Determination'!H48/1000*$G$57*$G$67*$C$71,0)),)</f>
        <v>7.2794875E-3</v>
      </c>
      <c r="G47" s="93">
        <f>IFERROR(('EF Determination'!H48*$C$58/1000+IF($D47="Yes",'EF Determination'!H48/1000*$G$58*$G$67*$C$72,0)),)</f>
        <v>9.1342958333333335E-3</v>
      </c>
      <c r="H47" s="93">
        <f>IFERROR(('EF Determination'!H48*$C$59/1000+IF($D47="Yes",'EF Determination'!H48/1000*$G$59*$G$67*$C$73,0)),)</f>
        <v>1.6312150000000001E-2</v>
      </c>
      <c r="I47" s="89">
        <f>IFERROR(('EF Determination'!H48*$C$60/1000+IF($D47="Yes",'EF Determination'!H48/1000*$G$60*$G$67*$C$74,0)),)</f>
        <v>1.7646087499999998E-2</v>
      </c>
      <c r="J47" s="93">
        <f>IFERROR(('EF Determination'!G48*$C$61/1000+IF($D47="Yes",'EF Determination'!G48/1000*$G$61*$G$67*$C$75,0)),)</f>
        <v>1.6583114923071355E-2</v>
      </c>
      <c r="K47" s="93">
        <f>IFERROR(('EF Determination'!H48*$C$62/1000+IF($D47="Yes",'EF Determination'!H48/1000*$G$62*$G$67*$C$76,0)),)</f>
        <v>2.0707791666666666E-2</v>
      </c>
      <c r="L47" s="93">
        <f>IFERROR(('EF Determination'!H48*$C$63/1000+IF($D47="Yes",'EF Determination'!H48/1000*$G$63*$G$67*$C$77,0)),)</f>
        <v>6.8094333333333333E-3</v>
      </c>
      <c r="M47" s="225">
        <f>IFERROR(('EF Determination'!H48*$C$64/1000+IF($D47="Yes",'EF Determination'!H48/1000*$G$64*$G$67*$C$78,0)),)</f>
        <v>1.3110699999999999E-2</v>
      </c>
    </row>
    <row r="48" spans="1:13" x14ac:dyDescent="0.25">
      <c r="A48" s="154"/>
      <c r="B48" s="104" t="s">
        <v>150</v>
      </c>
      <c r="C48" s="91">
        <v>401</v>
      </c>
      <c r="D48" s="90" t="s">
        <v>128</v>
      </c>
      <c r="E48" s="224">
        <f>IFERROR(('EF Determination'!H49*$C$56/1000+IF($D48="Yes",'EF Determination'!H49/1000*$G$56*$G$67*$C$70,0)),)</f>
        <v>0</v>
      </c>
      <c r="F48" s="93">
        <f>IFERROR(('EF Determination'!H49*$C$57/1000+IF($D48="Yes",'EF Determination'!H49/1000*$G$57*$G$67*$C$71,0)),)</f>
        <v>0</v>
      </c>
      <c r="G48" s="93">
        <f>IFERROR(('EF Determination'!H49*$C$58/1000+IF($D48="Yes",'EF Determination'!H49/1000*$G$58*$G$67*$C$72,0)),)</f>
        <v>0</v>
      </c>
      <c r="H48" s="93">
        <f>IFERROR(('EF Determination'!H49*$C$59/1000+IF($D48="Yes",'EF Determination'!H49/1000*$G$59*$G$67*$C$73,0)),)</f>
        <v>0</v>
      </c>
      <c r="I48" s="89">
        <f>IFERROR(('EF Determination'!H49*$C$60/1000+IF($D48="Yes",'EF Determination'!H49/1000*$G$60*$G$67*$C$74,0)),)</f>
        <v>0</v>
      </c>
      <c r="J48" s="93">
        <f>IFERROR(('EF Determination'!G49*$C$61/1000+IF($D48="Yes",'EF Determination'!G49/1000*$G$61*$G$67*$C$75,0)),)</f>
        <v>0</v>
      </c>
      <c r="K48" s="93">
        <f>IFERROR(('EF Determination'!H49*$C$62/1000+IF($D48="Yes",'EF Determination'!H49/1000*$G$62*$G$67*$C$76,0)),)</f>
        <v>0</v>
      </c>
      <c r="L48" s="93">
        <f>IFERROR(('EF Determination'!H49*$C$63/1000+IF($D48="Yes",'EF Determination'!H49/1000*$G$63*$G$67*$C$77,0)),)</f>
        <v>0</v>
      </c>
      <c r="M48" s="225">
        <f>IFERROR(('EF Determination'!H49*$C$64/1000+IF($D48="Yes",'EF Determination'!H49/1000*$G$64*$G$67*$C$78,0)),)</f>
        <v>0</v>
      </c>
    </row>
    <row r="49" spans="1:13" x14ac:dyDescent="0.25">
      <c r="A49" s="154"/>
      <c r="B49" s="104" t="s">
        <v>89</v>
      </c>
      <c r="C49" s="91" t="s">
        <v>90</v>
      </c>
      <c r="D49" s="90" t="s">
        <v>131</v>
      </c>
      <c r="E49" s="224">
        <f>IFERROR(('EF Determination'!H50*$C$56/1000+IF($D49="Yes",'EF Determination'!H50/1000*$G$56*$G$67*$C$70,0)),)</f>
        <v>2.0174111624793028E-3</v>
      </c>
      <c r="F49" s="93">
        <f>IFERROR(('EF Determination'!H50*$C$57/1000+IF($D49="Yes",'EF Determination'!H50/1000*$G$57*$G$67*$C$71,0)),)</f>
        <v>2.1566727539191056E-3</v>
      </c>
      <c r="G49" s="93">
        <f>IFERROR(('EF Determination'!H50*$C$58/1000+IF($D49="Yes",'EF Determination'!H50/1000*$G$58*$G$67*$C$72,0)),)</f>
        <v>2.7061914660869756E-3</v>
      </c>
      <c r="H49" s="93">
        <f>IFERROR(('EF Determination'!H50*$C$59/1000+IF($D49="Yes",'EF Determination'!H50/1000*$G$59*$G$67*$C$73,0)),)</f>
        <v>4.8327536056407185E-3</v>
      </c>
      <c r="I49" s="89">
        <f>IFERROR(('EF Determination'!H50*$C$60/1000+IF($D49="Yes",'EF Determination'!H50/1000*$G$60*$G$67*$C$74,0)),)</f>
        <v>5.2279554191861045E-3</v>
      </c>
      <c r="J49" s="93">
        <f>IFERROR(('EF Determination'!G50*$C$61/1000+IF($D49="Yes",'EF Determination'!G50/1000*$G$61*$G$67*$C$75,0)),)</f>
        <v>0</v>
      </c>
      <c r="K49" s="93">
        <f>IFERROR(('EF Determination'!H50*$C$62/1000+IF($D49="Yes",'EF Determination'!H50/1000*$G$62*$G$67*$C$76,0)),)</f>
        <v>6.1350376769426559E-3</v>
      </c>
      <c r="L49" s="93">
        <f>IFERROR(('EF Determination'!H50*$C$63/1000+IF($D49="Yes",'EF Determination'!H50/1000*$G$63*$G$67*$C$77,0)),)</f>
        <v>2.0174111624793028E-3</v>
      </c>
      <c r="M49" s="225">
        <f>IFERROR(('EF Determination'!H50*$C$64/1000+IF($D49="Yes",'EF Determination'!H50/1000*$G$64*$G$67*$C$78,0)),)</f>
        <v>3.8842692531317921E-3</v>
      </c>
    </row>
    <row r="50" spans="1:13" x14ac:dyDescent="0.25">
      <c r="A50" s="154"/>
      <c r="B50" s="104" t="s">
        <v>91</v>
      </c>
      <c r="C50" s="91" t="s">
        <v>92</v>
      </c>
      <c r="D50" s="90" t="s">
        <v>131</v>
      </c>
      <c r="E50" s="224">
        <f>IFERROR(('EF Determination'!H51*$C$56/1000+IF($D50="Yes",'EF Determination'!H51/1000*$G$56*$G$67*$C$70,0)),)</f>
        <v>2.5734975620485387E-4</v>
      </c>
      <c r="F50" s="93">
        <f>IFERROR(('EF Determination'!H51*$C$57/1000+IF($D50="Yes",'EF Determination'!H51/1000*$G$57*$G$67*$C$71,0)),)</f>
        <v>2.7511457146526353E-4</v>
      </c>
      <c r="G50" s="93">
        <f>IFERROR(('EF Determination'!H51*$C$58/1000+IF($D50="Yes",'EF Determination'!H51/1000*$G$58*$G$67*$C$72,0)),)</f>
        <v>3.4521357222255583E-4</v>
      </c>
      <c r="H50" s="93">
        <f>IFERROR(('EF Determination'!H51*$C$59/1000+IF($D50="Yes",'EF Determination'!H51/1000*$G$59*$G$67*$C$73,0)),)</f>
        <v>6.164871025504334E-4</v>
      </c>
      <c r="I50" s="89">
        <f>IFERROR(('EF Determination'!H51*$C$60/1000+IF($D50="Yes",'EF Determination'!H51/1000*$G$60*$G$67*$C$74,0)),)</f>
        <v>6.6690076747862308E-4</v>
      </c>
      <c r="J50" s="93">
        <f>IFERROR(('EF Determination'!G51*$C$61/1000+IF($D50="Yes",'EF Determination'!G51/1000*$G$61*$G$67*$C$75,0)),)</f>
        <v>0</v>
      </c>
      <c r="K50" s="93">
        <f>IFERROR(('EF Determination'!H51*$C$62/1000+IF($D50="Yes",'EF Determination'!H51/1000*$G$62*$G$67*$C$76,0)),)</f>
        <v>7.8261213174237267E-4</v>
      </c>
      <c r="L50" s="93">
        <f>IFERROR(('EF Determination'!H51*$C$63/1000+IF($D50="Yes",'EF Determination'!H51/1000*$G$63*$G$67*$C$77,0)),)</f>
        <v>2.5734975620485387E-4</v>
      </c>
      <c r="M50" s="225">
        <f>IFERROR(('EF Determination'!H51*$C$64/1000+IF($D50="Yes",'EF Determination'!H51/1000*$G$64*$G$67*$C$78,0)),)</f>
        <v>4.9549430672277833E-4</v>
      </c>
    </row>
    <row r="51" spans="1:13" x14ac:dyDescent="0.25">
      <c r="A51" s="154"/>
      <c r="B51" s="104" t="s">
        <v>93</v>
      </c>
      <c r="C51" s="91" t="s">
        <v>94</v>
      </c>
      <c r="D51" s="90" t="s">
        <v>131</v>
      </c>
      <c r="E51" s="224">
        <f>IFERROR(('EF Determination'!H52*$C$56/1000+IF($D51="Yes",'EF Determination'!H52/1000*$G$56*$G$67*$C$70,0)),)</f>
        <v>1.2869021324961468E-3</v>
      </c>
      <c r="F51" s="93">
        <f>IFERROR(('EF Determination'!H52*$C$57/1000+IF($D51="Yes",'EF Determination'!H52/1000*$G$57*$G$67*$C$71,0)),)</f>
        <v>1.3757367946274105E-3</v>
      </c>
      <c r="G51" s="93">
        <f>IFERROR(('EF Determination'!H52*$C$58/1000+IF($D51="Yes",'EF Determination'!H52/1000*$G$58*$G$67*$C$72,0)),)</f>
        <v>1.7262735695237493E-3</v>
      </c>
      <c r="H51" s="93">
        <f>IFERROR(('EF Determination'!H52*$C$59/1000+IF($D51="Yes",'EF Determination'!H52/1000*$G$59*$G$67*$C$73,0)),)</f>
        <v>3.0828028696362917E-3</v>
      </c>
      <c r="I51" s="89">
        <f>IFERROR(('EF Determination'!H52*$C$60/1000+IF($D51="Yes",'EF Determination'!H52/1000*$G$60*$G$67*$C$74,0)),)</f>
        <v>3.334901235143932E-3</v>
      </c>
      <c r="J51" s="93">
        <f>IFERROR(('EF Determination'!G52*$C$61/1000+IF($D51="Yes",'EF Determination'!G52/1000*$G$61*$G$67*$C$75,0)),)</f>
        <v>0</v>
      </c>
      <c r="K51" s="93">
        <f>IFERROR(('EF Determination'!H52*$C$62/1000+IF($D51="Yes",'EF Determination'!H52/1000*$G$62*$G$67*$C$76,0)),)</f>
        <v>3.9135270074043263E-3</v>
      </c>
      <c r="L51" s="93">
        <f>IFERROR(('EF Determination'!H52*$C$63/1000+IF($D51="Yes",'EF Determination'!H52/1000*$G$63*$G$67*$C$77,0)),)</f>
        <v>1.2869021324961468E-3</v>
      </c>
      <c r="M51" s="225">
        <f>IFERROR(('EF Determination'!H52*$C$64/1000+IF($D51="Yes",'EF Determination'!H52/1000*$G$64*$G$67*$C$78,0)),)</f>
        <v>2.4777667924179543E-3</v>
      </c>
    </row>
    <row r="52" spans="1:13" x14ac:dyDescent="0.25">
      <c r="A52" s="154"/>
      <c r="B52" s="104" t="s">
        <v>95</v>
      </c>
      <c r="C52" s="91" t="s">
        <v>96</v>
      </c>
      <c r="D52" s="90" t="s">
        <v>128</v>
      </c>
      <c r="E52" s="224">
        <f>IFERROR(('EF Determination'!H53*$C$56/1000+IF($D52="Yes",'EF Determination'!H53/1000*$G$56*$G$67*$C$70,0)),)</f>
        <v>0.57417141866666666</v>
      </c>
      <c r="F52" s="93">
        <f>IFERROR(('EF Determination'!H53*$C$57/1000+IF($D52="Yes",'EF Determination'!H53/1000*$G$57*$G$67*$C$71,0)),)</f>
        <v>0.61380638599999993</v>
      </c>
      <c r="G52" s="93">
        <f>IFERROR(('EF Determination'!H53*$C$58/1000+IF($D52="Yes",'EF Determination'!H53/1000*$G$58*$G$67*$C$72,0)),)</f>
        <v>0.77020382466666659</v>
      </c>
      <c r="H52" s="93">
        <f>IFERROR(('EF Determination'!H53*$C$59/1000+IF($D52="Yes",'EF Determination'!H53/1000*$G$59*$G$67*$C$73,0)),)</f>
        <v>1.375440488</v>
      </c>
      <c r="I52" s="89">
        <f>IFERROR(('EF Determination'!H53*$C$60/1000+IF($D52="Yes",'EF Determination'!H53/1000*$G$60*$G$67*$C$74,0)),)</f>
        <v>1.4879180979999997</v>
      </c>
      <c r="J52" s="93">
        <f>IFERROR(('EF Determination'!G53*$C$61/1000+IF($D52="Yes",'EF Determination'!G53/1000*$G$61*$G$67*$C$75,0)),)</f>
        <v>1.8585586033333332</v>
      </c>
      <c r="K52" s="93">
        <f>IFERROR(('EF Determination'!H53*$C$62/1000+IF($D52="Yes",'EF Determination'!H53/1000*$G$62*$G$67*$C$76,0)),)</f>
        <v>1.7460809933333332</v>
      </c>
      <c r="L52" s="93">
        <f>IFERROR(('EF Determination'!H53*$C$63/1000+IF($D52="Yes",'EF Determination'!H53/1000*$G$63*$G$67*$C$77,0)),)</f>
        <v>0.57417141866666666</v>
      </c>
      <c r="M52" s="225">
        <f>IFERROR(('EF Determination'!H53*$C$64/1000+IF($D52="Yes",'EF Determination'!H53/1000*$G$64*$G$67*$C$78,0)),)</f>
        <v>1.1054942239999999</v>
      </c>
    </row>
    <row r="53" spans="1:13" x14ac:dyDescent="0.25">
      <c r="A53" s="154"/>
      <c r="B53" s="104" t="s">
        <v>97</v>
      </c>
      <c r="C53" s="91" t="s">
        <v>98</v>
      </c>
      <c r="D53" s="90" t="s">
        <v>128</v>
      </c>
      <c r="E53" s="224">
        <f>IFERROR(('EF Determination'!H54*$C$56/1000+IF($D53="Yes",'EF Determination'!H54/1000*$G$56*$G$67*$C$70,0)),)</f>
        <v>0.23097597866666666</v>
      </c>
      <c r="F53" s="93">
        <f>IFERROR(('EF Determination'!H54*$C$57/1000+IF($D53="Yes",'EF Determination'!H54/1000*$G$57*$G$67*$C$71,0)),)</f>
        <v>0.246920216</v>
      </c>
      <c r="G53" s="93">
        <f>IFERROR(('EF Determination'!H54*$C$58/1000+IF($D53="Yes",'EF Determination'!H54/1000*$G$58*$G$67*$C$72,0)),)</f>
        <v>0.30983531466666675</v>
      </c>
      <c r="H53" s="93">
        <f>IFERROR(('EF Determination'!H54*$C$59/1000+IF($D53="Yes",'EF Determination'!H54/1000*$G$59*$G$67*$C$73,0)),)</f>
        <v>0.55330812799999995</v>
      </c>
      <c r="I53" s="89">
        <f>IFERROR(('EF Determination'!H54*$C$60/1000+IF($D53="Yes",'EF Determination'!H54/1000*$G$60*$G$67*$C$74,0)),)</f>
        <v>0.59855528800000002</v>
      </c>
      <c r="J53" s="93">
        <f>IFERROR(('EF Determination'!G54*$C$61/1000+IF($D53="Yes",'EF Determination'!G54/1000*$G$61*$G$67*$C$75,0)),)</f>
        <v>0.74765545333333328</v>
      </c>
      <c r="K53" s="93">
        <f>IFERROR(('EF Determination'!H54*$C$62/1000+IF($D53="Yes",'EF Determination'!H54/1000*$G$62*$G$67*$C$76,0)),)</f>
        <v>0.70240829333333321</v>
      </c>
      <c r="L53" s="93">
        <f>IFERROR(('EF Determination'!H54*$C$63/1000+IF($D53="Yes",'EF Determination'!H54/1000*$G$63*$G$67*$C$77,0)),)</f>
        <v>0.23097597866666666</v>
      </c>
      <c r="M53" s="225">
        <f>IFERROR(('EF Determination'!H54*$C$64/1000+IF($D53="Yes",'EF Determination'!H54/1000*$G$64*$G$67*$C$78,0)),)</f>
        <v>0.44471494399999995</v>
      </c>
    </row>
    <row r="54" spans="1:13" ht="15.75" thickBot="1" x14ac:dyDescent="0.3">
      <c r="A54" s="154"/>
      <c r="B54" s="108" t="s">
        <v>99</v>
      </c>
      <c r="C54" s="96" t="s">
        <v>100</v>
      </c>
      <c r="D54" s="221" t="s">
        <v>131</v>
      </c>
      <c r="E54" s="250">
        <f>IFERROR(('EF Determination'!H55*$C$56/1000+IF($D54="Yes",'EF Determination'!H55/1000*$G$56*$G$67*$C$70,0)),)</f>
        <v>2.8012308195359579E-2</v>
      </c>
      <c r="F54" s="251">
        <f>IFERROR(('EF Determination'!H55*$C$57/1000+IF($D54="Yes",'EF Determination'!H55/1000*$G$57*$G$67*$C$71,0)),)</f>
        <v>2.9945993649143729E-2</v>
      </c>
      <c r="G54" s="251">
        <f>IFERROR(('EF Determination'!H55*$C$58/1000+IF($D54="Yes",'EF Determination'!H55/1000*$G$58*$G$67*$C$72,0)),)</f>
        <v>3.7576211926237946E-2</v>
      </c>
      <c r="H54" s="251">
        <f>IFERROR(('EF Determination'!H55*$C$59/1000+IF($D54="Yes",'EF Determination'!H55/1000*$G$59*$G$67*$C$73,0)),)</f>
        <v>6.7104111423212126E-2</v>
      </c>
      <c r="I54" s="252">
        <f>IFERROR(('EF Determination'!H55*$C$60/1000+IF($D54="Yes",'EF Determination'!H55/1000*$G$60*$G$67*$C$74,0)),)</f>
        <v>7.2591597170437408E-2</v>
      </c>
      <c r="J54" s="251">
        <f>IFERROR(('EF Determination'!G55*$C$61/1000+IF($D54="Yes",'EF Determination'!G55/1000*$G$61*$G$67*$C$75,0)),)</f>
        <v>8.7284952545368694E-2</v>
      </c>
      <c r="K54" s="251">
        <f>IFERROR(('EF Determination'!H55*$C$62/1000+IF($D54="Yes",'EF Determination'!H55/1000*$G$62*$G$67*$C$76,0)),)</f>
        <v>8.5186683504544988E-2</v>
      </c>
      <c r="L54" s="251">
        <f>IFERROR(('EF Determination'!H55*$C$63/1000+IF($D54="Yes",'EF Determination'!H55/1000*$G$63*$G$67*$C$77,0)),)</f>
        <v>2.8012308195359579E-2</v>
      </c>
      <c r="M54" s="253">
        <f>IFERROR(('EF Determination'!H55*$C$64/1000+IF($D54="Yes",'EF Determination'!H55/1000*$G$64*$G$67*$C$78,0)),)</f>
        <v>5.3934145629871429E-2</v>
      </c>
    </row>
    <row r="55" spans="1:13" ht="22.5" customHeight="1" x14ac:dyDescent="0.25">
      <c r="A55" s="147">
        <v>1</v>
      </c>
      <c r="B55" s="622" t="s">
        <v>151</v>
      </c>
      <c r="C55" s="622"/>
      <c r="D55" s="622"/>
      <c r="E55" s="622"/>
      <c r="F55" s="622"/>
      <c r="G55" s="622"/>
      <c r="H55" s="622"/>
      <c r="I55" s="622"/>
      <c r="J55" s="622"/>
      <c r="K55" s="622"/>
      <c r="L55" s="622"/>
      <c r="M55" s="622"/>
    </row>
    <row r="56" spans="1:13" ht="15" customHeight="1" x14ac:dyDescent="0.25">
      <c r="A56" s="147"/>
      <c r="B56" s="109" t="s">
        <v>152</v>
      </c>
      <c r="C56" s="176">
        <f>G56*100*E56</f>
        <v>5360</v>
      </c>
      <c r="D56" s="177" t="s">
        <v>153</v>
      </c>
      <c r="E56" s="178">
        <v>1</v>
      </c>
      <c r="F56" s="177" t="s">
        <v>154</v>
      </c>
      <c r="G56" s="183">
        <f>'Criteria 39tpy'!E7</f>
        <v>53.6</v>
      </c>
      <c r="H56" s="177" t="s">
        <v>155</v>
      </c>
      <c r="I56" s="177"/>
      <c r="J56" s="87"/>
      <c r="K56" s="87"/>
      <c r="L56" s="2"/>
      <c r="M56" s="185"/>
    </row>
    <row r="57" spans="1:13" x14ac:dyDescent="0.25">
      <c r="A57" s="147"/>
      <c r="B57" s="109" t="s">
        <v>156</v>
      </c>
      <c r="C57" s="110">
        <f t="shared" ref="C57:C64" si="0">E57*G57*100</f>
        <v>5730</v>
      </c>
      <c r="D57" s="111" t="s">
        <v>153</v>
      </c>
      <c r="E57" s="112">
        <v>1</v>
      </c>
      <c r="F57" s="111" t="s">
        <v>154</v>
      </c>
      <c r="G57" s="183">
        <f>'Criteria 39tpy'!E8</f>
        <v>57.3</v>
      </c>
      <c r="H57" s="74" t="s">
        <v>155</v>
      </c>
      <c r="I57" s="70"/>
      <c r="J57" s="74"/>
      <c r="K57" s="70"/>
      <c r="L57" s="2"/>
      <c r="M57" s="185"/>
    </row>
    <row r="58" spans="1:13" x14ac:dyDescent="0.25">
      <c r="A58" s="147"/>
      <c r="B58" s="109" t="s">
        <v>157</v>
      </c>
      <c r="C58" s="110">
        <f t="shared" si="0"/>
        <v>7190.0000000000009</v>
      </c>
      <c r="D58" s="111" t="s">
        <v>153</v>
      </c>
      <c r="E58" s="112">
        <v>1</v>
      </c>
      <c r="F58" s="111" t="s">
        <v>154</v>
      </c>
      <c r="G58" s="183">
        <f>'Criteria 39tpy'!E9</f>
        <v>71.900000000000006</v>
      </c>
      <c r="H58" s="74" t="s">
        <v>155</v>
      </c>
      <c r="I58" s="70"/>
      <c r="J58" s="74"/>
      <c r="K58" s="70"/>
      <c r="L58" s="2"/>
      <c r="M58" s="185"/>
    </row>
    <row r="59" spans="1:13" x14ac:dyDescent="0.25">
      <c r="A59" s="147"/>
      <c r="B59" s="109" t="s">
        <v>158</v>
      </c>
      <c r="C59" s="110">
        <f>E59*G59*100</f>
        <v>12840</v>
      </c>
      <c r="D59" s="111" t="s">
        <v>153</v>
      </c>
      <c r="E59" s="112">
        <v>1</v>
      </c>
      <c r="F59" s="111" t="s">
        <v>154</v>
      </c>
      <c r="G59" s="183">
        <f>'Criteria 39tpy'!E10</f>
        <v>128.4</v>
      </c>
      <c r="H59" s="74" t="s">
        <v>155</v>
      </c>
      <c r="I59" s="70"/>
      <c r="J59" s="74"/>
      <c r="K59" s="70"/>
      <c r="L59" s="2"/>
      <c r="M59" s="185"/>
    </row>
    <row r="60" spans="1:13" x14ac:dyDescent="0.25">
      <c r="A60" s="147"/>
      <c r="B60" s="109" t="s">
        <v>159</v>
      </c>
      <c r="C60" s="110">
        <f>E60*G60*100</f>
        <v>13890</v>
      </c>
      <c r="D60" s="111" t="s">
        <v>153</v>
      </c>
      <c r="E60" s="112">
        <v>1</v>
      </c>
      <c r="F60" s="111" t="s">
        <v>154</v>
      </c>
      <c r="G60" s="183">
        <f>'Criteria 39tpy'!E11</f>
        <v>138.9</v>
      </c>
      <c r="H60" s="74" t="s">
        <v>155</v>
      </c>
      <c r="I60" s="70"/>
      <c r="J60" s="74"/>
      <c r="K60" s="70"/>
      <c r="L60" s="2"/>
      <c r="M60" s="185"/>
    </row>
    <row r="61" spans="1:13" x14ac:dyDescent="0.25">
      <c r="A61" s="147"/>
      <c r="B61" s="109" t="s">
        <v>124</v>
      </c>
      <c r="C61" s="110">
        <f t="shared" si="0"/>
        <v>17350</v>
      </c>
      <c r="D61" s="111" t="s">
        <v>153</v>
      </c>
      <c r="E61" s="112">
        <v>1</v>
      </c>
      <c r="F61" s="111" t="s">
        <v>154</v>
      </c>
      <c r="G61" s="183">
        <f>'Criteria 39tpy'!E12</f>
        <v>173.5</v>
      </c>
      <c r="H61" s="74" t="s">
        <v>155</v>
      </c>
      <c r="I61" s="70"/>
      <c r="J61" s="74"/>
      <c r="K61" s="70"/>
      <c r="L61" s="2"/>
      <c r="M61" s="185"/>
    </row>
    <row r="62" spans="1:13" x14ac:dyDescent="0.25">
      <c r="A62" s="147"/>
      <c r="B62" s="109" t="s">
        <v>125</v>
      </c>
      <c r="C62" s="110">
        <f>E62*G62*100</f>
        <v>16300</v>
      </c>
      <c r="D62" s="111" t="s">
        <v>153</v>
      </c>
      <c r="E62" s="112">
        <v>1</v>
      </c>
      <c r="F62" s="111" t="s">
        <v>154</v>
      </c>
      <c r="G62" s="183">
        <f>'Criteria 39tpy'!E13</f>
        <v>163</v>
      </c>
      <c r="H62" s="74" t="s">
        <v>155</v>
      </c>
      <c r="I62" s="70"/>
      <c r="J62" s="113"/>
      <c r="K62" s="70"/>
      <c r="L62" s="2"/>
      <c r="M62" s="185"/>
    </row>
    <row r="63" spans="1:13" x14ac:dyDescent="0.25">
      <c r="A63" s="147"/>
      <c r="B63" s="109" t="s">
        <v>126</v>
      </c>
      <c r="C63" s="110">
        <f>E63*G63*100</f>
        <v>5360</v>
      </c>
      <c r="D63" s="111" t="s">
        <v>153</v>
      </c>
      <c r="E63" s="112">
        <v>1</v>
      </c>
      <c r="F63" s="111" t="s">
        <v>154</v>
      </c>
      <c r="G63" s="183">
        <f>'Criteria 39tpy'!E14</f>
        <v>53.6</v>
      </c>
      <c r="H63" s="114" t="s">
        <v>155</v>
      </c>
      <c r="I63" s="70"/>
      <c r="J63" s="115"/>
      <c r="K63" s="70"/>
      <c r="L63" s="2"/>
      <c r="M63" s="185"/>
    </row>
    <row r="64" spans="1:13" x14ac:dyDescent="0.25">
      <c r="A64" s="147"/>
      <c r="B64" s="109" t="s">
        <v>127</v>
      </c>
      <c r="C64" s="110">
        <f t="shared" si="0"/>
        <v>10320</v>
      </c>
      <c r="D64" s="111" t="s">
        <v>153</v>
      </c>
      <c r="E64" s="112">
        <v>1</v>
      </c>
      <c r="F64" s="111" t="s">
        <v>154</v>
      </c>
      <c r="G64" s="183">
        <f>'Criteria 39tpy'!E15</f>
        <v>103.2</v>
      </c>
      <c r="H64" s="114" t="s">
        <v>155</v>
      </c>
      <c r="I64" s="70"/>
      <c r="J64" s="115"/>
      <c r="K64" s="70"/>
      <c r="L64" s="2"/>
      <c r="M64" s="185"/>
    </row>
    <row r="65" spans="1:13" ht="57" customHeight="1" x14ac:dyDescent="0.25">
      <c r="A65" s="147">
        <v>2</v>
      </c>
      <c r="B65" s="605" t="s">
        <v>160</v>
      </c>
      <c r="C65" s="605"/>
      <c r="D65" s="605"/>
      <c r="E65" s="605"/>
      <c r="F65" s="605"/>
      <c r="G65" s="605"/>
      <c r="H65" s="605"/>
      <c r="I65" s="605"/>
      <c r="J65" s="605"/>
      <c r="K65" s="605"/>
      <c r="L65" s="605"/>
      <c r="M65" s="605"/>
    </row>
    <row r="66" spans="1:13" ht="51" customHeight="1" x14ac:dyDescent="0.25">
      <c r="A66" s="147"/>
      <c r="B66" s="116" t="s">
        <v>1</v>
      </c>
      <c r="C66" s="117" t="s">
        <v>161</v>
      </c>
      <c r="D66" s="118" t="s">
        <v>162</v>
      </c>
      <c r="E66" s="119" t="s">
        <v>163</v>
      </c>
      <c r="F66" s="119" t="s">
        <v>164</v>
      </c>
      <c r="G66" s="118" t="s">
        <v>165</v>
      </c>
      <c r="H66" s="2"/>
      <c r="I66" s="2"/>
      <c r="J66" s="72"/>
      <c r="K66" s="72"/>
      <c r="L66" s="2"/>
      <c r="M66" s="72"/>
    </row>
    <row r="67" spans="1:13" x14ac:dyDescent="0.25">
      <c r="A67" s="147"/>
      <c r="B67" s="120" t="s">
        <v>166</v>
      </c>
      <c r="C67" s="120">
        <v>14</v>
      </c>
      <c r="D67" s="120">
        <v>900</v>
      </c>
      <c r="E67" s="120">
        <v>30</v>
      </c>
      <c r="F67" s="121">
        <f>((C67*D67/2)+(E67*(60-C67)))/(E67*60)</f>
        <v>4.2666666666666666</v>
      </c>
      <c r="G67" s="124">
        <f>((1/60*F67+59/60)-1)</f>
        <v>5.4444444444444295E-2</v>
      </c>
      <c r="H67" s="2"/>
      <c r="I67" s="2"/>
      <c r="J67" s="73"/>
      <c r="K67" s="73"/>
      <c r="L67" s="2"/>
      <c r="M67" s="73"/>
    </row>
    <row r="68" spans="1:13" x14ac:dyDescent="0.25">
      <c r="A68" s="147"/>
      <c r="B68" s="116" t="s">
        <v>167</v>
      </c>
      <c r="C68" s="116">
        <v>20</v>
      </c>
      <c r="D68" s="116">
        <v>750</v>
      </c>
      <c r="E68" s="116">
        <v>30</v>
      </c>
      <c r="F68" s="123">
        <f>((C68*D68/2)+(E68*(60-C68)))/(E68*60)</f>
        <v>4.833333333333333</v>
      </c>
      <c r="G68" s="124">
        <f>((1/60*F68+59/60)-1)</f>
        <v>6.3888888888888884E-2</v>
      </c>
      <c r="H68" s="2"/>
      <c r="I68" s="2"/>
      <c r="J68" s="73"/>
      <c r="K68" s="73"/>
      <c r="L68" s="2"/>
      <c r="M68" s="73"/>
    </row>
    <row r="69" spans="1:13" ht="24" customHeight="1" x14ac:dyDescent="0.25">
      <c r="A69" s="147">
        <v>3</v>
      </c>
      <c r="B69" s="637" t="s">
        <v>168</v>
      </c>
      <c r="C69" s="637"/>
      <c r="D69" s="637"/>
      <c r="E69" s="637"/>
      <c r="F69" s="637"/>
      <c r="G69" s="637"/>
      <c r="H69" s="2"/>
      <c r="I69" s="97"/>
      <c r="J69" s="71"/>
      <c r="K69" s="71"/>
      <c r="L69" s="71"/>
      <c r="M69" s="71"/>
    </row>
    <row r="70" spans="1:13" ht="24" customHeight="1" x14ac:dyDescent="0.25">
      <c r="A70" s="147"/>
      <c r="B70" s="109" t="s">
        <v>152</v>
      </c>
      <c r="C70" s="126">
        <f>30*E56</f>
        <v>30</v>
      </c>
      <c r="D70" s="74" t="s">
        <v>169</v>
      </c>
      <c r="E70" s="97"/>
      <c r="F70" s="97"/>
      <c r="G70" s="97"/>
      <c r="H70" s="2"/>
      <c r="I70" s="97"/>
      <c r="J70" s="71"/>
      <c r="K70" s="71"/>
      <c r="L70" s="71"/>
      <c r="M70" s="71"/>
    </row>
    <row r="71" spans="1:13" ht="17.25" customHeight="1" x14ac:dyDescent="0.25">
      <c r="A71" s="147"/>
      <c r="B71" s="109" t="s">
        <v>156</v>
      </c>
      <c r="C71" s="126">
        <f t="shared" ref="C71:C77" si="1">30*E57</f>
        <v>30</v>
      </c>
      <c r="D71" s="74" t="s">
        <v>169</v>
      </c>
      <c r="E71" s="97"/>
      <c r="F71" s="97"/>
      <c r="G71" s="97"/>
      <c r="H71" s="97"/>
      <c r="I71" s="97"/>
      <c r="J71" s="71"/>
      <c r="K71" s="71"/>
      <c r="L71" s="71"/>
      <c r="M71" s="71"/>
    </row>
    <row r="72" spans="1:13" x14ac:dyDescent="0.25">
      <c r="A72" s="147"/>
      <c r="B72" s="109" t="s">
        <v>157</v>
      </c>
      <c r="C72" s="126">
        <f t="shared" si="1"/>
        <v>30</v>
      </c>
      <c r="D72" s="74" t="s">
        <v>169</v>
      </c>
      <c r="E72" s="74"/>
      <c r="F72" s="74"/>
      <c r="G72" s="74"/>
      <c r="H72" s="74"/>
      <c r="I72" s="74"/>
      <c r="J72" s="74"/>
      <c r="K72" s="74"/>
      <c r="L72" s="74"/>
      <c r="M72" s="74"/>
    </row>
    <row r="73" spans="1:13" x14ac:dyDescent="0.25">
      <c r="A73" s="147"/>
      <c r="B73" s="109" t="s">
        <v>158</v>
      </c>
      <c r="C73" s="126">
        <f t="shared" si="1"/>
        <v>30</v>
      </c>
      <c r="D73" s="74" t="s">
        <v>169</v>
      </c>
      <c r="E73" s="74"/>
      <c r="F73" s="74"/>
      <c r="G73" s="74"/>
      <c r="H73" s="74"/>
      <c r="I73" s="74"/>
      <c r="J73" s="74"/>
      <c r="K73" s="74"/>
      <c r="L73" s="74"/>
      <c r="M73" s="74"/>
    </row>
    <row r="74" spans="1:13" x14ac:dyDescent="0.25">
      <c r="A74" s="147"/>
      <c r="B74" s="109" t="s">
        <v>159</v>
      </c>
      <c r="C74" s="126">
        <f t="shared" si="1"/>
        <v>30</v>
      </c>
      <c r="D74" s="74" t="s">
        <v>169</v>
      </c>
      <c r="E74" s="74"/>
      <c r="F74" s="75"/>
      <c r="G74" s="75"/>
      <c r="H74" s="75"/>
      <c r="I74" s="75"/>
      <c r="J74" s="75"/>
      <c r="K74" s="75"/>
      <c r="L74" s="75"/>
      <c r="M74" s="75"/>
    </row>
    <row r="75" spans="1:13" x14ac:dyDescent="0.25">
      <c r="A75" s="147"/>
      <c r="B75" s="109" t="s">
        <v>124</v>
      </c>
      <c r="C75" s="126">
        <f t="shared" si="1"/>
        <v>30</v>
      </c>
      <c r="D75" s="74" t="s">
        <v>169</v>
      </c>
      <c r="E75" s="74"/>
      <c r="F75" s="75"/>
      <c r="G75" s="75"/>
      <c r="H75" s="75"/>
      <c r="I75" s="75"/>
      <c r="J75" s="75"/>
      <c r="K75" s="75"/>
      <c r="L75" s="75"/>
      <c r="M75" s="75"/>
    </row>
    <row r="76" spans="1:13" x14ac:dyDescent="0.25">
      <c r="A76" s="147"/>
      <c r="B76" s="109" t="s">
        <v>125</v>
      </c>
      <c r="C76" s="126">
        <f t="shared" si="1"/>
        <v>30</v>
      </c>
      <c r="D76" s="74" t="s">
        <v>169</v>
      </c>
      <c r="E76" s="74"/>
      <c r="F76" s="75"/>
      <c r="G76" s="75"/>
      <c r="H76" s="75"/>
      <c r="I76" s="75"/>
      <c r="J76" s="75"/>
      <c r="K76" s="75"/>
      <c r="L76" s="75"/>
      <c r="M76" s="75"/>
    </row>
    <row r="77" spans="1:13" x14ac:dyDescent="0.25">
      <c r="A77" s="147"/>
      <c r="B77" s="109" t="s">
        <v>126</v>
      </c>
      <c r="C77" s="126">
        <f t="shared" si="1"/>
        <v>30</v>
      </c>
      <c r="D77" s="74" t="s">
        <v>169</v>
      </c>
      <c r="E77" s="74"/>
      <c r="F77" s="76"/>
      <c r="G77" s="76"/>
      <c r="H77" s="76"/>
      <c r="I77" s="76"/>
      <c r="J77" s="76"/>
      <c r="K77" s="76"/>
      <c r="L77" s="76"/>
      <c r="M77" s="76"/>
    </row>
    <row r="78" spans="1:13" x14ac:dyDescent="0.25">
      <c r="A78" s="147"/>
      <c r="B78" s="109" t="s">
        <v>127</v>
      </c>
      <c r="C78" s="126">
        <f>30*E64</f>
        <v>30</v>
      </c>
      <c r="D78" s="74" t="s">
        <v>169</v>
      </c>
      <c r="E78" s="74"/>
      <c r="F78" s="76"/>
      <c r="G78" s="76"/>
      <c r="H78" s="76"/>
      <c r="I78" s="76"/>
      <c r="J78" s="76"/>
      <c r="K78" s="76"/>
      <c r="L78" s="76"/>
      <c r="M78" s="76"/>
    </row>
    <row r="79" spans="1:13" x14ac:dyDescent="0.25">
      <c r="A79" s="147"/>
      <c r="B79" s="78"/>
      <c r="C79" s="126"/>
      <c r="D79" s="74"/>
      <c r="E79" s="74"/>
      <c r="F79" s="74"/>
      <c r="G79" s="74"/>
      <c r="H79" s="74"/>
      <c r="I79" s="74"/>
      <c r="J79" s="74"/>
      <c r="K79" s="74"/>
      <c r="L79" s="74"/>
      <c r="M79" s="74"/>
    </row>
    <row r="80" spans="1:13" ht="15.75" thickBot="1" x14ac:dyDescent="0.3">
      <c r="A80" s="154"/>
      <c r="B80" s="99" t="s">
        <v>170</v>
      </c>
      <c r="C80" s="127"/>
      <c r="D80" s="127"/>
      <c r="E80" s="127"/>
      <c r="F80" s="128"/>
      <c r="G80" s="128"/>
      <c r="H80" s="128"/>
      <c r="I80" s="128"/>
      <c r="J80" s="215"/>
      <c r="K80" s="128"/>
      <c r="L80" s="62"/>
      <c r="M80" s="128"/>
    </row>
    <row r="81" spans="1:14" ht="17.25" customHeight="1" thickBot="1" x14ac:dyDescent="0.3">
      <c r="A81" s="154"/>
      <c r="B81" s="620" t="s">
        <v>1</v>
      </c>
      <c r="C81" s="632" t="s">
        <v>2</v>
      </c>
      <c r="D81" s="640" t="s">
        <v>117</v>
      </c>
      <c r="E81" s="615" t="s">
        <v>171</v>
      </c>
      <c r="F81" s="616"/>
      <c r="G81" s="616"/>
      <c r="H81" s="616"/>
      <c r="I81" s="616"/>
      <c r="J81" s="616"/>
      <c r="K81" s="616"/>
      <c r="L81" s="616"/>
      <c r="M81" s="617"/>
      <c r="N81" s="215"/>
    </row>
    <row r="82" spans="1:14" ht="39.75" thickBot="1" x14ac:dyDescent="0.3">
      <c r="A82" s="161"/>
      <c r="B82" s="621"/>
      <c r="C82" s="633"/>
      <c r="D82" s="641"/>
      <c r="E82" s="186" t="s">
        <v>152</v>
      </c>
      <c r="F82" s="236" t="s">
        <v>156</v>
      </c>
      <c r="G82" s="236" t="s">
        <v>157</v>
      </c>
      <c r="H82" s="236" t="s">
        <v>158</v>
      </c>
      <c r="I82" s="236" t="s">
        <v>159</v>
      </c>
      <c r="J82" s="236" t="s">
        <v>124</v>
      </c>
      <c r="K82" s="236" t="s">
        <v>125</v>
      </c>
      <c r="L82" s="236" t="s">
        <v>126</v>
      </c>
      <c r="M82" s="247" t="s">
        <v>127</v>
      </c>
    </row>
    <row r="83" spans="1:14" x14ac:dyDescent="0.25">
      <c r="A83" s="161"/>
      <c r="B83" s="100" t="s">
        <v>4</v>
      </c>
      <c r="C83" s="101" t="s">
        <v>5</v>
      </c>
      <c r="D83" s="101" t="s">
        <v>128</v>
      </c>
      <c r="E83" s="224">
        <f>IFERROR(('EF Determination'!H6*$E$135/1000+IF($D83="Yes",'EF Determination'!H6*$G$135/1000*$G$146*$C$149,0)),)</f>
        <v>0.28029778151111112</v>
      </c>
      <c r="F83" s="89">
        <f>IFERROR(('EF Determination'!H6*$E$136/1000+IF($D83="Yes",'EF Determination'!H6*$G$136/1000*$G$146*$C$150,0)),)</f>
        <v>0.29964669553333328</v>
      </c>
      <c r="G83" s="89">
        <f>IFERROR(('EF Determination'!H6*$E$137/1000+IF($D83="Yes",'EF Determination'!H6*$G$137/1000*$G$146*$C$151,0)),)</f>
        <v>0.37599646437777784</v>
      </c>
      <c r="H83" s="89">
        <f>IFERROR(('EF Determination'!H6*$E$138/1000+IF($D83="Yes",'EF Determination'!H6*$G$138/1000*$G$146*$C$152,0)),)</f>
        <v>0.6714596109333334</v>
      </c>
      <c r="I83" s="89">
        <f>IFERROR(('EF Determination'!H6*$E$139/1000+IF($D83="Yes",'EF Determination'!H6*$G$139/1000*$G$146*$C$153,0)),)</f>
        <v>0.72636869126666681</v>
      </c>
      <c r="J83" s="89">
        <f>IFERROR(('EF Determination'!G6*$E$140/1000+IF($D83="Yes",'EF Determination'!G6*$G$140/1000*$G$146*$C$154,0)),)</f>
        <v>0</v>
      </c>
      <c r="K83" s="89">
        <f>IFERROR(('EF Determination'!H6*$E$141/1000+IF($D83="Yes",'EF Determination'!H6*$G$141/1000*$G$146*$C$155,0)),)</f>
        <v>0.85239810422222229</v>
      </c>
      <c r="L83" s="89">
        <f>IFERROR(('EF Determination'!H6*$E$142/1000+IF($D83="Yes",'EF Determination'!H6*$G$142/1000*$G$146*$C$156,0)),)</f>
        <v>0.28029778151111112</v>
      </c>
      <c r="M83" s="254">
        <f>IFERROR(('EF Determination'!H6*$E$143/1000+IF($D83="Yes",'EF Determination'!H6*$G$143/1000*$G$146*$C$157,0)),)</f>
        <v>0.53967781813333338</v>
      </c>
    </row>
    <row r="84" spans="1:14" x14ac:dyDescent="0.25">
      <c r="A84" s="161"/>
      <c r="B84" s="102" t="s">
        <v>129</v>
      </c>
      <c r="C84" s="92" t="s">
        <v>8</v>
      </c>
      <c r="D84" s="103" t="s">
        <v>128</v>
      </c>
      <c r="E84" s="224">
        <f>IFERROR(('EF Determination'!H7*$E$135/1000+IF($D84="Yes",'EF Determination'!H7*$G$135/1000*$G$146*$C$149,0)),)</f>
        <v>9.4715161356217885E-4</v>
      </c>
      <c r="F84" s="89">
        <f>IFERROR(('EF Determination'!H7*$E$136/1000+IF($D84="Yes",'EF Determination'!H7*$G$136/1000*$G$146*$C$150,0)),)</f>
        <v>1.0125333480804632E-3</v>
      </c>
      <c r="G84" s="89">
        <f>IFERROR(('EF Determination'!H7*$E$137/1000+IF($D84="Yes",'EF Determination'!H7*$G$137/1000*$G$146*$C$151,0)),)</f>
        <v>1.2705261383418032E-3</v>
      </c>
      <c r="H84" s="89">
        <f>IFERROR(('EF Determination'!H7*$E$138/1000+IF($D84="Yes",'EF Determination'!H7*$G$138/1000*$G$146*$C$152,0)),)</f>
        <v>2.2689228951750704E-3</v>
      </c>
      <c r="I84" s="89">
        <f>IFERROR(('EF Determination'!H7*$E$139/1000+IF($D84="Yes",'EF Determination'!H7*$G$139/1000*$G$146*$C$153,0)),)</f>
        <v>2.4544656552945268E-3</v>
      </c>
      <c r="J84" s="89">
        <f>IFERROR(('EF Determination'!G7*$E$140/1000+IF($D84="Yes",'EF Determination'!G7*$G$140/1000*$G$146*$C$154,0)),)</f>
        <v>2.3772858343022239E-3</v>
      </c>
      <c r="K84" s="89">
        <f>IFERROR(('EF Determination'!H7*$E$141/1000+IF($D84="Yes",'EF Determination'!H7*$G$141/1000*$G$146*$C$155,0)),)</f>
        <v>2.8803304666163271E-3</v>
      </c>
      <c r="L84" s="89">
        <f>IFERROR(('EF Determination'!H7*$E$142/1000+IF($D84="Yes",'EF Determination'!H7*$G$142/1000*$G$146*$C$156,0)),)</f>
        <v>9.4715161356217885E-4</v>
      </c>
      <c r="M84" s="254">
        <f>IFERROR(('EF Determination'!H7*$E$143/1000+IF($D84="Yes",'EF Determination'!H7*$G$143/1000*$G$146*$C$157,0)),)</f>
        <v>1.823620270888374E-3</v>
      </c>
    </row>
    <row r="85" spans="1:14" x14ac:dyDescent="0.25">
      <c r="A85" s="161"/>
      <c r="B85" s="104" t="s">
        <v>130</v>
      </c>
      <c r="C85" s="91" t="s">
        <v>10</v>
      </c>
      <c r="D85" s="105" t="s">
        <v>128</v>
      </c>
      <c r="E85" s="224">
        <f>IFERROR(('EF Determination'!H8*$E$135/1000+IF($D85="Yes",'EF Determination'!H8*$G$135/1000*$G$146*$C$149,0)),)</f>
        <v>1.0441110064027947E-3</v>
      </c>
      <c r="F85" s="89">
        <f>IFERROR(('EF Determination'!H8*$E$136/1000+IF($D85="Yes",'EF Determination'!H8*$G$136/1000*$G$146*$C$150,0)),)</f>
        <v>1.1161858333373158E-3</v>
      </c>
      <c r="G85" s="89">
        <f>IFERROR(('EF Determination'!H8*$E$137/1000+IF($D85="Yes",'EF Determination'!H8*$G$137/1000*$G$146*$C$151,0)),)</f>
        <v>1.4005892044843457E-3</v>
      </c>
      <c r="H85" s="89">
        <f>IFERROR(('EF Determination'!H8*$E$138/1000+IF($D85="Yes",'EF Determination'!H8*$G$138/1000*$G$146*$C$152,0)),)</f>
        <v>2.5011912914574409E-3</v>
      </c>
      <c r="I85" s="89">
        <f>IFERROR(('EF Determination'!H8*$E$139/1000+IF($D85="Yes",'EF Determination'!H8*$G$139/1000*$G$146*$C$153,0)),)</f>
        <v>2.7057279624878392E-3</v>
      </c>
      <c r="J85" s="89">
        <f>IFERROR(('EF Determination'!G8*$E$140/1000+IF($D85="Yes",'EF Determination'!G8*$G$140/1000*$G$146*$C$154,0)),)</f>
        <v>2.8296339832417122E-3</v>
      </c>
      <c r="K85" s="89">
        <f>IFERROR(('EF Determination'!H8*$E$141/1000+IF($D85="Yes",'EF Determination'!H8*$G$141/1000*$G$146*$C$155,0)),)</f>
        <v>3.1751883217099909E-3</v>
      </c>
      <c r="L85" s="89">
        <f>IFERROR(('EF Determination'!H8*$E$142/1000+IF($D85="Yes",'EF Determination'!H8*$G$142/1000*$G$146*$C$156,0)),)</f>
        <v>1.0441110064027947E-3</v>
      </c>
      <c r="M85" s="254">
        <f>IFERROR(('EF Determination'!H8*$E$143/1000+IF($D85="Yes",'EF Determination'!H8*$G$143/1000*$G$146*$C$157,0)),)</f>
        <v>2.010303280984485E-3</v>
      </c>
    </row>
    <row r="86" spans="1:14" x14ac:dyDescent="0.25">
      <c r="A86" s="161"/>
      <c r="B86" s="104" t="s">
        <v>11</v>
      </c>
      <c r="C86" s="91" t="s">
        <v>12</v>
      </c>
      <c r="D86" s="91" t="s">
        <v>128</v>
      </c>
      <c r="E86" s="224">
        <f>IFERROR(('EF Determination'!H9*$E$135/1000+IF($D86="Yes",'EF Determination'!H9*$G$135/1000*$G$146*$C$149,0)),)</f>
        <v>1.0099229634666667</v>
      </c>
      <c r="F86" s="89">
        <f>IFERROR(('EF Determination'!H9*$E$136/1000+IF($D86="Yes",'EF Determination'!H9*$G$136/1000*$G$146*$C$150,0)),)</f>
        <v>1.0796377948999998</v>
      </c>
      <c r="G86" s="89">
        <f>IFERROR(('EF Determination'!H9*$E$137/1000+IF($D86="Yes",'EF Determination'!H9*$G$137/1000*$G$146*$C$151,0)),)</f>
        <v>1.3547287513666668</v>
      </c>
      <c r="H86" s="89">
        <f>IFERROR(('EF Determination'!H9*$E$138/1000+IF($D86="Yes",'EF Determination'!H9*$G$138/1000*$G$146*$C$152,0)),)</f>
        <v>2.4192930692000005</v>
      </c>
      <c r="I86" s="89">
        <f>IFERROR(('EF Determination'!H9*$E$139/1000+IF($D86="Yes",'EF Determination'!H9*$G$139/1000*$G$146*$C$153,0)),)</f>
        <v>2.6171324556999997</v>
      </c>
      <c r="J86" s="89">
        <f>IFERROR(('EF Determination'!G9*$E$140/1000+IF($D86="Yes",'EF Determination'!G9*$G$140/1000*$G$146*$C$154,0)),)</f>
        <v>0</v>
      </c>
      <c r="K86" s="89">
        <f>IFERROR(('EF Determination'!H9*$E$141/1000+IF($D86="Yes",'EF Determination'!H9*$G$141/1000*$G$146*$C$155,0)),)</f>
        <v>3.0712209523333334</v>
      </c>
      <c r="L86" s="89">
        <f>IFERROR(('EF Determination'!H9*$E$142/1000+IF($D86="Yes",'EF Determination'!H9*$G$142/1000*$G$146*$C$156,0)),)</f>
        <v>1.0099229634666667</v>
      </c>
      <c r="M86" s="254">
        <f>IFERROR(('EF Determination'!H9*$E$143/1000+IF($D86="Yes",'EF Determination'!H9*$G$143/1000*$G$146*$C$157,0)),)</f>
        <v>1.9444785416000001</v>
      </c>
    </row>
    <row r="87" spans="1:14" x14ac:dyDescent="0.25">
      <c r="A87" s="161"/>
      <c r="B87" s="104" t="s">
        <v>13</v>
      </c>
      <c r="C87" s="91" t="s">
        <v>14</v>
      </c>
      <c r="D87" s="91" t="s">
        <v>128</v>
      </c>
      <c r="E87" s="224">
        <f>IFERROR(('EF Determination'!H10*$E$135/1000+IF($D87="Yes",'EF Determination'!H10*$G$135/1000*$G$146*$C$149,0)),)</f>
        <v>4.3707887733333332E-2</v>
      </c>
      <c r="F87" s="89">
        <f>IFERROR(('EF Determination'!H10*$E$136/1000+IF($D87="Yes",'EF Determination'!H10*$G$136/1000*$G$146*$C$150,0)),)</f>
        <v>4.67250367E-2</v>
      </c>
      <c r="G87" s="89">
        <f>IFERROR(('EF Determination'!H10*$E$137/1000+IF($D87="Yes",'EF Determination'!H10*$G$137/1000*$G$146*$C$151,0)),)</f>
        <v>5.8630543433333335E-2</v>
      </c>
      <c r="H87" s="89">
        <f>IFERROR(('EF Determination'!H10*$E$138/1000+IF($D87="Yes",'EF Determination'!H10*$G$138/1000*$G$146*$C$152,0)),)</f>
        <v>0.10470322360000002</v>
      </c>
      <c r="I87" s="89">
        <f>IFERROR(('EF Determination'!H10*$E$139/1000+IF($D87="Yes",'EF Determination'!H10*$G$139/1000*$G$146*$C$153,0)),)</f>
        <v>0.11326540310000002</v>
      </c>
      <c r="J87" s="89">
        <f>IFERROR(('EF Determination'!G10*$E$140/1000+IF($D87="Yes",'EF Determination'!G10*$G$140/1000*$G$146*$C$154,0)),)</f>
        <v>0.14147982316666669</v>
      </c>
      <c r="K87" s="89">
        <f>IFERROR(('EF Determination'!H10*$E$141/1000+IF($D87="Yes",'EF Determination'!H10*$G$141/1000*$G$146*$C$155,0)),)</f>
        <v>0.13291764366666667</v>
      </c>
      <c r="L87" s="89">
        <f>IFERROR(('EF Determination'!H10*$E$142/1000+IF($D87="Yes",'EF Determination'!H10*$G$142/1000*$G$146*$C$156,0)),)</f>
        <v>4.3707887733333332E-2</v>
      </c>
      <c r="M87" s="254">
        <f>IFERROR(('EF Determination'!H10*$E$143/1000+IF($D87="Yes",'EF Determination'!H10*$G$143/1000*$G$146*$C$157,0)),)</f>
        <v>8.4153992799999994E-2</v>
      </c>
    </row>
    <row r="88" spans="1:14" x14ac:dyDescent="0.25">
      <c r="A88" s="161"/>
      <c r="B88" s="104" t="s">
        <v>172</v>
      </c>
      <c r="C88" s="91" t="s">
        <v>16</v>
      </c>
      <c r="D88" s="91" t="s">
        <v>131</v>
      </c>
      <c r="E88" s="224">
        <f>IFERROR(('EF Determination'!H11*$E$135/1000+IF($D88="Yes",'EF Determination'!H11*$G$135/1000*$G$146*$C$149,0)),)</f>
        <v>1.02912</v>
      </c>
      <c r="F88" s="89">
        <f>IFERROR(('EF Determination'!H11*$E$136/1000+IF($D88="Yes",'EF Determination'!H11*$G$136/1000*$G$146*$C$150,0)),)</f>
        <v>1.1001599999999998</v>
      </c>
      <c r="G88" s="89">
        <f>IFERROR(('EF Determination'!H11*$E$137/1000+IF($D88="Yes",'EF Determination'!H11*$G$137/1000*$G$146*$C$151,0)),)</f>
        <v>1.3804800000000002</v>
      </c>
      <c r="H88" s="89">
        <f>IFERROR(('EF Determination'!H11*$E$138/1000+IF($D88="Yes",'EF Determination'!H11*$G$138/1000*$G$146*$C$152,0)),)</f>
        <v>2.4652800000000008</v>
      </c>
      <c r="I88" s="89">
        <f>IFERROR(('EF Determination'!H11*$E$139/1000+IF($D88="Yes",'EF Determination'!H11*$G$139/1000*$G$146*$C$153,0)),)</f>
        <v>2.6668800000000004</v>
      </c>
      <c r="J88" s="89">
        <f>IFERROR(('EF Determination'!G11*$E$140/1000+IF($D88="Yes",'EF Determination'!G11*$G$140/1000*$G$146*$C$154,0)),)</f>
        <v>3.3312000000000004</v>
      </c>
      <c r="K88" s="89">
        <f>IFERROR(('EF Determination'!H11*$E$141/1000+IF($D88="Yes",'EF Determination'!H11*$G$141/1000*$G$146*$C$155,0)),)</f>
        <v>3.1296000000000004</v>
      </c>
      <c r="L88" s="89">
        <f>IFERROR(('EF Determination'!H11*$E$142/1000+IF($D88="Yes",'EF Determination'!H11*$G$142/1000*$G$146*$C$156,0)),)</f>
        <v>1.02912</v>
      </c>
      <c r="M88" s="254">
        <f>IFERROR(('EF Determination'!H11*$E$143/1000+IF($D88="Yes",'EF Determination'!H11*$G$143/1000*$G$146*$C$157,0)),)</f>
        <v>1.9814400000000003</v>
      </c>
    </row>
    <row r="89" spans="1:14" x14ac:dyDescent="0.25">
      <c r="A89" s="161"/>
      <c r="B89" s="104" t="s">
        <v>132</v>
      </c>
      <c r="C89" s="91" t="s">
        <v>18</v>
      </c>
      <c r="D89" s="91" t="s">
        <v>128</v>
      </c>
      <c r="E89" s="224">
        <f>IFERROR(('EF Determination'!H12*$E$135/1000+IF($D89="Yes",'EF Determination'!H12*$G$135/1000*$G$146*$C$149,0)),)</f>
        <v>5.8288788716657472E-4</v>
      </c>
      <c r="F89" s="89">
        <f>IFERROR(('EF Determination'!H12*$E$136/1000+IF($D89="Yes",'EF Determination'!H12*$G$136/1000*$G$146*$C$150,0)),)</f>
        <v>6.2312455101949107E-4</v>
      </c>
      <c r="G89" s="89">
        <f>IFERROR(('EF Determination'!H12*$E$137/1000+IF($D89="Yes",'EF Determination'!H12*$G$137/1000*$G$146*$C$151,0)),)</f>
        <v>7.8189625162829689E-4</v>
      </c>
      <c r="H89" s="89">
        <f>IFERROR(('EF Determination'!H12*$E$138/1000+IF($D89="Yes",'EF Determination'!H12*$G$138/1000*$G$146*$C$152,0)),)</f>
        <v>1.3963209834363466E-3</v>
      </c>
      <c r="I89" s="89">
        <f>IFERROR(('EF Determination'!H12*$E$139/1000+IF($D89="Yes",'EF Determination'!H12*$G$139/1000*$G$146*$C$153,0)),)</f>
        <v>1.5105061105865154E-3</v>
      </c>
      <c r="J89" s="89">
        <f>IFERROR(('EF Determination'!G12*$E$140/1000+IF($D89="Yes",'EF Determination'!G12*$G$140/1000*$G$146*$C$154,0)),)</f>
        <v>1.3108195840943763E-3</v>
      </c>
      <c r="K89" s="89">
        <f>IFERROR(('EF Determination'!H12*$E$141/1000+IF($D89="Yes",'EF Determination'!H12*$G$141/1000*$G$146*$C$155,0)),)</f>
        <v>1.7725881643311878E-3</v>
      </c>
      <c r="L89" s="89">
        <f>IFERROR(('EF Determination'!H12*$E$142/1000+IF($D89="Yes",'EF Determination'!H12*$G$142/1000*$G$146*$C$156,0)),)</f>
        <v>5.8288788716657472E-4</v>
      </c>
      <c r="M89" s="254">
        <f>IFERROR(('EF Determination'!H12*$E$143/1000+IF($D89="Yes",'EF Determination'!H12*$G$143/1000*$G$146*$C$157,0)),)</f>
        <v>1.1222766782759423E-3</v>
      </c>
    </row>
    <row r="90" spans="1:14" x14ac:dyDescent="0.25">
      <c r="A90" s="161"/>
      <c r="B90" s="104" t="s">
        <v>19</v>
      </c>
      <c r="C90" s="91" t="s">
        <v>20</v>
      </c>
      <c r="D90" s="91" t="s">
        <v>131</v>
      </c>
      <c r="E90" s="224">
        <f>IFERROR(('EF Determination'!H13*$E$135/1000+IF($D90="Yes",'EF Determination'!H13*$G$135/1000*$G$146*$C$149,0)),)</f>
        <v>4.0931610804966059E-4</v>
      </c>
      <c r="F90" s="89">
        <f>IFERROR(('EF Determination'!H13*$E$136/1000+IF($D90="Yes",'EF Determination'!H13*$G$136/1000*$G$146*$C$150,0)),)</f>
        <v>4.3757113789637215E-4</v>
      </c>
      <c r="G90" s="89">
        <f>IFERROR(('EF Determination'!H13*$E$137/1000+IF($D90="Yes",'EF Determination'!H13*$G$137/1000*$G$146*$C$151,0)),)</f>
        <v>5.4906395837258574E-4</v>
      </c>
      <c r="H90" s="89">
        <f>IFERROR(('EF Determination'!H13*$E$138/1000+IF($D90="Yes",'EF Determination'!H13*$G$138/1000*$G$146*$C$152,0)),)</f>
        <v>9.8052590062642575E-4</v>
      </c>
      <c r="I90" s="89">
        <f>IFERROR(('EF Determination'!H13*$E$139/1000+IF($D90="Yes",'EF Determination'!H13*$G$139/1000*$G$146*$C$153,0)),)</f>
        <v>1.0607090934346614E-3</v>
      </c>
      <c r="J90" s="89">
        <f>IFERROR(('EF Determination'!G13*$E$140/1000+IF($D90="Yes",'EF Determination'!G13*$G$140/1000*$G$146*$C$154,0)),)</f>
        <v>1.0592613018486035E-3</v>
      </c>
      <c r="K90" s="89">
        <f>IFERROR(('EF Determination'!H13*$E$141/1000+IF($D90="Yes",'EF Determination'!H13*$G$141/1000*$G$146*$C$155,0)),)</f>
        <v>1.2447486121659453E-3</v>
      </c>
      <c r="L90" s="89">
        <f>IFERROR(('EF Determination'!H13*$E$142/1000+IF($D90="Yes",'EF Determination'!H13*$G$142/1000*$G$146*$C$156,0)),)</f>
        <v>4.0931610804966059E-4</v>
      </c>
      <c r="M90" s="254">
        <f>IFERROR(('EF Determination'!H13*$E$143/1000+IF($D90="Yes",'EF Determination'!H13*$G$143/1000*$G$146*$C$157,0)),)</f>
        <v>7.8808623788665993E-4</v>
      </c>
    </row>
    <row r="91" spans="1:14" x14ac:dyDescent="0.25">
      <c r="A91" s="161"/>
      <c r="B91" s="104" t="s">
        <v>21</v>
      </c>
      <c r="C91" s="91" t="s">
        <v>22</v>
      </c>
      <c r="D91" s="91" t="s">
        <v>131</v>
      </c>
      <c r="E91" s="224">
        <f>IFERROR(('EF Determination'!H14*$E$135/1000+IF($D91="Yes",'EF Determination'!H14*$G$135/1000*$G$146*$C$149,0)),)</f>
        <v>3.5614328547149568E-4</v>
      </c>
      <c r="F91" s="89">
        <f>IFERROR(('EF Determination'!H14*$E$136/1000+IF($D91="Yes",'EF Determination'!H14*$G$136/1000*$G$146*$C$150,0)),)</f>
        <v>3.8072780331187874E-4</v>
      </c>
      <c r="G91" s="89">
        <f>IFERROR(('EF Determination'!H14*$E$137/1000+IF($D91="Yes",'EF Determination'!H14*$G$137/1000*$G$146*$C$151,0)),)</f>
        <v>4.7773698181717425E-4</v>
      </c>
      <c r="H91" s="89">
        <f>IFERROR(('EF Determination'!H14*$E$138/1000+IF($D91="Yes",'EF Determination'!H14*$G$138/1000*$G$146*$C$152,0)),)</f>
        <v>8.531492137041055E-4</v>
      </c>
      <c r="I91" s="89">
        <f>IFERROR(('EF Determination'!H14*$E$139/1000+IF($D91="Yes",'EF Determination'!H14*$G$139/1000*$G$146*$C$153,0)),)</f>
        <v>9.2291608865654399E-4</v>
      </c>
      <c r="J91" s="89">
        <f>IFERROR(('EF Determination'!G14*$E$140/1000+IF($D91="Yes",'EF Determination'!G14*$G$140/1000*$G$146*$C$154,0)),)</f>
        <v>8.0781599999999994E-4</v>
      </c>
      <c r="K91" s="89">
        <f>IFERROR(('EF Determination'!H14*$E$141/1000+IF($D91="Yes",'EF Determination'!H14*$G$141/1000*$G$146*$C$155,0)),)</f>
        <v>1.0830476778330932E-3</v>
      </c>
      <c r="L91" s="89">
        <f>IFERROR(('EF Determination'!H14*$E$142/1000+IF($D91="Yes",'EF Determination'!H14*$G$142/1000*$G$146*$C$156,0)),)</f>
        <v>3.5614328547149568E-4</v>
      </c>
      <c r="M91" s="254">
        <f>IFERROR(('EF Determination'!H14*$E$143/1000+IF($D91="Yes",'EF Determination'!H14*$G$143/1000*$G$146*$C$157,0)),)</f>
        <v>6.8570871381825292E-4</v>
      </c>
    </row>
    <row r="92" spans="1:14" x14ac:dyDescent="0.25">
      <c r="A92" s="161"/>
      <c r="B92" s="104" t="s">
        <v>23</v>
      </c>
      <c r="C92" s="91" t="s">
        <v>24</v>
      </c>
      <c r="D92" s="91" t="s">
        <v>131</v>
      </c>
      <c r="E92" s="224">
        <f>IFERROR(('EF Determination'!H15*$E$135/1000+IF($D92="Yes",'EF Determination'!H15*$G$135/1000*$G$146*$C$149,0)),)</f>
        <v>4.8097640465600785E-4</v>
      </c>
      <c r="F92" s="89">
        <f>IFERROR(('EF Determination'!H15*$E$136/1000+IF($D92="Yes",'EF Determination'!H15*$G$136/1000*$G$146*$C$150,0)),)</f>
        <v>5.1417813408188883E-4</v>
      </c>
      <c r="G92" s="89">
        <f>IFERROR(('EF Determination'!H15*$E$137/1000+IF($D92="Yes",'EF Determination'!H15*$G$137/1000*$G$146*$C$151,0)),)</f>
        <v>6.4519036370833886E-4</v>
      </c>
      <c r="H92" s="89">
        <f>IFERROR(('EF Determination'!H15*$E$138/1000+IF($D92="Yes",'EF Determination'!H15*$G$138/1000*$G$146*$C$152,0)),)</f>
        <v>1.1521897454819293E-3</v>
      </c>
      <c r="I92" s="89">
        <f>IFERROR(('EF Determination'!H15*$E$139/1000+IF($D92="Yes",'EF Determination'!H15*$G$139/1000*$G$146*$C$153,0)),)</f>
        <v>1.2464108695283487E-3</v>
      </c>
      <c r="J92" s="89">
        <f>IFERROR(('EF Determination'!G15*$E$140/1000+IF($D92="Yes",'EF Determination'!G15*$G$140/1000*$G$146*$C$154,0)),)</f>
        <v>2.8775957014172686E-3</v>
      </c>
      <c r="K92" s="89">
        <f>IFERROR(('EF Determination'!H15*$E$141/1000+IF($D92="Yes",'EF Determination'!H15*$G$141/1000*$G$146*$C$155,0)),)</f>
        <v>1.4626707828158446E-3</v>
      </c>
      <c r="L92" s="89">
        <f>IFERROR(('EF Determination'!H15*$E$142/1000+IF($D92="Yes",'EF Determination'!H15*$G$142/1000*$G$146*$C$156,0)),)</f>
        <v>4.8097640465600785E-4</v>
      </c>
      <c r="M92" s="254">
        <f>IFERROR(('EF Determination'!H15*$E$143/1000+IF($D92="Yes",'EF Determination'!H15*$G$143/1000*$G$146*$C$157,0)),)</f>
        <v>9.2605904777052247E-4</v>
      </c>
    </row>
    <row r="93" spans="1:14" x14ac:dyDescent="0.25">
      <c r="A93" s="161"/>
      <c r="B93" s="104" t="s">
        <v>133</v>
      </c>
      <c r="C93" s="91" t="s">
        <v>26</v>
      </c>
      <c r="D93" s="91" t="s">
        <v>128</v>
      </c>
      <c r="E93" s="224">
        <f>IFERROR(('EF Determination'!H16*$E$135/1000+IF($D93="Yes",'EF Determination'!H16*$G$135/1000*$G$146*$C$149,0)),)</f>
        <v>6.2585213179279064E-5</v>
      </c>
      <c r="F93" s="89">
        <f>IFERROR(('EF Determination'!H16*$E$136/1000+IF($D93="Yes",'EF Determination'!H16*$G$136/1000*$G$146*$C$150,0)),)</f>
        <v>6.6905461103968088E-5</v>
      </c>
      <c r="G93" s="89">
        <f>IFERROR(('EF Determination'!H16*$E$137/1000+IF($D93="Yes",'EF Determination'!H16*$G$137/1000*$G$146*$C$151,0)),)</f>
        <v>8.3952925887876214E-5</v>
      </c>
      <c r="H93" s="89">
        <f>IFERROR(('EF Determination'!H16*$E$138/1000+IF($D93="Yes",'EF Determination'!H16*$G$138/1000*$G$146*$C$152,0)),)</f>
        <v>1.4992427933245209E-4</v>
      </c>
      <c r="I93" s="89">
        <f>IFERROR(('EF Determination'!H16*$E$139/1000+IF($D93="Yes",'EF Determination'!H16*$G$139/1000*$G$146*$C$153,0)),)</f>
        <v>1.6218444236197502E-4</v>
      </c>
      <c r="J93" s="89">
        <f>IFERROR(('EF Determination'!G16*$E$140/1000+IF($D93="Yes",'EF Determination'!G16*$G$140/1000*$G$146*$C$154,0)),)</f>
        <v>1.6705196721449191E-4</v>
      </c>
      <c r="K93" s="89">
        <f>IFERROR(('EF Determination'!H16*$E$141/1000+IF($D93="Yes",'EF Determination'!H16*$G$141/1000*$G$146*$C$155,0)),)</f>
        <v>1.903244356011658E-4</v>
      </c>
      <c r="L93" s="89">
        <f>IFERROR(('EF Determination'!H16*$E$142/1000+IF($D93="Yes",'EF Determination'!H16*$G$142/1000*$G$146*$C$156,0)),)</f>
        <v>6.2585213179279064E-5</v>
      </c>
      <c r="M93" s="254">
        <f>IFERROR(('EF Determination'!H16*$E$143/1000+IF($D93="Yes",'EF Determination'!H16*$G$143/1000*$G$146*$C$157,0)),)</f>
        <v>1.20499888061597E-4</v>
      </c>
    </row>
    <row r="94" spans="1:14" x14ac:dyDescent="0.25">
      <c r="A94" s="161"/>
      <c r="B94" s="104" t="s">
        <v>27</v>
      </c>
      <c r="C94" s="91" t="s">
        <v>28</v>
      </c>
      <c r="D94" s="91" t="s">
        <v>128</v>
      </c>
      <c r="E94" s="224">
        <f>IFERROR(('EF Determination'!H17*$E$135/1000+IF($D94="Yes",'EF Determination'!H17*$G$135/1000*$G$146*$C$149,0)),)</f>
        <v>0.24019998480000004</v>
      </c>
      <c r="F94" s="89">
        <f>IFERROR(('EF Determination'!H17*$E$136/1000+IF($D94="Yes",'EF Determination'!H17*$G$136/1000*$G$146*$C$150,0)),)</f>
        <v>0.25678095389999994</v>
      </c>
      <c r="G94" s="89">
        <f>IFERROR(('EF Determination'!H17*$E$137/1000+IF($D94="Yes",'EF Determination'!H17*$G$137/1000*$G$146*$C$151,0)),)</f>
        <v>0.32220856170000001</v>
      </c>
      <c r="H94" s="89">
        <f>IFERROR(('EF Determination'!H17*$E$138/1000+IF($D94="Yes",'EF Determination'!H17*$G$138/1000*$G$146*$C$152,0)),)</f>
        <v>0.57540444120000001</v>
      </c>
      <c r="I94" s="89">
        <f>IFERROR(('EF Determination'!H17*$E$139/1000+IF($D94="Yes",'EF Determination'!H17*$G$139/1000*$G$146*$C$153,0)),)</f>
        <v>0.62245854270000001</v>
      </c>
      <c r="J94" s="89">
        <f>IFERROR(('EF Determination'!G17*$E$140/1000+IF($D94="Yes",'EF Determination'!G17*$G$140/1000*$G$146*$C$154,0)),)</f>
        <v>0</v>
      </c>
      <c r="K94" s="89">
        <f>IFERROR(('EF Determination'!H17*$E$141/1000+IF($D94="Yes",'EF Determination'!H17*$G$141/1000*$G$146*$C$155,0)),)</f>
        <v>0.7304589090000001</v>
      </c>
      <c r="L94" s="89">
        <f>IFERROR(('EF Determination'!H17*$E$142/1000+IF($D94="Yes",'EF Determination'!H17*$G$142/1000*$G$146*$C$156,0)),)</f>
        <v>0.24019998480000004</v>
      </c>
      <c r="M94" s="254">
        <f>IFERROR(('EF Determination'!H17*$E$143/1000+IF($D94="Yes",'EF Determination'!H17*$G$143/1000*$G$146*$C$157,0)),)</f>
        <v>0.46247459759999998</v>
      </c>
    </row>
    <row r="95" spans="1:14" x14ac:dyDescent="0.25">
      <c r="A95" s="161"/>
      <c r="B95" s="104" t="s">
        <v>134</v>
      </c>
      <c r="C95" s="91" t="s">
        <v>30</v>
      </c>
      <c r="D95" s="91" t="s">
        <v>128</v>
      </c>
      <c r="E95" s="224">
        <f>IFERROR(('EF Determination'!H18*$E$135/1000+IF($D95="Yes",'EF Determination'!H18*$G$135/1000*$G$146*$C$149,0)),)</f>
        <v>1.8547148652436152E-5</v>
      </c>
      <c r="F95" s="89">
        <f>IFERROR(('EF Determination'!H18*$E$136/1000+IF($D95="Yes",'EF Determination'!H18*$G$136/1000*$G$146*$C$150,0)),)</f>
        <v>1.982745555568267E-5</v>
      </c>
      <c r="G95" s="89">
        <f>IFERROR(('EF Determination'!H18*$E$137/1000+IF($D95="Yes",'EF Determination'!H18*$G$137/1000*$G$146*$C$151,0)),)</f>
        <v>2.4879477390114913E-5</v>
      </c>
      <c r="H95" s="89">
        <f>IFERROR(('EF Determination'!H18*$E$138/1000+IF($D95="Yes",'EF Determination'!H18*$G$138/1000*$G$146*$C$152,0)),)</f>
        <v>4.4430109831582122E-5</v>
      </c>
      <c r="I95" s="89">
        <f>IFERROR(('EF Determination'!H18*$E$139/1000+IF($D95="Yes",'EF Determination'!H18*$G$139/1000*$G$146*$C$153,0)),)</f>
        <v>4.8063413205660108E-5</v>
      </c>
      <c r="J95" s="89">
        <f>IFERROR(('EF Determination'!G18*$E$140/1000+IF($D95="Yes",'EF Determination'!G18*$G$140/1000*$G$146*$C$154,0)),)</f>
        <v>5.3223908417172684E-5</v>
      </c>
      <c r="K95" s="89">
        <f>IFERROR(('EF Determination'!H18*$E$141/1000+IF($D95="Yes",'EF Determination'!H18*$G$141/1000*$G$146*$C$155,0)),)</f>
        <v>5.6402709521400983E-5</v>
      </c>
      <c r="L95" s="89">
        <f>IFERROR(('EF Determination'!H18*$E$142/1000+IF($D95="Yes",'EF Determination'!H18*$G$142/1000*$G$146*$C$156,0)),)</f>
        <v>1.8547148652436152E-5</v>
      </c>
      <c r="M95" s="254">
        <f>IFERROR(('EF Determination'!H18*$E$143/1000+IF($D95="Yes",'EF Determination'!H18*$G$143/1000*$G$146*$C$157,0)),)</f>
        <v>3.5710181733794987E-5</v>
      </c>
    </row>
    <row r="96" spans="1:14" x14ac:dyDescent="0.25">
      <c r="A96" s="161"/>
      <c r="B96" s="104" t="s">
        <v>135</v>
      </c>
      <c r="C96" s="91" t="s">
        <v>32</v>
      </c>
      <c r="D96" s="91" t="s">
        <v>128</v>
      </c>
      <c r="E96" s="224">
        <f>IFERROR(('EF Determination'!H19*$E$135/1000+IF($D96="Yes",'EF Determination'!H19*$G$135/1000*$G$146*$C$149,0)),)</f>
        <v>5.7185876511428653E-5</v>
      </c>
      <c r="F96" s="89">
        <f>IFERROR(('EF Determination'!H19*$E$136/1000+IF($D96="Yes",'EF Determination'!H19*$G$136/1000*$G$146*$C$150,0)),)</f>
        <v>6.1133409031807108E-5</v>
      </c>
      <c r="G96" s="89">
        <f>IFERROR(('EF Determination'!H19*$E$137/1000+IF($D96="Yes",'EF Determination'!H19*$G$137/1000*$G$146*$C$151,0)),)</f>
        <v>7.6710158977084348E-5</v>
      </c>
      <c r="H96" s="89">
        <f>IFERROR(('EF Determination'!H19*$E$138/1000+IF($D96="Yes",'EF Determination'!H19*$G$138/1000*$G$146*$C$152,0)),)</f>
        <v>1.3699004746394478E-4</v>
      </c>
      <c r="I96" s="89">
        <f>IFERROR(('EF Determination'!H19*$E$139/1000+IF($D96="Yes",'EF Determination'!H19*$G$139/1000*$G$146*$C$153,0)),)</f>
        <v>1.4819250461637013E-4</v>
      </c>
      <c r="J96" s="89">
        <f>IFERROR(('EF Determination'!G19*$E$140/1000+IF($D96="Yes",'EF Determination'!G19*$G$140/1000*$G$146*$C$154,0)),)</f>
        <v>1.4136421708628555E-4</v>
      </c>
      <c r="K96" s="89">
        <f>IFERROR(('EF Determination'!H19*$E$141/1000+IF($D96="Yes",'EF Determination'!H19*$G$141/1000*$G$146*$C$155,0)),)</f>
        <v>1.7390481103288937E-4</v>
      </c>
      <c r="L96" s="89">
        <f>IFERROR(('EF Determination'!H19*$E$142/1000+IF($D96="Yes",'EF Determination'!H19*$G$142/1000*$G$146*$C$156,0)),)</f>
        <v>5.7185876511428653E-5</v>
      </c>
      <c r="M96" s="254">
        <f>IFERROR(('EF Determination'!H19*$E$143/1000+IF($D96="Yes",'EF Determination'!H19*$G$143/1000*$G$146*$C$157,0)),)</f>
        <v>1.1010415029812383E-4</v>
      </c>
    </row>
    <row r="97" spans="1:13" x14ac:dyDescent="0.25">
      <c r="A97" s="161"/>
      <c r="B97" s="104" t="s">
        <v>136</v>
      </c>
      <c r="C97" s="91" t="s">
        <v>34</v>
      </c>
      <c r="D97" s="91" t="s">
        <v>128</v>
      </c>
      <c r="E97" s="224">
        <f>IFERROR(('EF Determination'!H20*$E$135/1000+IF($D97="Yes",'EF Determination'!H20*$G$135/1000*$G$146*$C$149,0)),)</f>
        <v>4.2377690925762063E-5</v>
      </c>
      <c r="F97" s="89">
        <f>IFERROR(('EF Determination'!H20*$E$136/1000+IF($D97="Yes",'EF Determination'!H20*$G$136/1000*$G$146*$C$150,0)),)</f>
        <v>4.530301660533892E-5</v>
      </c>
      <c r="G97" s="89">
        <f>IFERROR(('EF Determination'!H20*$E$137/1000+IF($D97="Yes",'EF Determination'!H20*$G$137/1000*$G$146*$C$151,0)),)</f>
        <v>5.6846193611236802E-5</v>
      </c>
      <c r="H97" s="89">
        <f>IFERROR(('EF Determination'!H20*$E$138/1000+IF($D97="Yes",'EF Determination'!H20*$G$138/1000*$G$146*$C$152,0)),)</f>
        <v>1.0151670736693749E-4</v>
      </c>
      <c r="I97" s="89">
        <f>IFERROR(('EF Determination'!H20*$E$139/1000+IF($D97="Yes",'EF Determination'!H20*$G$139/1000*$G$146*$C$153,0)),)</f>
        <v>1.098183072684394E-4</v>
      </c>
      <c r="J97" s="89">
        <f>IFERROR(('EF Determination'!G20*$E$140/1000+IF($D97="Yes",'EF Determination'!G20*$G$140/1000*$G$146*$C$154,0)),)</f>
        <v>1.0677430333101396E-4</v>
      </c>
      <c r="K97" s="89">
        <f>IFERROR(('EF Determination'!H20*$E$141/1000+IF($D97="Yes",'EF Determination'!H20*$G$141/1000*$G$146*$C$155,0)),)</f>
        <v>1.2887245561379136E-4</v>
      </c>
      <c r="L97" s="89">
        <f>IFERROR(('EF Determination'!H20*$E$142/1000+IF($D97="Yes",'EF Determination'!H20*$G$142/1000*$G$146*$C$156,0)),)</f>
        <v>4.2377690925762063E-5</v>
      </c>
      <c r="M97" s="254">
        <f>IFERROR(('EF Determination'!H20*$E$143/1000+IF($D97="Yes",'EF Determination'!H20*$G$143/1000*$G$146*$C$157,0)),)</f>
        <v>8.1592867603332928E-5</v>
      </c>
    </row>
    <row r="98" spans="1:13" x14ac:dyDescent="0.25">
      <c r="A98" s="161"/>
      <c r="B98" s="104" t="s">
        <v>137</v>
      </c>
      <c r="C98" s="91" t="s">
        <v>36</v>
      </c>
      <c r="D98" s="91" t="s">
        <v>128</v>
      </c>
      <c r="E98" s="224">
        <f>IFERROR(('EF Determination'!H21*$E$135/1000+IF($D98="Yes",'EF Determination'!H21*$G$135/1000*$G$146*$C$149,0)),)</f>
        <v>2.820293192036603E-5</v>
      </c>
      <c r="F98" s="89">
        <f>IFERROR(('EF Determination'!H21*$E$136/1000+IF($D98="Yes",'EF Determination'!H21*$G$136/1000*$G$146*$C$150,0)),)</f>
        <v>3.014977610143607E-5</v>
      </c>
      <c r="G98" s="89">
        <f>IFERROR(('EF Determination'!H21*$E$137/1000+IF($D98="Yes",'EF Determination'!H21*$G$137/1000*$G$146*$C$151,0)),)</f>
        <v>3.7831918005117863E-5</v>
      </c>
      <c r="H98" s="89">
        <f>IFERROR(('EF Determination'!H21*$E$138/1000+IF($D98="Yes",'EF Determination'!H21*$G$138/1000*$G$146*$C$152,0)),)</f>
        <v>6.7560754824160421E-5</v>
      </c>
      <c r="I98" s="89">
        <f>IFERROR(('EF Determination'!H21*$E$139/1000+IF($D98="Yes",'EF Determination'!H21*$G$139/1000*$G$146*$C$153,0)),)</f>
        <v>7.3085582905575407E-5</v>
      </c>
      <c r="J98" s="89">
        <f>IFERROR(('EF Determination'!G21*$E$140/1000+IF($D98="Yes",'EF Determination'!G21*$G$140/1000*$G$146*$C$154,0)),)</f>
        <v>7.9829602786387371E-5</v>
      </c>
      <c r="K98" s="89">
        <f>IFERROR(('EF Determination'!H21*$E$141/1000+IF($D98="Yes",'EF Determination'!H21*$G$141/1000*$G$146*$C$155,0)),)</f>
        <v>8.5766378787680264E-5</v>
      </c>
      <c r="L98" s="89">
        <f>IFERROR(('EF Determination'!H21*$E$142/1000+IF($D98="Yes",'EF Determination'!H21*$G$142/1000*$G$146*$C$156,0)),)</f>
        <v>2.820293192036603E-5</v>
      </c>
      <c r="M98" s="254">
        <f>IFERROR(('EF Determination'!H21*$E$143/1000+IF($D98="Yes",'EF Determination'!H21*$G$143/1000*$G$146*$C$157,0)),)</f>
        <v>5.430116742876445E-5</v>
      </c>
    </row>
    <row r="99" spans="1:13" x14ac:dyDescent="0.25">
      <c r="A99" s="161"/>
      <c r="B99" s="104" t="s">
        <v>138</v>
      </c>
      <c r="C99" s="91" t="s">
        <v>38</v>
      </c>
      <c r="D99" s="91" t="s">
        <v>128</v>
      </c>
      <c r="E99" s="224">
        <f>IFERROR(('EF Determination'!H22*$E$135/1000+IF($D99="Yes",'EF Determination'!H22*$G$135/1000*$G$146*$C$149,0)),)</f>
        <v>1.6831222896615026E-5</v>
      </c>
      <c r="F99" s="89">
        <f>IFERROR(('EF Determination'!H22*$E$136/1000+IF($D99="Yes",'EF Determination'!H22*$G$136/1000*$G$146*$C$150,0)),)</f>
        <v>1.799307970104554E-5</v>
      </c>
      <c r="G99" s="89">
        <f>IFERROR(('EF Determination'!H22*$E$137/1000+IF($D99="Yes",'EF Determination'!H22*$G$137/1000*$G$146*$C$151,0)),)</f>
        <v>2.2577703848257842E-5</v>
      </c>
      <c r="H99" s="89">
        <f>IFERROR(('EF Determination'!H22*$E$138/1000+IF($D99="Yes",'EF Determination'!H22*$G$138/1000*$G$146*$C$152,0)),)</f>
        <v>4.031957126726436E-5</v>
      </c>
      <c r="I99" s="89">
        <f>IFERROR(('EF Determination'!H22*$E$139/1000+IF($D99="Yes",'EF Determination'!H22*$G$139/1000*$G$146*$C$153,0)),)</f>
        <v>4.3616732469026632E-5</v>
      </c>
      <c r="J99" s="89">
        <f>IFERROR(('EF Determination'!G22*$E$140/1000+IF($D99="Yes",'EF Determination'!G22*$G$140/1000*$G$146*$C$154,0)),)</f>
        <v>4.2328014458964996E-5</v>
      </c>
      <c r="K99" s="89">
        <f>IFERROR(('EF Determination'!H22*$E$141/1000+IF($D99="Yes",'EF Determination'!H22*$G$141/1000*$G$146*$C$155,0)),)</f>
        <v>5.1184502465452407E-5</v>
      </c>
      <c r="L99" s="89">
        <f>IFERROR(('EF Determination'!H22*$E$142/1000+IF($D99="Yes",'EF Determination'!H22*$G$142/1000*$G$146*$C$156,0)),)</f>
        <v>1.6831222896615026E-5</v>
      </c>
      <c r="M99" s="254">
        <f>IFERROR(('EF Determination'!H22*$E$143/1000+IF($D99="Yes",'EF Determination'!H22*$G$143/1000*$G$146*$C$157,0)),)</f>
        <v>3.2406384383034897E-5</v>
      </c>
    </row>
    <row r="100" spans="1:13" x14ac:dyDescent="0.25">
      <c r="A100" s="161"/>
      <c r="B100" s="104" t="s">
        <v>39</v>
      </c>
      <c r="C100" s="91" t="s">
        <v>40</v>
      </c>
      <c r="D100" s="91" t="s">
        <v>131</v>
      </c>
      <c r="E100" s="224">
        <f>IFERROR(('EF Determination'!H23*$E$135/1000+IF($D100="Yes",'EF Determination'!H23*$G$135/1000*$G$146*$C$149,0)),)</f>
        <v>6.1372166502780525E-6</v>
      </c>
      <c r="F100" s="89">
        <f>IFERROR(('EF Determination'!H23*$E$136/1000+IF($D100="Yes",'EF Determination'!H23*$G$136/1000*$G$146*$C$150,0)),)</f>
        <v>6.56086779964426E-6</v>
      </c>
      <c r="G100" s="89">
        <f>IFERROR(('EF Determination'!H23*$E$137/1000+IF($D100="Yes",'EF Determination'!H23*$G$137/1000*$G$146*$C$151,0)),)</f>
        <v>8.2325723349811949E-6</v>
      </c>
      <c r="H100" s="89">
        <f>IFERROR(('EF Determination'!H23*$E$138/1000+IF($D100="Yes",'EF Determination'!H23*$G$138/1000*$G$146*$C$152,0)),)</f>
        <v>1.4701839886113843E-5</v>
      </c>
      <c r="I100" s="89">
        <f>IFERROR(('EF Determination'!H23*$E$139/1000+IF($D100="Yes",'EF Determination'!H23*$G$139/1000*$G$146*$C$153,0)),)</f>
        <v>1.590409314782876E-5</v>
      </c>
      <c r="J100" s="89">
        <f>IFERROR(('EF Determination'!G23*$E$140/1000+IF($D100="Yes",'EF Determination'!G23*$G$140/1000*$G$146*$C$154,0)),)</f>
        <v>0</v>
      </c>
      <c r="K100" s="89">
        <f>IFERROR(('EF Determination'!H23*$E$141/1000+IF($D100="Yes",'EF Determination'!H23*$G$141/1000*$G$146*$C$155,0)),)</f>
        <v>1.8663550634241092E-5</v>
      </c>
      <c r="L100" s="89">
        <f>IFERROR(('EF Determination'!H23*$E$142/1000+IF($D100="Yes",'EF Determination'!H23*$G$142/1000*$G$146*$C$156,0)),)</f>
        <v>6.1372166502780525E-6</v>
      </c>
      <c r="M100" s="254">
        <f>IFERROR(('EF Determination'!H23*$E$143/1000+IF($D100="Yes",'EF Determination'!H23*$G$143/1000*$G$146*$C$157,0)),)</f>
        <v>1.1816432057998042E-5</v>
      </c>
    </row>
    <row r="101" spans="1:13" x14ac:dyDescent="0.25">
      <c r="A101" s="161"/>
      <c r="B101" s="104" t="s">
        <v>41</v>
      </c>
      <c r="C101" s="91" t="s">
        <v>42</v>
      </c>
      <c r="D101" s="91" t="s">
        <v>131</v>
      </c>
      <c r="E101" s="224">
        <f>IFERROR(('EF Determination'!H24*$E$135/1000+IF($D101="Yes",'EF Determination'!H24*$G$135/1000*$G$146*$C$149,0)),)</f>
        <v>1.0391319969338503E-4</v>
      </c>
      <c r="F101" s="89">
        <f>IFERROR(('EF Determination'!H24*$E$136/1000+IF($D101="Yes",'EF Determination'!H24*$G$136/1000*$G$146*$C$150,0)),)</f>
        <v>1.1108631235878658E-4</v>
      </c>
      <c r="G101" s="89">
        <f>IFERROR(('EF Determination'!H24*$E$137/1000+IF($D101="Yes",'EF Determination'!H24*$G$137/1000*$G$146*$C$151,0)),)</f>
        <v>1.3939102720064147E-4</v>
      </c>
      <c r="H101" s="89">
        <f>IFERROR(('EF Determination'!H24*$E$138/1000+IF($D101="Yes",'EF Determination'!H24*$G$138/1000*$G$146*$C$152,0)),)</f>
        <v>2.4892639628042233E-4</v>
      </c>
      <c r="I101" s="89">
        <f>IFERROR(('EF Determination'!H24*$E$139/1000+IF($D101="Yes",'EF Determination'!H24*$G$139/1000*$G$146*$C$153,0)),)</f>
        <v>2.6928252681737274E-4</v>
      </c>
      <c r="J101" s="89">
        <f>IFERROR(('EF Determination'!G24*$E$140/1000+IF($D101="Yes",'EF Determination'!G24*$G$140/1000*$G$146*$C$154,0)),)</f>
        <v>0</v>
      </c>
      <c r="K101" s="89">
        <f>IFERROR(('EF Determination'!H24*$E$141/1000+IF($D101="Yes",'EF Determination'!H24*$G$141/1000*$G$146*$C$155,0)),)</f>
        <v>3.1600469309742087E-4</v>
      </c>
      <c r="L101" s="89">
        <f>IFERROR(('EF Determination'!H24*$E$142/1000+IF($D101="Yes",'EF Determination'!H24*$G$142/1000*$G$146*$C$156,0)),)</f>
        <v>1.0391319969338503E-4</v>
      </c>
      <c r="M101" s="254">
        <f>IFERROR(('EF Determination'!H24*$E$143/1000+IF($D101="Yes",'EF Determination'!H24*$G$143/1000*$G$146*$C$157,0)),)</f>
        <v>2.000716829917413E-4</v>
      </c>
    </row>
    <row r="102" spans="1:13" x14ac:dyDescent="0.25">
      <c r="A102" s="161"/>
      <c r="B102" s="104" t="s">
        <v>43</v>
      </c>
      <c r="C102" s="91" t="s">
        <v>44</v>
      </c>
      <c r="D102" s="91" t="s">
        <v>128</v>
      </c>
      <c r="E102" s="224">
        <f>IFERROR(('EF Determination'!H25*$E$135/1000+IF($D102="Yes",'EF Determination'!H25*$G$135/1000*$G$146*$C$149,0)),)</f>
        <v>2.5786364444444447E-4</v>
      </c>
      <c r="F102" s="89">
        <f>IFERROR(('EF Determination'!H25*$E$136/1000+IF($D102="Yes",'EF Determination'!H25*$G$136/1000*$G$146*$C$150,0)),)</f>
        <v>2.7566393333333325E-4</v>
      </c>
      <c r="G102" s="89">
        <f>IFERROR(('EF Determination'!H25*$E$137/1000+IF($D102="Yes",'EF Determination'!H25*$G$137/1000*$G$146*$C$151,0)),)</f>
        <v>3.4590291111111113E-4</v>
      </c>
      <c r="H102" s="89">
        <f>IFERROR(('EF Determination'!H25*$E$138/1000+IF($D102="Yes",'EF Determination'!H25*$G$138/1000*$G$146*$C$152,0)),)</f>
        <v>6.1771813333333337E-4</v>
      </c>
      <c r="I102" s="89">
        <f>IFERROR(('EF Determination'!H25*$E$139/1000+IF($D102="Yes",'EF Determination'!H25*$G$139/1000*$G$146*$C$153,0)),)</f>
        <v>6.6823246666666673E-4</v>
      </c>
      <c r="J102" s="89">
        <f>IFERROR(('EF Determination'!G25*$E$140/1000+IF($D102="Yes",'EF Determination'!G25*$G$140/1000*$G$146*$C$154,0)),)</f>
        <v>8.3468922222222218E-4</v>
      </c>
      <c r="K102" s="89">
        <f>IFERROR(('EF Determination'!H25*$E$141/1000+IF($D102="Yes",'EF Determination'!H25*$G$141/1000*$G$146*$C$155,0)),)</f>
        <v>7.8417488888888882E-4</v>
      </c>
      <c r="L102" s="89">
        <f>IFERROR(('EF Determination'!H25*$E$142/1000+IF($D102="Yes",'EF Determination'!H25*$G$142/1000*$G$146*$C$156,0)),)</f>
        <v>2.5786364444444447E-4</v>
      </c>
      <c r="M102" s="254">
        <f>IFERROR(('EF Determination'!H25*$E$143/1000+IF($D102="Yes",'EF Determination'!H25*$G$143/1000*$G$146*$C$157,0)),)</f>
        <v>4.9648373333333333E-4</v>
      </c>
    </row>
    <row r="103" spans="1:13" x14ac:dyDescent="0.25">
      <c r="A103" s="161"/>
      <c r="B103" s="104" t="s">
        <v>139</v>
      </c>
      <c r="C103" s="91" t="s">
        <v>46</v>
      </c>
      <c r="D103" s="91" t="s">
        <v>128</v>
      </c>
      <c r="E103" s="224">
        <f>IFERROR(('EF Determination'!H26*$E$135/1000+IF($D103="Yes",'EF Determination'!H26*$G$135/1000*$G$146*$C$149,0)),)</f>
        <v>8.6384208921620203E-5</v>
      </c>
      <c r="F103" s="89">
        <f>IFERROR(('EF Determination'!H26*$E$136/1000+IF($D103="Yes",'EF Determination'!H26*$G$136/1000*$G$146*$C$150,0)),)</f>
        <v>9.2347297970314115E-5</v>
      </c>
      <c r="G103" s="89">
        <f>IFERROR(('EF Determination'!H26*$E$137/1000+IF($D103="Yes",'EF Determination'!H26*$G$137/1000*$G$146*$C$151,0)),)</f>
        <v>1.1587732502732262E-4</v>
      </c>
      <c r="H103" s="89">
        <f>IFERROR(('EF Determination'!H26*$E$138/1000+IF($D103="Yes",'EF Determination'!H26*$G$138/1000*$G$146*$C$152,0)),)</f>
        <v>2.069353064465678E-4</v>
      </c>
      <c r="I103" s="89">
        <f>IFERROR(('EF Determination'!H26*$E$139/1000+IF($D103="Yes",'EF Determination'!H26*$G$139/1000*$G$146*$C$153,0)),)</f>
        <v>2.2385758617934787E-4</v>
      </c>
      <c r="J103" s="89">
        <f>IFERROR(('EF Determination'!G26*$E$140/1000+IF($D103="Yes",'EF Determination'!G26*$G$140/1000*$G$146*$C$154,0)),)</f>
        <v>2.6517532304095914E-4</v>
      </c>
      <c r="K103" s="89">
        <f>IFERROR(('EF Determination'!H26*$E$141/1000+IF($D103="Yes",'EF Determination'!H26*$G$141/1000*$G$146*$C$155,0)),)</f>
        <v>2.626982472803002E-4</v>
      </c>
      <c r="L103" s="89">
        <f>IFERROR(('EF Determination'!H26*$E$142/1000+IF($D103="Yes",'EF Determination'!H26*$G$142/1000*$G$146*$C$156,0)),)</f>
        <v>8.6384208921620203E-5</v>
      </c>
      <c r="M103" s="254">
        <f>IFERROR(('EF Determination'!H26*$E$143/1000+IF($D103="Yes",'EF Determination'!H26*$G$143/1000*$G$146*$C$157,0)),)</f>
        <v>1.663218350878956E-4</v>
      </c>
    </row>
    <row r="104" spans="1:13" x14ac:dyDescent="0.25">
      <c r="A104" s="161"/>
      <c r="B104" s="104" t="s">
        <v>47</v>
      </c>
      <c r="C104" s="91" t="s">
        <v>48</v>
      </c>
      <c r="D104" s="91" t="s">
        <v>131</v>
      </c>
      <c r="E104" s="224">
        <f>IFERROR(('EF Determination'!H27*$E$135/1000+IF($D104="Yes",'EF Determination'!H27*$G$135/1000*$G$146*$C$149,0)),)</f>
        <v>2.0262263643068152E-5</v>
      </c>
      <c r="F104" s="89">
        <f>IFERROR(('EF Determination'!H27*$E$136/1000+IF($D104="Yes",'EF Determination'!H27*$G$136/1000*$G$146*$C$150,0)),)</f>
        <v>2.1660964678130688E-5</v>
      </c>
      <c r="G104" s="89">
        <f>IFERROR(('EF Determination'!H27*$E$137/1000+IF($D104="Yes",'EF Determination'!H27*$G$137/1000*$G$146*$C$151,0)),)</f>
        <v>2.7180163357026125E-5</v>
      </c>
      <c r="H104" s="89">
        <f>IFERROR(('EF Determination'!H27*$E$138/1000+IF($D104="Yes",'EF Determination'!H27*$G$138/1000*$G$146*$C$152,0)),)</f>
        <v>4.8538706189737894E-5</v>
      </c>
      <c r="I104" s="89">
        <f>IFERROR(('EF Determination'!H27*$E$139/1000+IF($D104="Yes",'EF Determination'!H27*$G$139/1000*$G$146*$C$153,0)),)</f>
        <v>5.2507992910861323E-5</v>
      </c>
      <c r="J104" s="89">
        <f>IFERROR(('EF Determination'!G27*$E$140/1000+IF($D104="Yes",'EF Determination'!G27*$G$140/1000*$G$146*$C$154,0)),)</f>
        <v>0</v>
      </c>
      <c r="K104" s="89">
        <f>IFERROR(('EF Determination'!H27*$E$141/1000+IF($D104="Yes",'EF Determination'!H27*$G$141/1000*$G$146*$C$155,0)),)</f>
        <v>6.1618451004106503E-5</v>
      </c>
      <c r="L104" s="89">
        <f>IFERROR(('EF Determination'!H27*$E$142/1000+IF($D104="Yes",'EF Determination'!H27*$G$142/1000*$G$146*$C$156,0)),)</f>
        <v>2.0262263643068152E-5</v>
      </c>
      <c r="M104" s="254">
        <f>IFERROR(('EF Determination'!H27*$E$143/1000+IF($D104="Yes",'EF Determination'!H27*$G$143/1000*$G$146*$C$157,0)),)</f>
        <v>3.9012418059041668E-5</v>
      </c>
    </row>
    <row r="105" spans="1:13" x14ac:dyDescent="0.25">
      <c r="A105" s="161"/>
      <c r="B105" s="104" t="s">
        <v>49</v>
      </c>
      <c r="C105" s="91" t="s">
        <v>50</v>
      </c>
      <c r="D105" s="91" t="s">
        <v>131</v>
      </c>
      <c r="E105" s="224">
        <f>IFERROR(('EF Determination'!H28*$E$135/1000+IF($D105="Yes",'EF Determination'!H28*$G$135/1000*$G$146*$C$149,0)),)</f>
        <v>6.4594673189992847E-4</v>
      </c>
      <c r="F105" s="89">
        <f>IFERROR(('EF Determination'!H28*$E$136/1000+IF($D105="Yes",'EF Determination'!H28*$G$136/1000*$G$146*$C$150,0)),)</f>
        <v>6.9053633839302037E-4</v>
      </c>
      <c r="G105" s="89">
        <f>IFERROR(('EF Determination'!H28*$E$137/1000+IF($D105="Yes",'EF Determination'!H28*$G$137/1000*$G$146*$C$151,0)),)</f>
        <v>8.6648451536576227E-4</v>
      </c>
      <c r="H105" s="89">
        <f>IFERROR(('EF Determination'!H28*$E$138/1000+IF($D105="Yes",'EF Determination'!H28*$G$138/1000*$G$146*$C$152,0)),)</f>
        <v>1.5473798577602766E-3</v>
      </c>
      <c r="I105" s="89">
        <f>IFERROR(('EF Determination'!H28*$E$139/1000+IF($D105="Yes",'EF Determination'!H28*$G$139/1000*$G$146*$C$153,0)),)</f>
        <v>1.6739179302406729E-3</v>
      </c>
      <c r="J105" s="89">
        <f>IFERROR(('EF Determination'!G28*$E$140/1000+IF($D105="Yes",'EF Determination'!G28*$G$140/1000*$G$146*$C$154,0)),)</f>
        <v>0</v>
      </c>
      <c r="K105" s="89">
        <f>IFERROR(('EF Determination'!H28*$E$141/1000+IF($D105="Yes",'EF Determination'!H28*$G$141/1000*$G$146*$C$155,0)),)</f>
        <v>1.964352934695678E-3</v>
      </c>
      <c r="L105" s="89">
        <f>IFERROR(('EF Determination'!H28*$E$142/1000+IF($D105="Yes",'EF Determination'!H28*$G$142/1000*$G$146*$C$156,0)),)</f>
        <v>6.4594673189992847E-4</v>
      </c>
      <c r="M105" s="254">
        <f>IFERROR(('EF Determination'!H28*$E$143/1000+IF($D105="Yes",'EF Determination'!H28*$G$143/1000*$G$146*$C$157,0)),)</f>
        <v>1.2436884838073251E-3</v>
      </c>
    </row>
    <row r="106" spans="1:13" x14ac:dyDescent="0.25">
      <c r="A106" s="161"/>
      <c r="B106" s="106" t="s">
        <v>140</v>
      </c>
      <c r="C106" s="94" t="s">
        <v>52</v>
      </c>
      <c r="D106" s="94" t="s">
        <v>128</v>
      </c>
      <c r="E106" s="224">
        <f>IFERROR(('EF Determination'!H29*$E$135/1000+IF($D106="Yes",'EF Determination'!H29*$G$135/1000*$G$146*$C$149,0)),)</f>
        <v>1.3370058072051328E-6</v>
      </c>
      <c r="F106" s="89">
        <f>IFERROR(('EF Determination'!H29*$E$136/1000+IF($D106="Yes",'EF Determination'!H29*$G$136/1000*$G$146*$C$150,0)),)</f>
        <v>1.4292991185233973E-6</v>
      </c>
      <c r="G106" s="89">
        <f>IFERROR(('EF Determination'!H29*$E$137/1000+IF($D106="Yes",'EF Determination'!H29*$G$137/1000*$G$146*$C$151,0)),)</f>
        <v>1.7934835361576314E-6</v>
      </c>
      <c r="H106" s="89">
        <f>IFERROR(('EF Determination'!H29*$E$138/1000+IF($D106="Yes",'EF Determination'!H29*$G$138/1000*$G$146*$C$152,0)),)</f>
        <v>3.2028273441257286E-6</v>
      </c>
      <c r="I106" s="89">
        <f>IFERROR(('EF Determination'!H29*$E$139/1000+IF($D106="Yes",'EF Determination'!H29*$G$139/1000*$G$146*$C$153,0)),)</f>
        <v>3.4647407951640473E-6</v>
      </c>
      <c r="J106" s="89">
        <f>IFERROR(('EF Determination'!G29*$E$140/1000+IF($D106="Yes",'EF Determination'!G29*$G$140/1000*$G$146*$C$154,0)),)</f>
        <v>1.1143101116666666E-6</v>
      </c>
      <c r="K106" s="89">
        <f>IFERROR(('EF Determination'!H29*$E$141/1000+IF($D106="Yes",'EF Determination'!H29*$G$141/1000*$G$146*$C$155,0)),)</f>
        <v>4.0658945256424743E-6</v>
      </c>
      <c r="L106" s="89">
        <f>IFERROR(('EF Determination'!H29*$E$142/1000+IF($D106="Yes",'EF Determination'!H29*$G$142/1000*$G$146*$C$156,0)),)</f>
        <v>1.3370058072051328E-6</v>
      </c>
      <c r="M106" s="254">
        <f>IFERROR(('EF Determination'!H29*$E$143/1000+IF($D106="Yes",'EF Determination'!H29*$G$143/1000*$G$146*$C$157,0)),)</f>
        <v>2.5742350616337635E-6</v>
      </c>
    </row>
    <row r="107" spans="1:13" x14ac:dyDescent="0.25">
      <c r="A107" s="161"/>
      <c r="B107" s="107" t="s">
        <v>113</v>
      </c>
      <c r="C107" s="95">
        <v>200</v>
      </c>
      <c r="D107" s="95" t="s">
        <v>128</v>
      </c>
      <c r="E107" s="226">
        <f>IFERROR(('EF Determination'!D67*$E$135/1000+IF($D107="Yes",'EF Determination'!D67*$G$135/1000*$G$146*$C$149,0)),)</f>
        <v>30.144260035555561</v>
      </c>
      <c r="F107" s="227">
        <f>IFERROR(('EF Determination'!E67*$E$136/1000+IF($D107="Yes",'EF Determination'!E67*$G$136/1000*$G$146*$C$150,0)),)</f>
        <v>32.225113806666663</v>
      </c>
      <c r="G107" s="227">
        <f>IFERROR(('EF Determination'!F67*$E$137/1000+IF($D107="Yes",'EF Determination'!F67*$G$137/1000*$G$146*$C$151,0)),)</f>
        <v>40.436050308888895</v>
      </c>
      <c r="H107" s="227">
        <f>IFERROR(('EF Determination'!G67*$E$138/1000+IF($D107="Yes",'EF Determination'!G67*$G$138/1000*$G$146*$C$152,0)),)</f>
        <v>72.21124978666667</v>
      </c>
      <c r="I107" s="227">
        <f>IFERROR(('EF Determination'!H67*$E$139/1000+IF($D107="Yes",'EF Determination'!H67*$G$139/1000*$G$146*$C$153,0)),)</f>
        <v>78.116375353333339</v>
      </c>
      <c r="J107" s="227">
        <f>IFERROR(('EF Determination'!I67*$E$140/1000+IF($D107="Yes",'EF Determination'!I67*$G$140/1000*$G$146*$C$154,0)),)</f>
        <v>70.845273153533824</v>
      </c>
      <c r="K107" s="227">
        <f>IFERROR(('EF Determination'!J67*$E$141/1000+IF($D107="Yes",'EF Determination'!J67*$G$141/1000*$G$146*$C$155,0)),)</f>
        <v>91.670044511111115</v>
      </c>
      <c r="L107" s="227">
        <f>IFERROR(('EF Determination'!K67*$E$142/1000+IF($D107="Yes",'EF Determination'!K67*$G$142/1000*$G$146*$C$156,0)),)</f>
        <v>302.65048795321638</v>
      </c>
      <c r="M107" s="228">
        <f>IFERROR(('EF Determination'!L67*$E$143/1000+IF($D107="Yes",'EF Determination'!L67*$G$143/1000*$G$146*$C$157,0)),)</f>
        <v>58.038948426666664</v>
      </c>
    </row>
    <row r="108" spans="1:13" x14ac:dyDescent="0.25">
      <c r="A108" s="161"/>
      <c r="B108" s="104" t="s">
        <v>53</v>
      </c>
      <c r="C108" s="91" t="s">
        <v>54</v>
      </c>
      <c r="D108" s="91" t="s">
        <v>128</v>
      </c>
      <c r="E108" s="224">
        <f>IFERROR(('EF Determination'!H30*$E$135/1000+IF($D108="Yes",'EF Determination'!H30*$G$135/1000*$G$146*$C$149,0)),)</f>
        <v>1.4053568622222224E-2</v>
      </c>
      <c r="F108" s="89">
        <f>IFERROR(('EF Determination'!H30*$E$136/1000+IF($D108="Yes",'EF Determination'!H30*$G$136/1000*$G$146*$C$150,0)),)</f>
        <v>1.5023684366666665E-2</v>
      </c>
      <c r="G108" s="89">
        <f>IFERROR(('EF Determination'!H30*$E$137/1000+IF($D108="Yes",'EF Determination'!H30*$G$137/1000*$G$146*$C$151,0)),)</f>
        <v>1.8851708655555559E-2</v>
      </c>
      <c r="H108" s="89">
        <f>IFERROR(('EF Determination'!H30*$E$138/1000+IF($D108="Yes",'EF Determination'!H30*$G$138/1000*$G$146*$C$152,0)),)</f>
        <v>3.3665638266666673E-2</v>
      </c>
      <c r="I108" s="89">
        <f>IFERROR(('EF Determination'!H30*$E$139/1000+IF($D108="Yes",'EF Determination'!H30*$G$139/1000*$G$146*$C$153,0)),)</f>
        <v>3.6418669433333342E-2</v>
      </c>
      <c r="J108" s="89">
        <f>IFERROR(('EF Determination'!G30*$E$140/1000+IF($D108="Yes",'EF Determination'!G30*$G$140/1000*$G$146*$C$154,0)),)</f>
        <v>0</v>
      </c>
      <c r="K108" s="89">
        <f>IFERROR(('EF Determination'!H30*$E$141/1000+IF($D108="Yes",'EF Determination'!H30*$G$141/1000*$G$146*$C$155,0)),)</f>
        <v>4.2737531444444442E-2</v>
      </c>
      <c r="L108" s="89">
        <f>IFERROR(('EF Determination'!H30*$E$142/1000+IF($D108="Yes",'EF Determination'!H30*$G$142/1000*$G$146*$C$156,0)),)</f>
        <v>1.4053568622222224E-2</v>
      </c>
      <c r="M108" s="254">
        <f>IFERROR(('EF Determination'!H30*$E$143/1000+IF($D108="Yes",'EF Determination'!H30*$G$143/1000*$G$146*$C$157,0)),)</f>
        <v>2.7058363466666669E-2</v>
      </c>
    </row>
    <row r="109" spans="1:13" x14ac:dyDescent="0.25">
      <c r="A109" s="161"/>
      <c r="B109" s="107" t="s">
        <v>141</v>
      </c>
      <c r="C109" s="95" t="s">
        <v>56</v>
      </c>
      <c r="D109" s="91" t="s">
        <v>128</v>
      </c>
      <c r="E109" s="224">
        <f>IFERROR(('EF Determination'!H31*$E$135/1000+IF($D109="Yes",'EF Determination'!H31*$G$135/1000*$G$146*$C$149,0)),)</f>
        <v>4.7698747808197728E-4</v>
      </c>
      <c r="F109" s="89">
        <f>IFERROR(('EF Determination'!H31*$E$136/1000+IF($D109="Yes",'EF Determination'!H31*$G$136/1000*$G$146*$C$150,0)),)</f>
        <v>5.0991385250181509E-4</v>
      </c>
      <c r="G109" s="89">
        <f>IFERROR(('EF Determination'!H31*$E$137/1000+IF($D109="Yes",'EF Determination'!H31*$G$137/1000*$G$146*$C$151,0)),)</f>
        <v>6.3983954615847317E-4</v>
      </c>
      <c r="H109" s="89">
        <f>IFERROR(('EF Determination'!H31*$E$138/1000+IF($D109="Yes",'EF Determination'!H31*$G$138/1000*$G$146*$C$152,0)),)</f>
        <v>1.1426341825695127E-3</v>
      </c>
      <c r="I109" s="89">
        <f>IFERROR(('EF Determination'!H31*$E$139/1000+IF($D109="Yes",'EF Determination'!H31*$G$139/1000*$G$146*$C$153,0)),)</f>
        <v>1.2360738937609447E-3</v>
      </c>
      <c r="J109" s="89">
        <f>IFERROR(('EF Determination'!G31*$E$140/1000+IF($D109="Yes",'EF Determination'!G31*$G$140/1000*$G$146*$C$154,0)),)</f>
        <v>1.11533222729766E-3</v>
      </c>
      <c r="K109" s="89">
        <f>IFERROR(('EF Determination'!H31*$E$141/1000+IF($D109="Yes",'EF Determination'!H31*$G$141/1000*$G$146*$C$155,0)),)</f>
        <v>1.4505402784955649E-3</v>
      </c>
      <c r="L109" s="89">
        <f>IFERROR(('EF Determination'!H31*$E$142/1000+IF($D109="Yes",'EF Determination'!H31*$G$142/1000*$G$146*$C$156,0)),)</f>
        <v>4.7698747808197728E-4</v>
      </c>
      <c r="M109" s="254">
        <f>IFERROR(('EF Determination'!H31*$E$143/1000+IF($D109="Yes",'EF Determination'!H31*$G$143/1000*$G$146*$C$157,0)),)</f>
        <v>9.183788757100756E-4</v>
      </c>
    </row>
    <row r="110" spans="1:13" x14ac:dyDescent="0.25">
      <c r="A110" s="161"/>
      <c r="B110" s="107" t="s">
        <v>142</v>
      </c>
      <c r="C110" s="95" t="s">
        <v>58</v>
      </c>
      <c r="D110" s="91" t="s">
        <v>128</v>
      </c>
      <c r="E110" s="224">
        <f>IFERROR(('EF Determination'!H32*$E$135/1000+IF($D110="Yes",'EF Determination'!H32*$G$135/1000*$G$146*$C$149,0)),)</f>
        <v>2.8163832153952403E-3</v>
      </c>
      <c r="F110" s="89">
        <f>IFERROR(('EF Determination'!H32*$E$136/1000+IF($D110="Yes",'EF Determination'!H32*$G$136/1000*$G$146*$C$150,0)),)</f>
        <v>3.0107977283982696E-3</v>
      </c>
      <c r="G110" s="89">
        <f>IFERROR(('EF Determination'!H32*$E$137/1000+IF($D110="Yes",'EF Determination'!H32*$G$137/1000*$G$146*$C$151,0)),)</f>
        <v>3.7779468878156299E-3</v>
      </c>
      <c r="H110" s="89">
        <f>IFERROR(('EF Determination'!H32*$E$138/1000+IF($D110="Yes",'EF Determination'!H32*$G$138/1000*$G$146*$C$152,0)),)</f>
        <v>6.7467090458348663E-3</v>
      </c>
      <c r="I110" s="89">
        <f>IFERROR(('EF Determination'!H32*$E$139/1000+IF($D110="Yes",'EF Determination'!H32*$G$139/1000*$G$146*$C$153,0)),)</f>
        <v>7.2984259070596816E-3</v>
      </c>
      <c r="J110" s="89">
        <f>IFERROR(('EF Determination'!G32*$E$140/1000+IF($D110="Yes",'EF Determination'!G32*$G$140/1000*$G$146*$C$154,0)),)</f>
        <v>6.5362801882883625E-3</v>
      </c>
      <c r="K110" s="89">
        <f>IFERROR(('EF Determination'!H32*$E$141/1000+IF($D110="Yes",'EF Determination'!H32*$G$141/1000*$G$146*$C$155,0)),)</f>
        <v>8.5647474647280626E-3</v>
      </c>
      <c r="L110" s="89">
        <f>IFERROR(('EF Determination'!H32*$E$142/1000+IF($D110="Yes",'EF Determination'!H32*$G$142/1000*$G$146*$C$156,0)),)</f>
        <v>2.8163832153952403E-3</v>
      </c>
      <c r="M110" s="254">
        <f>IFERROR(('EF Determination'!H32*$E$143/1000+IF($D110="Yes",'EF Determination'!H32*$G$143/1000*$G$146*$C$157,0)),)</f>
        <v>5.4225885788953135E-3</v>
      </c>
    </row>
    <row r="111" spans="1:13" x14ac:dyDescent="0.25">
      <c r="A111" s="161"/>
      <c r="B111" s="104" t="s">
        <v>59</v>
      </c>
      <c r="C111" s="91" t="s">
        <v>60</v>
      </c>
      <c r="D111" s="91" t="s">
        <v>128</v>
      </c>
      <c r="E111" s="229">
        <f>IFERROR(('EF Determination'!H33*$E$135/1000+IF($D111="Yes",'EF Determination'!H33*$G$135/1000*$G$147*$C$149,0)),)</f>
        <v>3.4993746742719369</v>
      </c>
      <c r="F111" s="230">
        <f>IFERROR(('EF Determination'!H33*$E$136/1000+IF($D111="Yes",'EF Determination'!H33*$G$136/1000*$G$147*$C$150,0)),)</f>
        <v>3.7409359857422007</v>
      </c>
      <c r="G111" s="230">
        <f>IFERROR(('EF Determination'!H33*$E$137/1000+IF($D111="Yes",'EF Determination'!H33*$G$137/1000*$G$147*$C$151,0)),)</f>
        <v>4.6941238634356761</v>
      </c>
      <c r="H111" s="230">
        <f>IFERROR(('EF Determination'!H33*$E$138/1000+IF($D111="Yes",'EF Determination'!H33*$G$138/1000*$G$147*$C$152,0)),)</f>
        <v>8.3828303764275507</v>
      </c>
      <c r="I111" s="230">
        <f>IFERROR(('EF Determination'!H33*$E$139/1000+IF($D111="Yes",'EF Determination'!H33*$G$139/1000*$G$147*$C$153,0)),)</f>
        <v>9.0683422062755987</v>
      </c>
      <c r="J111" s="230">
        <f>IFERROR(('EF Determination'!G33*$E$140/1000+IF($D111="Yes",'EF Determination'!G33*$G$140/1000*$G$147*$C$154,0)),)</f>
        <v>9.5454446333945135</v>
      </c>
      <c r="K111" s="230">
        <f>IFERROR(('EF Determination'!H33*$E$141/1000+IF($D111="Yes",'EF Determination'!H33*$G$141/1000*$G$147*$C$155,0)),)</f>
        <v>10.641755072879212</v>
      </c>
      <c r="L111" s="230">
        <f>IFERROR(('EF Determination'!H33*$E$142/1000+IF($D111="Yes",'EF Determination'!H33*$G$142/1000*$G$147*$C$156,0)),)</f>
        <v>3.4993746742719369</v>
      </c>
      <c r="M111" s="255">
        <f>IFERROR(('EF Determination'!H33*$E$143/1000+IF($D111="Yes",'EF Determination'!H33*$G$143/1000*$G$147*$C$157,0)),)</f>
        <v>6.7376019847922368</v>
      </c>
    </row>
    <row r="112" spans="1:13" x14ac:dyDescent="0.25">
      <c r="A112" s="161"/>
      <c r="B112" s="104" t="s">
        <v>61</v>
      </c>
      <c r="C112" s="91" t="s">
        <v>62</v>
      </c>
      <c r="D112" s="91" t="s">
        <v>128</v>
      </c>
      <c r="E112" s="224">
        <f>IFERROR(('EF Determination'!H34*$E$135/1000+IF($D112="Yes",'EF Determination'!H34*$G$135/1000*$G$146*$C$149,0)),)</f>
        <v>3.4682660177777783E-2</v>
      </c>
      <c r="F112" s="89">
        <f>IFERROR(('EF Determination'!H34*$E$136/1000+IF($D112="Yes",'EF Determination'!H34*$G$136/1000*$G$146*$C$150,0)),)</f>
        <v>3.7076799033333323E-2</v>
      </c>
      <c r="G112" s="89">
        <f>IFERROR(('EF Determination'!H34*$E$137/1000+IF($D112="Yes",'EF Determination'!H34*$G$137/1000*$G$146*$C$151,0)),)</f>
        <v>4.6523941544444447E-2</v>
      </c>
      <c r="H112" s="89">
        <f>IFERROR(('EF Determination'!H34*$E$138/1000+IF($D112="Yes",'EF Determination'!H34*$G$138/1000*$G$146*$C$152,0)),)</f>
        <v>8.3083088933333341E-2</v>
      </c>
      <c r="I112" s="89">
        <f>IFERROR(('EF Determination'!H34*$E$139/1000+IF($D112="Yes",'EF Determination'!H34*$G$139/1000*$G$146*$C$153,0)),)</f>
        <v>8.9877266766666686E-2</v>
      </c>
      <c r="J112" s="89">
        <f>IFERROR(('EF Determination'!G34*$E$140/1000+IF($D112="Yes",'EF Determination'!G34*$G$140/1000*$G$146*$C$154,0)),)</f>
        <v>0</v>
      </c>
      <c r="K112" s="89">
        <f>IFERROR(('EF Determination'!H34*$E$141/1000+IF($D112="Yes",'EF Determination'!H34*$G$141/1000*$G$146*$C$155,0)),)</f>
        <v>0.10547152255555556</v>
      </c>
      <c r="L112" s="89">
        <f>IFERROR(('EF Determination'!H34*$E$142/1000+IF($D112="Yes",'EF Determination'!H34*$G$142/1000*$G$146*$C$156,0)),)</f>
        <v>3.4682660177777783E-2</v>
      </c>
      <c r="M112" s="254">
        <f>IFERROR(('EF Determination'!H34*$E$143/1000+IF($D112="Yes",'EF Determination'!H34*$G$143/1000*$G$146*$C$157,0)),)</f>
        <v>6.6777062133333343E-2</v>
      </c>
    </row>
    <row r="113" spans="1:13" x14ac:dyDescent="0.25">
      <c r="A113" s="161"/>
      <c r="B113" s="104" t="s">
        <v>143</v>
      </c>
      <c r="C113" s="91" t="s">
        <v>63</v>
      </c>
      <c r="D113" s="91" t="s">
        <v>131</v>
      </c>
      <c r="E113" s="224">
        <f>IFERROR(('EF Determination'!H35*$E$135/1000+IF($D113="Yes",'EF Determination'!H35*$G$135/1000*$G$146*$C$149,0)),)</f>
        <v>8.1229032866155263E-5</v>
      </c>
      <c r="F113" s="89">
        <f>IFERROR(('EF Determination'!H35*$E$136/1000+IF($D113="Yes",'EF Determination'!H35*$G$136/1000*$G$146*$C$150,0)),)</f>
        <v>8.6836260881169701E-5</v>
      </c>
      <c r="G113" s="89">
        <f>IFERROR(('EF Determination'!H35*$E$137/1000+IF($D113="Yes",'EF Determination'!H35*$G$137/1000*$G$146*$C$151,0)),)</f>
        <v>1.0896207953501053E-4</v>
      </c>
      <c r="H113" s="89">
        <f>IFERROR(('EF Determination'!H35*$E$138/1000+IF($D113="Yes",'EF Determination'!H35*$G$138/1000*$G$146*$C$152,0)),)</f>
        <v>1.9458596679131226E-4</v>
      </c>
      <c r="I113" s="89">
        <f>IFERROR(('EF Determination'!H35*$E$139/1000+IF($D113="Yes",'EF Determination'!H35*$G$139/1000*$G$146*$C$153,0)),)</f>
        <v>2.1049837061770462E-4</v>
      </c>
      <c r="J113" s="89">
        <f>IFERROR(('EF Determination'!G35*$E$140/1000+IF($D113="Yes",'EF Determination'!G35*$G$140/1000*$G$146*$C$154,0)),)</f>
        <v>1.3791896892270774E-3</v>
      </c>
      <c r="K113" s="89">
        <f>IFERROR(('EF Determination'!H35*$E$141/1000+IF($D113="Yes",'EF Determination'!H35*$G$141/1000*$G$146*$C$155,0)),)</f>
        <v>2.470211260668528E-4</v>
      </c>
      <c r="L113" s="89">
        <f>IFERROR(('EF Determination'!H35*$E$142/1000+IF($D113="Yes",'EF Determination'!H35*$G$142/1000*$G$146*$C$156,0)),)</f>
        <v>8.1229032866155263E-5</v>
      </c>
      <c r="M113" s="254">
        <f>IFERROR(('EF Determination'!H35*$E$143/1000+IF($D113="Yes",'EF Determination'!H35*$G$143/1000*$G$146*$C$157,0)),)</f>
        <v>1.5639619760797059E-4</v>
      </c>
    </row>
    <row r="114" spans="1:13" x14ac:dyDescent="0.25">
      <c r="A114" s="161"/>
      <c r="B114" s="104" t="s">
        <v>64</v>
      </c>
      <c r="C114" s="91" t="s">
        <v>65</v>
      </c>
      <c r="D114" s="91" t="s">
        <v>128</v>
      </c>
      <c r="E114" s="224">
        <f>IFERROR(('EF Determination'!H36*$E$135/1000+IF($D114="Yes",'EF Determination'!H36*$G$135/1000*$G$146*$C$149,0)),)</f>
        <v>0.24019998480000004</v>
      </c>
      <c r="F114" s="89">
        <f>IFERROR(('EF Determination'!H36*$E$136/1000+IF($D114="Yes",'EF Determination'!H36*$G$136/1000*$G$146*$C$150,0)),)</f>
        <v>0.25678095389999994</v>
      </c>
      <c r="G114" s="89">
        <f>IFERROR(('EF Determination'!H36*$E$137/1000+IF($D114="Yes",'EF Determination'!H36*$G$137/1000*$G$146*$C$151,0)),)</f>
        <v>0.32220856170000001</v>
      </c>
      <c r="H114" s="89">
        <f>IFERROR(('EF Determination'!H36*$E$138/1000+IF($D114="Yes",'EF Determination'!H36*$G$138/1000*$G$146*$C$152,0)),)</f>
        <v>0.57540444120000001</v>
      </c>
      <c r="I114" s="89">
        <f>IFERROR(('EF Determination'!H36*$E$139/1000+IF($D114="Yes",'EF Determination'!H36*$G$139/1000*$G$146*$C$153,0)),)</f>
        <v>0.62245854270000001</v>
      </c>
      <c r="J114" s="89">
        <f>IFERROR(('EF Determination'!G36*$E$140/1000+IF($D114="Yes",'EF Determination'!G36*$G$140/1000*$G$146*$C$154,0)),)</f>
        <v>0.77751301049999999</v>
      </c>
      <c r="K114" s="89">
        <f>IFERROR(('EF Determination'!H36*$E$141/1000+IF($D114="Yes",'EF Determination'!H36*$G$141/1000*$G$146*$C$155,0)),)</f>
        <v>0.7304589090000001</v>
      </c>
      <c r="L114" s="89">
        <f>IFERROR(('EF Determination'!H36*$E$142/1000+IF($D114="Yes",'EF Determination'!H36*$G$142/1000*$G$146*$C$156,0)),)</f>
        <v>0.24019998480000004</v>
      </c>
      <c r="M114" s="254">
        <f>IFERROR(('EF Determination'!H36*$E$143/1000+IF($D114="Yes",'EF Determination'!H36*$G$143/1000*$G$146*$C$157,0)),)</f>
        <v>0.46247459759999998</v>
      </c>
    </row>
    <row r="115" spans="1:13" x14ac:dyDescent="0.25">
      <c r="A115" s="161"/>
      <c r="B115" s="107" t="s">
        <v>144</v>
      </c>
      <c r="C115" s="95" t="s">
        <v>67</v>
      </c>
      <c r="D115" s="91" t="s">
        <v>128</v>
      </c>
      <c r="E115" s="224">
        <f>IFERROR(('EF Determination'!H37*$E$135/1000+IF($D115="Yes",'EF Determination'!H37*$G$135/1000*$G$146*$C$149,0)),)</f>
        <v>1.3809853376310016E-5</v>
      </c>
      <c r="F115" s="89">
        <f>IFERROR(('EF Determination'!H37*$E$136/1000+IF($D115="Yes",'EF Determination'!H37*$G$136/1000*$G$146*$C$150,0)),)</f>
        <v>1.4763145493704548E-5</v>
      </c>
      <c r="G115" s="89">
        <f>IFERROR(('EF Determination'!H37*$E$137/1000+IF($D115="Yes",'EF Determination'!H37*$G$137/1000*$G$146*$C$151,0)),)</f>
        <v>1.8524784659639741E-5</v>
      </c>
      <c r="H115" s="89">
        <f>IFERROR(('EF Determination'!H37*$E$138/1000+IF($D115="Yes",'EF Determination'!H37*$G$138/1000*$G$146*$C$152,0)),)</f>
        <v>3.3081812938772502E-5</v>
      </c>
      <c r="I115" s="89">
        <f>IFERROR(('EF Determination'!H37*$E$139/1000+IF($D115="Yes",'EF Determination'!H37*$G$139/1000*$G$146*$C$153,0)),)</f>
        <v>3.5787101380027272E-5</v>
      </c>
      <c r="J115" s="89">
        <f>IFERROR(('EF Determination'!G37*$E$140/1000+IF($D115="Yes",'EF Determination'!G37*$G$140/1000*$G$146*$C$154,0)),)</f>
        <v>3.2764994706647217E-5</v>
      </c>
      <c r="K115" s="89">
        <f>IFERROR(('EF Determination'!H37*$E$141/1000+IF($D115="Yes",'EF Determination'!H37*$G$141/1000*$G$146*$C$155,0)),)</f>
        <v>4.1996382469002469E-5</v>
      </c>
      <c r="L115" s="89">
        <f>IFERROR(('EF Determination'!H37*$E$142/1000+IF($D115="Yes",'EF Determination'!H37*$G$142/1000*$G$146*$C$156,0)),)</f>
        <v>1.3809853376310016E-5</v>
      </c>
      <c r="M115" s="254">
        <f>IFERROR(('EF Determination'!H37*$E$143/1000+IF($D115="Yes",'EF Determination'!H37*$G$143/1000*$G$146*$C$157,0)),)</f>
        <v>2.6589120679761075E-5</v>
      </c>
    </row>
    <row r="116" spans="1:13" x14ac:dyDescent="0.25">
      <c r="A116" s="161"/>
      <c r="B116" s="104" t="s">
        <v>68</v>
      </c>
      <c r="C116" s="91" t="s">
        <v>69</v>
      </c>
      <c r="D116" s="91" t="s">
        <v>131</v>
      </c>
      <c r="E116" s="224">
        <f>IFERROR(('EF Determination'!H38*$E$135/1000+IF($D116="Yes",'EF Determination'!H38*$G$135/1000*$G$146*$C$149,0)),)</f>
        <v>4.6782705850055057E-4</v>
      </c>
      <c r="F116" s="89">
        <f>IFERROR(('EF Determination'!H38*$E$136/1000+IF($D116="Yes",'EF Determination'!H38*$G$136/1000*$G$146*$C$150,0)),)</f>
        <v>5.001210905239094E-4</v>
      </c>
      <c r="G116" s="89">
        <f>IFERROR(('EF Determination'!H38*$E$137/1000+IF($D116="Yes",'EF Determination'!H38*$G$137/1000*$G$146*$C$151,0)),)</f>
        <v>6.2755159526473113E-4</v>
      </c>
      <c r="H116" s="89">
        <f>IFERROR(('EF Determination'!H38*$E$138/1000+IF($D116="Yes",'EF Determination'!H38*$G$138/1000*$G$146*$C$152,0)),)</f>
        <v>1.1206901923781847E-3</v>
      </c>
      <c r="I116" s="89">
        <f>IFERROR(('EF Determination'!H38*$E$139/1000+IF($D116="Yes",'EF Determination'!H38*$G$139/1000*$G$146*$C$153,0)),)</f>
        <v>1.2123354183904195E-3</v>
      </c>
      <c r="J116" s="89">
        <f>IFERROR(('EF Determination'!G38*$E$140/1000+IF($D116="Yes",'EF Determination'!G38*$G$140/1000*$G$146*$C$154,0)),)</f>
        <v>9.9103199999999998E-4</v>
      </c>
      <c r="K116" s="89">
        <f>IFERROR(('EF Determination'!H38*$E$141/1000+IF($D116="Yes",'EF Determination'!H38*$G$141/1000*$G$146*$C$155,0)),)</f>
        <v>1.4226830323804055E-3</v>
      </c>
      <c r="L116" s="89">
        <f>IFERROR(('EF Determination'!H38*$E$142/1000+IF($D116="Yes",'EF Determination'!H38*$G$142/1000*$G$146*$C$156,0)),)</f>
        <v>4.6782705850055057E-4</v>
      </c>
      <c r="M116" s="254">
        <f>IFERROR(('EF Determination'!H38*$E$143/1000+IF($D116="Yes",'EF Determination'!H38*$G$143/1000*$G$146*$C$157,0)),)</f>
        <v>9.0074164994882126E-4</v>
      </c>
    </row>
    <row r="117" spans="1:13" x14ac:dyDescent="0.25">
      <c r="A117" s="161"/>
      <c r="B117" s="104" t="s">
        <v>70</v>
      </c>
      <c r="C117" s="91" t="s">
        <v>71</v>
      </c>
      <c r="D117" s="91" t="s">
        <v>131</v>
      </c>
      <c r="E117" s="224">
        <f>IFERROR(('EF Determination'!H39*$E$135/1000+IF($D117="Yes",'EF Determination'!H39*$G$135/1000*$G$146*$C$149,0)),)</f>
        <v>5.4017563191745396E-4</v>
      </c>
      <c r="F117" s="89">
        <f>IFERROR(('EF Determination'!H39*$E$136/1000+IF($D117="Yes",'EF Determination'!H39*$G$136/1000*$G$146*$C$150,0)),)</f>
        <v>5.7746387516548702E-4</v>
      </c>
      <c r="G117" s="89">
        <f>IFERROR(('EF Determination'!H39*$E$137/1000+IF($D117="Yes",'EF Determination'!H39*$G$137/1000*$G$146*$C$151,0)),)</f>
        <v>7.2460126744150997E-4</v>
      </c>
      <c r="H117" s="89">
        <f>IFERROR(('EF Determination'!H39*$E$138/1000+IF($D117="Yes",'EF Determination'!H39*$G$138/1000*$G$146*$C$152,0)),)</f>
        <v>1.2940028197425577E-3</v>
      </c>
      <c r="I117" s="89">
        <f>IFERROR(('EF Determination'!H39*$E$139/1000+IF($D117="Yes",'EF Determination'!H39*$G$139/1000*$G$146*$C$153,0)),)</f>
        <v>1.3998208073383277E-3</v>
      </c>
      <c r="J117" s="89">
        <f>IFERROR(('EF Determination'!G39*$E$140/1000+IF($D117="Yes",'EF Determination'!G39*$G$140/1000*$G$146*$C$154,0)),)</f>
        <v>8.6472544475556907E-4</v>
      </c>
      <c r="K117" s="89">
        <f>IFERROR(('EF Determination'!H39*$E$141/1000+IF($D117="Yes",'EF Determination'!H39*$G$141/1000*$G$146*$C$155,0)),)</f>
        <v>1.6426982836295707E-3</v>
      </c>
      <c r="L117" s="89">
        <f>IFERROR(('EF Determination'!H39*$E$142/1000+IF($D117="Yes",'EF Determination'!H39*$G$142/1000*$G$146*$C$156,0)),)</f>
        <v>5.4017563191745396E-4</v>
      </c>
      <c r="M117" s="254">
        <f>IFERROR(('EF Determination'!H39*$E$143/1000+IF($D117="Yes",'EF Determination'!H39*$G$143/1000*$G$146*$C$157,0)),)</f>
        <v>1.0400396495127099E-3</v>
      </c>
    </row>
    <row r="118" spans="1:13" x14ac:dyDescent="0.25">
      <c r="A118" s="161"/>
      <c r="B118" s="104" t="s">
        <v>72</v>
      </c>
      <c r="C118" s="91" t="s">
        <v>73</v>
      </c>
      <c r="D118" s="91" t="s">
        <v>131</v>
      </c>
      <c r="E118" s="224">
        <f>IFERROR(('EF Determination'!H40*$E$135/1000+IF($D118="Yes",'EF Determination'!H40*$G$135/1000*$G$146*$C$149,0)),)</f>
        <v>1.9434077717725166E-5</v>
      </c>
      <c r="F118" s="89">
        <f>IFERROR(('EF Determination'!H40*$E$136/1000+IF($D118="Yes",'EF Determination'!H40*$G$136/1000*$G$146*$C$150,0)),)</f>
        <v>2.0775609201971113E-5</v>
      </c>
      <c r="G118" s="89">
        <f>IFERROR(('EF Determination'!H40*$E$137/1000+IF($D118="Yes",'EF Determination'!H40*$G$137/1000*$G$146*$C$151,0)),)</f>
        <v>2.6069219923590285E-5</v>
      </c>
      <c r="H118" s="89">
        <f>IFERROR(('EF Determination'!H40*$E$138/1000+IF($D118="Yes",'EF Determination'!H40*$G$138/1000*$G$146*$C$152,0)),)</f>
        <v>4.6554768264102822E-5</v>
      </c>
      <c r="I118" s="89">
        <f>IFERROR(('EF Determination'!H40*$E$139/1000+IF($D118="Yes",'EF Determination'!H40*$G$139/1000*$G$146*$C$153,0)),)</f>
        <v>5.0361817070746742E-5</v>
      </c>
      <c r="J118" s="89">
        <f>IFERROR(('EF Determination'!G40*$E$140/1000+IF($D118="Yes",'EF Determination'!G40*$G$140/1000*$G$146*$C$154,0)),)</f>
        <v>5.32992E-5</v>
      </c>
      <c r="K118" s="89">
        <f>IFERROR(('EF Determination'!H40*$E$141/1000+IF($D118="Yes",'EF Determination'!H40*$G$141/1000*$G$146*$C$155,0)),)</f>
        <v>5.9099900522186596E-5</v>
      </c>
      <c r="L118" s="89">
        <f>IFERROR(('EF Determination'!H40*$E$142/1000+IF($D118="Yes",'EF Determination'!H40*$G$142/1000*$G$146*$C$156,0)),)</f>
        <v>1.9434077717725166E-5</v>
      </c>
      <c r="M118" s="254">
        <f>IFERROR(('EF Determination'!H40*$E$143/1000+IF($D118="Yes",'EF Determination'!H40*$G$143/1000*$G$146*$C$157,0)),)</f>
        <v>3.7417851128157405E-5</v>
      </c>
    </row>
    <row r="119" spans="1:13" x14ac:dyDescent="0.25">
      <c r="A119" s="161"/>
      <c r="B119" s="104" t="s">
        <v>145</v>
      </c>
      <c r="C119" s="91" t="s">
        <v>75</v>
      </c>
      <c r="D119" s="91" t="s">
        <v>128</v>
      </c>
      <c r="E119" s="224">
        <f>IFERROR(('EF Determination'!H41*$E$135/1000+IF($D119="Yes",'EF Determination'!H41*$G$135/1000*$G$146*$C$149,0)),)</f>
        <v>1.5855916124836271E-2</v>
      </c>
      <c r="F119" s="89">
        <f>IFERROR(('EF Determination'!H41*$E$136/1000+IF($D119="Yes",'EF Determination'!H41*$G$136/1000*$G$146*$C$150,0)),)</f>
        <v>1.695044764837907E-2</v>
      </c>
      <c r="G119" s="89">
        <f>IFERROR(('EF Determination'!H41*$E$137/1000+IF($D119="Yes",'EF Determination'!H41*$G$137/1000*$G$146*$C$151,0)),)</f>
        <v>2.1269409876412838E-2</v>
      </c>
      <c r="H119" s="89">
        <f>IFERROR(('EF Determination'!H41*$E$138/1000+IF($D119="Yes",'EF Determination'!H41*$G$138/1000*$G$146*$C$152,0)),)</f>
        <v>3.7983202060242117E-2</v>
      </c>
      <c r="I119" s="89">
        <f>IFERROR(('EF Determination'!H41*$E$139/1000+IF($D119="Yes",'EF Determination'!H41*$G$139/1000*$G$146*$C$153,0)),)</f>
        <v>4.1089305032458168E-2</v>
      </c>
      <c r="J119" s="89">
        <f>IFERROR(('EF Determination'!G41*$E$140/1000+IF($D119="Yes",'EF Determination'!G41*$G$140/1000*$G$146*$C$154,0)),)</f>
        <v>3.6719496002621171E-2</v>
      </c>
      <c r="K119" s="89">
        <f>IFERROR(('EF Determination'!H41*$E$141/1000+IF($D119="Yes",'EF Determination'!H41*$G$141/1000*$G$146*$C$155,0)),)</f>
        <v>4.8218550902020749E-2</v>
      </c>
      <c r="L119" s="89">
        <f>IFERROR(('EF Determination'!H41*$E$142/1000+IF($D119="Yes",'EF Determination'!H41*$G$142/1000*$G$146*$C$156,0)),)</f>
        <v>1.5855916124836271E-2</v>
      </c>
      <c r="M119" s="254">
        <f>IFERROR(('EF Determination'!H41*$E$143/1000+IF($D119="Yes",'EF Determination'!H41*$G$143/1000*$G$146*$C$157,0)),)</f>
        <v>3.0528554926923572E-2</v>
      </c>
    </row>
    <row r="120" spans="1:13" x14ac:dyDescent="0.25">
      <c r="A120" s="161"/>
      <c r="B120" s="104" t="s">
        <v>146</v>
      </c>
      <c r="C120" s="91" t="s">
        <v>77</v>
      </c>
      <c r="D120" s="91" t="s">
        <v>128</v>
      </c>
      <c r="E120" s="224">
        <f>IFERROR(('EF Determination'!H42*$E$135/1000+IF($D120="Yes",'EF Determination'!H42*$G$135/1000*$G$146*$C$149,0)),)</f>
        <v>3.397661806240556E-2</v>
      </c>
      <c r="F120" s="89">
        <f>IFERROR(('EF Determination'!H42*$E$136/1000+IF($D120="Yes",'EF Determination'!H42*$G$136/1000*$G$146*$C$150,0)),)</f>
        <v>3.6322018936116383E-2</v>
      </c>
      <c r="G120" s="89">
        <f>IFERROR(('EF Determination'!H42*$E$137/1000+IF($D120="Yes",'EF Determination'!H42*$G$137/1000*$G$146*$C$151,0)),)</f>
        <v>4.557684400535373E-2</v>
      </c>
      <c r="H120" s="89">
        <f>IFERROR(('EF Determination'!H42*$E$138/1000+IF($D120="Yes",'EF Determination'!H42*$G$138/1000*$G$146*$C$152,0)),)</f>
        <v>8.1391749239046157E-2</v>
      </c>
      <c r="I120" s="89">
        <f>IFERROR(('EF Determination'!H42*$E$139/1000+IF($D120="Yes",'EF Determination'!H42*$G$139/1000*$G$146*$C$153,0)),)</f>
        <v>8.8047616583360674E-2</v>
      </c>
      <c r="J120" s="89">
        <f>IFERROR(('EF Determination'!G42*$E$140/1000+IF($D120="Yes",'EF Determination'!G42*$G$140/1000*$G$146*$C$154,0)),)</f>
        <v>7.095490294311492E-2</v>
      </c>
      <c r="K120" s="89">
        <f>IFERROR(('EF Determination'!H42*$E$141/1000+IF($D120="Yes",'EF Determination'!H42*$G$141/1000*$G$146*$C$155,0)),)</f>
        <v>0.10332441686888258</v>
      </c>
      <c r="L120" s="89">
        <f>IFERROR(('EF Determination'!H42*$E$142/1000+IF($D120="Yes",'EF Determination'!H42*$G$142/1000*$G$146*$C$156,0)),)</f>
        <v>3.397661806240556E-2</v>
      </c>
      <c r="M120" s="254">
        <f>IFERROR(('EF Determination'!H42*$E$143/1000+IF($D120="Yes",'EF Determination'!H42*$G$143/1000*$G$146*$C$157,0)),)</f>
        <v>6.5417667612691299E-2</v>
      </c>
    </row>
    <row r="121" spans="1:13" x14ac:dyDescent="0.25">
      <c r="A121" s="154"/>
      <c r="B121" s="104" t="s">
        <v>78</v>
      </c>
      <c r="C121" s="91">
        <v>365</v>
      </c>
      <c r="D121" s="91" t="s">
        <v>131</v>
      </c>
      <c r="E121" s="224">
        <f>IFERROR(('EF Determination'!H43*$E$135/1000+IF($D121="Yes",'EF Determination'!H43*$G$135/1000*$G$146*$C$149,0)),)</f>
        <v>2.3441982468961611E-4</v>
      </c>
      <c r="F121" s="89">
        <f>IFERROR(('EF Determination'!H43*$E$136/1000+IF($D121="Yes",'EF Determination'!H43*$G$136/1000*$G$146*$C$150,0)),)</f>
        <v>2.5060179019990674E-4</v>
      </c>
      <c r="G121" s="89">
        <f>IFERROR(('EF Determination'!H43*$E$137/1000+IF($D121="Yes",'EF Determination'!H43*$G$137/1000*$G$146*$C$151,0)),)</f>
        <v>3.1445495140267537E-4</v>
      </c>
      <c r="H121" s="89">
        <f>IFERROR(('EF Determination'!H43*$E$138/1000+IF($D121="Yes",'EF Determination'!H43*$G$138/1000*$G$146*$C$152,0)),)</f>
        <v>5.615579382490058E-4</v>
      </c>
      <c r="I121" s="89">
        <f>IFERROR(('EF Determination'!H43*$E$139/1000+IF($D121="Yes",'EF Determination'!H43*$G$139/1000*$G$146*$C$153,0)),)</f>
        <v>6.0747973226469556E-4</v>
      </c>
      <c r="J121" s="89">
        <f>IFERROR(('EF Determination'!G43*$E$140/1000+IF($D121="Yes",'EF Determination'!G43*$G$140/1000*$G$146*$C$154,0)),)</f>
        <v>7.7501750995690203E-4</v>
      </c>
      <c r="K121" s="89">
        <f>IFERROR(('EF Determination'!H43*$E$141/1000+IF($D121="Yes",'EF Determination'!H43*$G$141/1000*$G$146*$C$155,0)),)</f>
        <v>7.1288118329118329E-4</v>
      </c>
      <c r="L121" s="89">
        <f>IFERROR(('EF Determination'!H43*$E$142/1000+IF($D121="Yes",'EF Determination'!H43*$G$142/1000*$G$146*$C$156,0)),)</f>
        <v>2.3441982468961611E-4</v>
      </c>
      <c r="M121" s="254">
        <f>IFERROR(('EF Determination'!H43*$E$143/1000+IF($D121="Yes",'EF Determination'!H43*$G$143/1000*$G$146*$C$157,0)),)</f>
        <v>4.5134563261135048E-4</v>
      </c>
    </row>
    <row r="122" spans="1:13" x14ac:dyDescent="0.25">
      <c r="A122" s="154"/>
      <c r="B122" s="104" t="s">
        <v>147</v>
      </c>
      <c r="C122" s="91" t="s">
        <v>80</v>
      </c>
      <c r="D122" s="91" t="s">
        <v>128</v>
      </c>
      <c r="E122" s="224">
        <f>IFERROR(('EF Determination'!H44*$E$135/1000+IF($D122="Yes",'EF Determination'!H44*$G$135/1000*$G$146*$C$149,0)),)</f>
        <v>1.5191347516015221E-6</v>
      </c>
      <c r="F122" s="89">
        <f>IFERROR(('EF Determination'!H44*$E$136/1000+IF($D122="Yes",'EF Determination'!H44*$G$136/1000*$G$146*$C$150,0)),)</f>
        <v>1.624000396768045E-6</v>
      </c>
      <c r="G122" s="89">
        <f>IFERROR(('EF Determination'!H44*$E$137/1000+IF($D122="Yes",'EF Determination'!H44*$G$137/1000*$G$146*$C$151,0)),)</f>
        <v>2.0377945641818922E-6</v>
      </c>
      <c r="H122" s="89">
        <f>IFERROR(('EF Determination'!H44*$E$138/1000+IF($D122="Yes",'EF Determination'!H44*$G$138/1000*$G$146*$C$152,0)),)</f>
        <v>3.6391213079409595E-6</v>
      </c>
      <c r="I122" s="89">
        <f>IFERROR(('EF Determination'!H44*$E$139/1000+IF($D122="Yes",'EF Determination'!H44*$G$139/1000*$G$146*$C$153,0)),)</f>
        <v>3.9367130036837951E-6</v>
      </c>
      <c r="J122" s="89">
        <f>IFERROR(('EF Determination'!G44*$E$140/1000+IF($D122="Yes",'EF Determination'!G44*$G$140/1000*$G$146*$C$154,0)),)</f>
        <v>1.4648795849999999E-6</v>
      </c>
      <c r="K122" s="89">
        <f>IFERROR(('EF Determination'!H44*$E$141/1000+IF($D122="Yes",'EF Determination'!H44*$G$141/1000*$G$146*$C$155,0)),)</f>
        <v>4.6197568005792556E-6</v>
      </c>
      <c r="L122" s="89">
        <f>IFERROR(('EF Determination'!H44*$E$142/1000+IF($D122="Yes",'EF Determination'!H44*$G$142/1000*$G$146*$C$156,0)),)</f>
        <v>1.5191347516015221E-6</v>
      </c>
      <c r="M122" s="254">
        <f>IFERROR(('EF Determination'!H44*$E$143/1000+IF($D122="Yes",'EF Determination'!H44*$G$143/1000*$G$146*$C$157,0)),)</f>
        <v>2.9249012381581544E-6</v>
      </c>
    </row>
    <row r="123" spans="1:13" x14ac:dyDescent="0.25">
      <c r="A123" s="154"/>
      <c r="B123" s="104" t="s">
        <v>148</v>
      </c>
      <c r="C123" s="91" t="s">
        <v>82</v>
      </c>
      <c r="D123" s="91" t="s">
        <v>128</v>
      </c>
      <c r="E123" s="224">
        <f>IFERROR(('EF Determination'!H45*$E$135/1000+IF($D123="Yes",'EF Determination'!H45*$G$135/1000*$G$146*$C$149,0)),)</f>
        <v>5.8560144289049295E-3</v>
      </c>
      <c r="F123" s="89">
        <f>IFERROR(('EF Determination'!H45*$E$136/1000+IF($D123="Yes",'EF Determination'!H45*$G$136/1000*$G$146*$C$150,0)),)</f>
        <v>6.260254230900231E-3</v>
      </c>
      <c r="G123" s="89">
        <f>IFERROR(('EF Determination'!H45*$E$137/1000+IF($D123="Yes",'EF Determination'!H45*$G$137/1000*$G$146*$C$151,0)),)</f>
        <v>7.8553626387735907E-3</v>
      </c>
      <c r="H123" s="89">
        <f>IFERROR(('EF Determination'!H45*$E$138/1000+IF($D123="Yes",'EF Determination'!H45*$G$138/1000*$G$146*$C$152,0)),)</f>
        <v>1.4028213669242406E-2</v>
      </c>
      <c r="I123" s="89">
        <f>IFERROR(('EF Determination'!H45*$E$139/1000+IF($D123="Yes",'EF Determination'!H45*$G$139/1000*$G$146*$C$153,0)),)</f>
        <v>1.5175380674904752E-2</v>
      </c>
      <c r="J123" s="89">
        <f>IFERROR(('EF Determination'!G45*$E$140/1000+IF($D123="Yes",'EF Determination'!G45*$G$140/1000*$G$146*$C$154,0)),)</f>
        <v>1.5989985754358987E-2</v>
      </c>
      <c r="K123" s="89">
        <f>IFERROR(('EF Determination'!H45*$E$141/1000+IF($D123="Yes",'EF Determination'!H45*$G$141/1000*$G$146*$C$155,0)),)</f>
        <v>1.780840208790118E-2</v>
      </c>
      <c r="L123" s="89">
        <f>IFERROR(('EF Determination'!H45*$E$142/1000+IF($D123="Yes",'EF Determination'!H45*$G$142/1000*$G$146*$C$156,0)),)</f>
        <v>5.8560144289049295E-3</v>
      </c>
      <c r="M123" s="254">
        <f>IFERROR(('EF Determination'!H45*$E$143/1000+IF($D123="Yes",'EF Determination'!H45*$G$143/1000*$G$146*$C$157,0)),)</f>
        <v>1.1275012855652774E-2</v>
      </c>
    </row>
    <row r="124" spans="1:13" x14ac:dyDescent="0.25">
      <c r="A124" s="154"/>
      <c r="B124" s="104" t="s">
        <v>83</v>
      </c>
      <c r="C124" s="91">
        <v>504</v>
      </c>
      <c r="D124" s="91" t="s">
        <v>131</v>
      </c>
      <c r="E124" s="224">
        <f>IFERROR(('EF Determination'!H46*$E$135/1000+IF($D124="Yes",'EF Determination'!H46*$G$135/1000*$G$146*$C$149,0)),)</f>
        <v>1.0810887244669753E-2</v>
      </c>
      <c r="F124" s="89">
        <f>IFERROR(('EF Determination'!H46*$E$136/1000+IF($D124="Yes",'EF Determination'!H46*$G$136/1000*$G$146*$C$150,0)),)</f>
        <v>1.1557161177604044E-2</v>
      </c>
      <c r="G124" s="89">
        <f>IFERROR(('EF Determination'!H46*$E$137/1000+IF($D124="Yes",'EF Determination'!H46*$G$137/1000*$G$146*$C$151,0)),)</f>
        <v>1.4501917777831256E-2</v>
      </c>
      <c r="H124" s="89">
        <f>IFERROR(('EF Determination'!H46*$E$138/1000+IF($D124="Yes",'EF Determination'!H46*$G$138/1000*$G$146*$C$152,0)),)</f>
        <v>2.5897722429395458E-2</v>
      </c>
      <c r="I124" s="89">
        <f>IFERROR(('EF Determination'!H46*$E$139/1000+IF($D124="Yes",'EF Determination'!H46*$G$139/1000*$G$146*$C$153,0)),)</f>
        <v>2.8015526833668449E-2</v>
      </c>
      <c r="J124" s="89">
        <f>IFERROR(('EF Determination'!G46*$E$140/1000+IF($D124="Yes",'EF Determination'!G46*$G$140/1000*$G$146*$C$154,0)),)</f>
        <v>2.2860514215876152E-2</v>
      </c>
      <c r="K124" s="89">
        <f>IFERROR(('EF Determination'!H46*$E$141/1000+IF($D124="Yes",'EF Determination'!H46*$G$141/1000*$G$146*$C$155,0)),)</f>
        <v>3.2876392180618844E-2</v>
      </c>
      <c r="L124" s="89">
        <f>IFERROR(('EF Determination'!H46*$E$142/1000+IF($D124="Yes",'EF Determination'!H46*$G$142/1000*$G$146*$C$156,0)),)</f>
        <v>1.0810887244669753E-2</v>
      </c>
      <c r="M124" s="254">
        <f>IFERROR(('EF Determination'!H46*$E$143/1000+IF($D124="Yes",'EF Determination'!H46*$G$143/1000*$G$146*$C$157,0)),)</f>
        <v>2.0814991859140274E-2</v>
      </c>
    </row>
    <row r="125" spans="1:13" x14ac:dyDescent="0.25">
      <c r="A125" s="154"/>
      <c r="B125" s="104" t="s">
        <v>84</v>
      </c>
      <c r="C125" s="91" t="s">
        <v>85</v>
      </c>
      <c r="D125" s="91" t="s">
        <v>128</v>
      </c>
      <c r="E125" s="224">
        <f>IFERROR(('EF Determination'!H47*$E$135/1000+IF($D125="Yes",'EF Determination'!H47*$G$135/1000*$G$146*$C$149,0)),)</f>
        <v>0.60597956444444445</v>
      </c>
      <c r="F125" s="89">
        <f>IFERROR(('EF Determination'!H47*$E$136/1000+IF($D125="Yes",'EF Determination'!H47*$G$136/1000*$G$146*$C$150,0)),)</f>
        <v>0.64781024333333315</v>
      </c>
      <c r="G125" s="89">
        <f>IFERROR(('EF Determination'!H47*$E$137/1000+IF($D125="Yes",'EF Determination'!H47*$G$137/1000*$G$146*$C$151,0)),)</f>
        <v>0.81287184111111122</v>
      </c>
      <c r="H125" s="89">
        <f>IFERROR(('EF Determination'!H47*$E$138/1000+IF($D125="Yes",'EF Determination'!H47*$G$138/1000*$G$146*$C$152,0)),)</f>
        <v>1.4516376133333333</v>
      </c>
      <c r="I125" s="89">
        <f>IFERROR(('EF Determination'!H47*$E$139/1000+IF($D125="Yes",'EF Determination'!H47*$G$139/1000*$G$146*$C$153,0)),)</f>
        <v>1.5703462966666668</v>
      </c>
      <c r="J125" s="89">
        <f>IFERROR(('EF Determination'!G47*$E$140/1000+IF($D125="Yes",'EF Determination'!G47*$G$140/1000*$G$146*$C$154,0)),)</f>
        <v>1.9615196722222221</v>
      </c>
      <c r="K125" s="89">
        <f>IFERROR(('EF Determination'!H47*$E$141/1000+IF($D125="Yes",'EF Determination'!H47*$G$141/1000*$G$146*$C$155,0)),)</f>
        <v>1.8428109888888886</v>
      </c>
      <c r="L125" s="89">
        <f>IFERROR(('EF Determination'!H47*$E$142/1000+IF($D125="Yes",'EF Determination'!H47*$G$142/1000*$G$146*$C$156,0)),)</f>
        <v>0.60597956444444445</v>
      </c>
      <c r="M125" s="254">
        <f>IFERROR(('EF Determination'!H47*$E$143/1000+IF($D125="Yes",'EF Determination'!H47*$G$143/1000*$G$146*$C$157,0)),)</f>
        <v>1.1667367733333334</v>
      </c>
    </row>
    <row r="126" spans="1:13" x14ac:dyDescent="0.25">
      <c r="A126" s="154"/>
      <c r="B126" s="104" t="s">
        <v>149</v>
      </c>
      <c r="C126" s="91" t="s">
        <v>87</v>
      </c>
      <c r="D126" s="91" t="s">
        <v>128</v>
      </c>
      <c r="E126" s="224">
        <f>IFERROR(('EF Determination'!H48*$E$135/1000+IF($D126="Yes",'EF Determination'!H48*$G$135/1000*$G$146*$C$149,0)),)</f>
        <v>1.6116477777777779E-3</v>
      </c>
      <c r="F126" s="89">
        <f>IFERROR(('EF Determination'!H48*$E$136/1000+IF($D126="Yes",'EF Determination'!H48*$G$136/1000*$G$146*$C$150,0)),)</f>
        <v>1.7228995833333332E-3</v>
      </c>
      <c r="G126" s="89">
        <f>IFERROR(('EF Determination'!H48*$E$137/1000+IF($D126="Yes",'EF Determination'!H48*$G$137/1000*$G$146*$C$151,0)),)</f>
        <v>2.1618931944444443E-3</v>
      </c>
      <c r="H126" s="89">
        <f>IFERROR(('EF Determination'!H48*$E$138/1000+IF($D126="Yes",'EF Determination'!H48*$G$138/1000*$G$146*$C$152,0)),)</f>
        <v>3.8607383333333343E-3</v>
      </c>
      <c r="I126" s="89">
        <f>IFERROR(('EF Determination'!H48*$E$139/1000+IF($D126="Yes",'EF Determination'!H48*$G$139/1000*$G$146*$C$153,0)),)</f>
        <v>4.1764529166666668E-3</v>
      </c>
      <c r="J126" s="89">
        <f>IFERROR(('EF Determination'!G48*$E$140/1000+IF($D126="Yes",'EF Determination'!G48*$G$140/1000*$G$146*$C$154,0)),)</f>
        <v>3.9248699570304125E-3</v>
      </c>
      <c r="K126" s="89">
        <f>IFERROR(('EF Determination'!H48*$E$141/1000+IF($D126="Yes",'EF Determination'!H48*$G$141/1000*$G$146*$C$155,0)),)</f>
        <v>4.9010930555555545E-3</v>
      </c>
      <c r="L126" s="89">
        <f>IFERROR(('EF Determination'!H48*$E$142/1000+IF($D126="Yes",'EF Determination'!H48*$G$142/1000*$G$146*$C$156,0)),)</f>
        <v>1.6116477777777779E-3</v>
      </c>
      <c r="M126" s="254">
        <f>IFERROR(('EF Determination'!H48*$E$143/1000+IF($D126="Yes",'EF Determination'!H48*$G$143/1000*$G$146*$C$157,0)),)</f>
        <v>3.1030233333333335E-3</v>
      </c>
    </row>
    <row r="127" spans="1:13" x14ac:dyDescent="0.25">
      <c r="A127" s="154"/>
      <c r="B127" s="104" t="s">
        <v>150</v>
      </c>
      <c r="C127" s="91">
        <v>401</v>
      </c>
      <c r="D127" s="91" t="s">
        <v>128</v>
      </c>
      <c r="E127" s="224">
        <f>IFERROR(('EF Determination'!H49*$E$135/1000+IF($D127="Yes",'EF Determination'!H49*$G$135/1000*$G$146*$C$149,0)),)</f>
        <v>0</v>
      </c>
      <c r="F127" s="89">
        <f>IFERROR(('EF Determination'!H49*$E$136/1000+IF($D127="Yes",'EF Determination'!H49*$G$136/1000*$G$146*$C$150,0)),)</f>
        <v>0</v>
      </c>
      <c r="G127" s="89">
        <f>IFERROR(('EF Determination'!H49*$E$137/1000+IF($D127="Yes",'EF Determination'!H49*$G$137/1000*$G$146*$C$151,0)),)</f>
        <v>0</v>
      </c>
      <c r="H127" s="89">
        <f>IFERROR(('EF Determination'!H49*$E$138/1000+IF($D127="Yes",'EF Determination'!H49*$G$138/1000*$G$146*$C$152,0)),)</f>
        <v>0</v>
      </c>
      <c r="I127" s="89">
        <f>IFERROR(('EF Determination'!H49*$E$139/1000+IF($D127="Yes",'EF Determination'!H49*$G$139/1000*$G$146*$C$153,0)),)</f>
        <v>0</v>
      </c>
      <c r="J127" s="89">
        <f>IFERROR(('EF Determination'!G49*$E$140/1000+IF($D127="Yes",'EF Determination'!G49*$G$140/1000*$G$146*$C$154,0)),)</f>
        <v>0</v>
      </c>
      <c r="K127" s="89">
        <f>IFERROR(('EF Determination'!H49*$E$141/1000+IF($D127="Yes",'EF Determination'!H49*$G$141/1000*$G$146*$C$155,0)),)</f>
        <v>0</v>
      </c>
      <c r="L127" s="89">
        <f>IFERROR(('EF Determination'!H49*$E$142/1000+IF($D127="Yes",'EF Determination'!H49*$G$142/1000*$G$146*$C$156,0)),)</f>
        <v>0</v>
      </c>
      <c r="M127" s="254">
        <f>IFERROR(('EF Determination'!H49*$E$143/1000+IF($D127="Yes",'EF Determination'!H49*$G$143/1000*$G$146*$C$157,0)),)</f>
        <v>0</v>
      </c>
    </row>
    <row r="128" spans="1:13" x14ac:dyDescent="0.25">
      <c r="A128" s="161"/>
      <c r="B128" s="104" t="s">
        <v>89</v>
      </c>
      <c r="C128" s="91" t="s">
        <v>90</v>
      </c>
      <c r="D128" s="91" t="s">
        <v>131</v>
      </c>
      <c r="E128" s="224">
        <f>IFERROR(('EF Determination'!H50*$E$135/1000+IF($D128="Yes",'EF Determination'!H50*$G$135/1000*$G$146*$C$149,0)),)</f>
        <v>4.8417867899503276E-4</v>
      </c>
      <c r="F128" s="89">
        <f>IFERROR(('EF Determination'!H50*$E$136/1000+IF($D128="Yes",'EF Determination'!H50*$G$136/1000*$G$146*$C$150,0)),)</f>
        <v>5.176014609405852E-4</v>
      </c>
      <c r="G128" s="89">
        <f>IFERROR(('EF Determination'!H50*$E$137/1000+IF($D128="Yes",'EF Determination'!H50*$G$137/1000*$G$146*$C$151,0)),)</f>
        <v>6.4948595186087408E-4</v>
      </c>
      <c r="H128" s="89">
        <f>IFERROR(('EF Determination'!H50*$E$138/1000+IF($D128="Yes",'EF Determination'!H50*$G$138/1000*$G$146*$C$152,0)),)</f>
        <v>1.1598608653537726E-3</v>
      </c>
      <c r="I128" s="89">
        <f>IFERROR(('EF Determination'!H50*$E$139/1000+IF($D128="Yes",'EF Determination'!H50*$G$139/1000*$G$146*$C$153,0)),)</f>
        <v>1.254709300604665E-3</v>
      </c>
      <c r="J128" s="89">
        <f>IFERROR(('EF Determination'!G50*$E$140/1000+IF($D128="Yes",'EF Determination'!G50*$G$140/1000*$G$146*$C$154,0)),)</f>
        <v>0</v>
      </c>
      <c r="K128" s="89">
        <f>IFERROR(('EF Determination'!H50*$E$141/1000+IF($D128="Yes",'EF Determination'!H50*$G$141/1000*$G$146*$C$155,0)),)</f>
        <v>1.4724090424662376E-3</v>
      </c>
      <c r="L128" s="89">
        <f>IFERROR(('EF Determination'!H50*$E$142/1000+IF($D128="Yes",'EF Determination'!H50*$G$142/1000*$G$146*$C$156,0)),)</f>
        <v>4.8417867899503276E-4</v>
      </c>
      <c r="M128" s="254">
        <f>IFERROR(('EF Determination'!H50*$E$143/1000+IF($D128="Yes",'EF Determination'!H50*$G$143/1000*$G$146*$C$157,0)),)</f>
        <v>9.3222462075163016E-4</v>
      </c>
    </row>
    <row r="129" spans="1:14" x14ac:dyDescent="0.25">
      <c r="A129" s="161"/>
      <c r="B129" s="104" t="s">
        <v>91</v>
      </c>
      <c r="C129" s="91" t="s">
        <v>92</v>
      </c>
      <c r="D129" s="91" t="s">
        <v>131</v>
      </c>
      <c r="E129" s="224">
        <f>IFERROR(('EF Determination'!H51*$E$135/1000+IF($D129="Yes",'EF Determination'!H51*$G$135/1000*$G$146*$C$149,0)),)</f>
        <v>6.1763941489164921E-5</v>
      </c>
      <c r="F129" s="89">
        <f>IFERROR(('EF Determination'!H51*$E$136/1000+IF($D129="Yes",'EF Determination'!H51*$G$136/1000*$G$146*$C$150,0)),)</f>
        <v>6.6027497151663231E-5</v>
      </c>
      <c r="G129" s="89">
        <f>IFERROR(('EF Determination'!H51*$E$137/1000+IF($D129="Yes",'EF Determination'!H51*$G$137/1000*$G$146*$C$151,0)),)</f>
        <v>8.2851257333413391E-5</v>
      </c>
      <c r="H129" s="89">
        <f>IFERROR(('EF Determination'!H51*$E$138/1000+IF($D129="Yes",'EF Determination'!H51*$G$138/1000*$G$146*$C$152,0)),)</f>
        <v>1.4795690461210403E-4</v>
      </c>
      <c r="I129" s="89">
        <f>IFERROR(('EF Determination'!H51*$E$139/1000+IF($D129="Yes",'EF Determination'!H51*$G$139/1000*$G$146*$C$153,0)),)</f>
        <v>1.6005618419486956E-4</v>
      </c>
      <c r="J129" s="89">
        <f>IFERROR(('EF Determination'!G51*$E$140/1000+IF($D129="Yes",'EF Determination'!G51*$G$140/1000*$G$146*$C$154,0)),)</f>
        <v>0</v>
      </c>
      <c r="K129" s="89">
        <f>IFERROR(('EF Determination'!H51*$E$141/1000+IF($D129="Yes",'EF Determination'!H51*$G$141/1000*$G$146*$C$155,0)),)</f>
        <v>1.8782691161816945E-4</v>
      </c>
      <c r="L129" s="89">
        <f>IFERROR(('EF Determination'!H51*$E$142/1000+IF($D129="Yes",'EF Determination'!H51*$G$142/1000*$G$146*$C$156,0)),)</f>
        <v>6.1763941489164921E-5</v>
      </c>
      <c r="M129" s="254">
        <f>IFERROR(('EF Determination'!H51*$E$143/1000+IF($D129="Yes",'EF Determination'!H51*$G$143/1000*$G$146*$C$157,0)),)</f>
        <v>1.1891863361346679E-4</v>
      </c>
    </row>
    <row r="130" spans="1:14" x14ac:dyDescent="0.25">
      <c r="A130" s="161"/>
      <c r="B130" s="104" t="s">
        <v>93</v>
      </c>
      <c r="C130" s="91" t="s">
        <v>94</v>
      </c>
      <c r="D130" s="91" t="s">
        <v>131</v>
      </c>
      <c r="E130" s="224">
        <f>IFERROR(('EF Determination'!H52*$E$135/1000+IF($D130="Yes",'EF Determination'!H52*$G$135/1000*$G$146*$C$149,0)),)</f>
        <v>3.0885651179907527E-4</v>
      </c>
      <c r="F130" s="89">
        <f>IFERROR(('EF Determination'!H52*$E$136/1000+IF($D130="Yes",'EF Determination'!H52*$G$136/1000*$G$146*$C$150,0)),)</f>
        <v>3.3017683071057851E-4</v>
      </c>
      <c r="G130" s="89">
        <f>IFERROR(('EF Determination'!H52*$E$137/1000+IF($D130="Yes",'EF Determination'!H52*$G$137/1000*$G$146*$C$151,0)),)</f>
        <v>4.1430565668569981E-4</v>
      </c>
      <c r="H130" s="89">
        <f>IFERROR(('EF Determination'!H52*$E$138/1000+IF($D130="Yes",'EF Determination'!H52*$G$138/1000*$G$146*$C$152,0)),)</f>
        <v>7.3987268871271005E-4</v>
      </c>
      <c r="I130" s="89">
        <f>IFERROR(('EF Determination'!H52*$E$139/1000+IF($D130="Yes",'EF Determination'!H52*$G$139/1000*$G$146*$C$153,0)),)</f>
        <v>8.003762964345439E-4</v>
      </c>
      <c r="J130" s="89">
        <f>IFERROR(('EF Determination'!G52*$E$140/1000+IF($D130="Yes",'EF Determination'!G52*$G$140/1000*$G$146*$C$154,0)),)</f>
        <v>0</v>
      </c>
      <c r="K130" s="89">
        <f>IFERROR(('EF Determination'!H52*$E$141/1000+IF($D130="Yes",'EF Determination'!H52*$G$141/1000*$G$146*$C$155,0)),)</f>
        <v>9.3924648177703843E-4</v>
      </c>
      <c r="L130" s="89">
        <f>IFERROR(('EF Determination'!H52*$E$142/1000+IF($D130="Yes",'EF Determination'!H52*$G$142/1000*$G$146*$C$156,0)),)</f>
        <v>3.0885651179907527E-4</v>
      </c>
      <c r="M130" s="254">
        <f>IFERROR(('EF Determination'!H52*$E$143/1000+IF($D130="Yes",'EF Determination'!H52*$G$143/1000*$G$146*$C$157,0)),)</f>
        <v>5.9466403018030895E-4</v>
      </c>
    </row>
    <row r="131" spans="1:14" ht="13.5" customHeight="1" x14ac:dyDescent="0.25">
      <c r="A131" s="161"/>
      <c r="B131" s="104" t="s">
        <v>95</v>
      </c>
      <c r="C131" s="91" t="s">
        <v>96</v>
      </c>
      <c r="D131" s="91" t="s">
        <v>128</v>
      </c>
      <c r="E131" s="224">
        <f>IFERROR(('EF Determination'!H53*$E$135/1000+IF($D131="Yes",'EF Determination'!H53*$G$135/1000*$G$146*$C$149,0)),)</f>
        <v>0.13589414062222221</v>
      </c>
      <c r="F131" s="89">
        <f>IFERROR(('EF Determination'!H53*$E$136/1000+IF($D131="Yes",'EF Determination'!H53*$G$136/1000*$G$146*$C$150,0)),)</f>
        <v>0.14527489286666664</v>
      </c>
      <c r="G131" s="89">
        <f>IFERROR(('EF Determination'!H53*$E$137/1000+IF($D131="Yes",'EF Determination'!H53*$G$137/1000*$G$146*$C$151,0)),)</f>
        <v>0.18229083415555555</v>
      </c>
      <c r="H131" s="89">
        <f>IFERROR(('EF Determination'!H53*$E$138/1000+IF($D131="Yes",'EF Determination'!H53*$G$138/1000*$G$146*$C$152,0)),)</f>
        <v>0.32553745626666669</v>
      </c>
      <c r="I131" s="89">
        <f>IFERROR(('EF Determination'!H53*$E$139/1000+IF($D131="Yes",'EF Determination'!H53*$G$139/1000*$G$146*$C$153,0)),)</f>
        <v>0.35215850993333336</v>
      </c>
      <c r="J131" s="89">
        <f>IFERROR(('EF Determination'!G53*$E$140/1000+IF($D131="Yes",'EF Determination'!G53*$G$140/1000*$G$146*$C$154,0)),)</f>
        <v>0.43988122011111103</v>
      </c>
      <c r="K131" s="89">
        <f>IFERROR(('EF Determination'!H53*$E$141/1000+IF($D131="Yes",'EF Determination'!H53*$G$141/1000*$G$146*$C$155,0)),)</f>
        <v>0.41326016644444441</v>
      </c>
      <c r="L131" s="89">
        <f>IFERROR(('EF Determination'!H53*$E$142/1000+IF($D131="Yes",'EF Determination'!H53*$G$142/1000*$G$146*$C$156,0)),)</f>
        <v>0.13589414062222221</v>
      </c>
      <c r="M131" s="254">
        <f>IFERROR(('EF Determination'!H53*$E$143/1000+IF($D131="Yes",'EF Determination'!H53*$G$143/1000*$G$146*$C$157,0)),)</f>
        <v>0.26164692746666668</v>
      </c>
    </row>
    <row r="132" spans="1:14" x14ac:dyDescent="0.25">
      <c r="A132" s="161"/>
      <c r="B132" s="104" t="s">
        <v>97</v>
      </c>
      <c r="C132" s="91" t="s">
        <v>98</v>
      </c>
      <c r="D132" s="91" t="s">
        <v>128</v>
      </c>
      <c r="E132" s="224">
        <f>IFERROR(('EF Determination'!H54*$E$135/1000+IF($D132="Yes",'EF Determination'!H54*$G$135/1000*$G$146*$C$149,0)),)</f>
        <v>5.4667092622222226E-2</v>
      </c>
      <c r="F132" s="89">
        <f>IFERROR(('EF Determination'!H54*$E$136/1000+IF($D132="Yes",'EF Determination'!H54*$G$136/1000*$G$146*$C$150,0)),)</f>
        <v>5.844075386666666E-2</v>
      </c>
      <c r="G132" s="89">
        <f>IFERROR(('EF Determination'!H54*$E$137/1000+IF($D132="Yes",'EF Determination'!H54*$G$137/1000*$G$146*$C$151,0)),)</f>
        <v>7.3331417155555551E-2</v>
      </c>
      <c r="H132" s="89">
        <f>IFERROR(('EF Determination'!H54*$E$138/1000+IF($D132="Yes",'EF Determination'!H54*$G$138/1000*$G$146*$C$152,0)),)</f>
        <v>0.13095624426666666</v>
      </c>
      <c r="I132" s="89">
        <f>IFERROR(('EF Determination'!H54*$E$139/1000+IF($D132="Yes",'EF Determination'!H54*$G$139/1000*$G$146*$C$153,0)),)</f>
        <v>0.14166528293333336</v>
      </c>
      <c r="J132" s="89">
        <f>IFERROR(('EF Determination'!G54*$E$140/1000+IF($D132="Yes",'EF Determination'!G54*$G$140/1000*$G$146*$C$154,0)),)</f>
        <v>0.17695411511111109</v>
      </c>
      <c r="K132" s="89">
        <f>IFERROR(('EF Determination'!H54*$E$141/1000+IF($D132="Yes",'EF Determination'!H54*$G$141/1000*$G$146*$C$155,0)),)</f>
        <v>0.16624507644444442</v>
      </c>
      <c r="L132" s="89">
        <f>IFERROR(('EF Determination'!H54*$E$142/1000+IF($D132="Yes",'EF Determination'!H54*$G$142/1000*$G$146*$C$156,0)),)</f>
        <v>5.4667092622222226E-2</v>
      </c>
      <c r="M132" s="254">
        <f>IFERROR(('EF Determination'!H54*$E$143/1000+IF($D132="Yes",'EF Determination'!H54*$G$143/1000*$G$146*$C$157,0)),)</f>
        <v>0.10525455146666668</v>
      </c>
      <c r="N132" s="175"/>
    </row>
    <row r="133" spans="1:14" ht="15.75" thickBot="1" x14ac:dyDescent="0.3">
      <c r="A133" s="161"/>
      <c r="B133" s="108" t="s">
        <v>99</v>
      </c>
      <c r="C133" s="96" t="s">
        <v>100</v>
      </c>
      <c r="D133" s="96" t="s">
        <v>131</v>
      </c>
      <c r="E133" s="250">
        <f>IFERROR(('EF Determination'!H55*$E$135/1000+IF($D133="Yes",'EF Determination'!H55*$G$135/1000*$G$146*$C$149,0)),)</f>
        <v>6.7229539668862996E-3</v>
      </c>
      <c r="F133" s="252">
        <f>IFERROR(('EF Determination'!H55*$E$136/1000+IF($D133="Yes",'EF Determination'!H55*$G$136/1000*$G$146*$C$150,0)),)</f>
        <v>7.1870384757944938E-3</v>
      </c>
      <c r="G133" s="252">
        <f>IFERROR(('EF Determination'!H55*$E$137/1000+IF($D133="Yes",'EF Determination'!H55*$G$137/1000*$G$146*$C$151,0)),)</f>
        <v>9.018290862297107E-3</v>
      </c>
      <c r="H133" s="252">
        <f>IFERROR(('EF Determination'!H55*$E$138/1000+IF($D133="Yes",'EF Determination'!H55*$G$138/1000*$G$146*$C$152,0)),)</f>
        <v>1.6104986741570911E-2</v>
      </c>
      <c r="I133" s="252">
        <f>IFERROR(('EF Determination'!H55*$E$139/1000+IF($D133="Yes",'EF Determination'!H55*$G$139/1000*$G$146*$C$153,0)),)</f>
        <v>1.7421983320904982E-2</v>
      </c>
      <c r="J133" s="252">
        <f>IFERROR(('EF Determination'!G55*$E$140/1000+IF($D133="Yes",'EF Determination'!G55*$G$140/1000*$G$146*$C$154,0)),)</f>
        <v>2.0948388610888487E-2</v>
      </c>
      <c r="K133" s="252">
        <f>IFERROR(('EF Determination'!H55*$E$141/1000+IF($D133="Yes",'EF Determination'!H55*$G$141/1000*$G$146*$C$155,0)),)</f>
        <v>2.0444804041090798E-2</v>
      </c>
      <c r="L133" s="252">
        <f>IFERROR(('EF Determination'!H55*$E$142/1000+IF($D133="Yes",'EF Determination'!H55*$G$142/1000*$G$146*$C$156,0)),)</f>
        <v>6.7229539668862996E-3</v>
      </c>
      <c r="M133" s="256">
        <f>IFERROR(('EF Determination'!H55*$E$143/1000+IF($D133="Yes",'EF Determination'!H55*$G$143/1000*$G$146*$C$157,0)),)</f>
        <v>1.2944194951169143E-2</v>
      </c>
    </row>
    <row r="134" spans="1:14" ht="21.6" customHeight="1" x14ac:dyDescent="0.25">
      <c r="A134" s="147">
        <v>1</v>
      </c>
      <c r="B134" s="622" t="s">
        <v>151</v>
      </c>
      <c r="C134" s="622"/>
      <c r="D134" s="622"/>
      <c r="E134" s="622"/>
      <c r="F134" s="622"/>
      <c r="G134" s="622"/>
      <c r="H134" s="622"/>
      <c r="I134" s="622"/>
      <c r="J134" s="622"/>
      <c r="K134" s="622"/>
      <c r="L134" s="622"/>
      <c r="M134" s="622"/>
    </row>
    <row r="135" spans="1:14" ht="12.75" customHeight="1" x14ac:dyDescent="0.25">
      <c r="A135" s="147"/>
      <c r="B135" s="174" t="str">
        <f>B70</f>
        <v>CAT 27 - 750 kW</v>
      </c>
      <c r="C135" s="319">
        <v>24</v>
      </c>
      <c r="D135" s="179" t="s">
        <v>173</v>
      </c>
      <c r="E135" s="180">
        <f>G135*C135</f>
        <v>1286.4000000000001</v>
      </c>
      <c r="F135" s="97" t="s">
        <v>174</v>
      </c>
      <c r="G135" s="188">
        <f>G56</f>
        <v>53.6</v>
      </c>
      <c r="H135" s="141" t="s">
        <v>155</v>
      </c>
      <c r="I135" s="97"/>
      <c r="J135" s="97"/>
      <c r="K135" s="97"/>
      <c r="L135" s="97"/>
      <c r="M135" s="97"/>
    </row>
    <row r="136" spans="1:14" x14ac:dyDescent="0.25">
      <c r="A136" s="147"/>
      <c r="B136" s="174" t="str">
        <f t="shared" ref="B136:B143" si="2">B71</f>
        <v>CAT 27 - 800 kW</v>
      </c>
      <c r="C136" s="319">
        <v>24</v>
      </c>
      <c r="D136" s="74" t="s">
        <v>173</v>
      </c>
      <c r="E136" s="180">
        <f>G136*C136</f>
        <v>1375.1999999999998</v>
      </c>
      <c r="F136" s="70" t="s">
        <v>174</v>
      </c>
      <c r="G136" s="188">
        <f t="shared" ref="G136:G143" si="3">G57</f>
        <v>57.3</v>
      </c>
      <c r="H136" s="74" t="s">
        <v>155</v>
      </c>
      <c r="I136" s="70"/>
      <c r="J136" s="70"/>
      <c r="L136" s="2"/>
      <c r="M136" s="2"/>
    </row>
    <row r="137" spans="1:14" x14ac:dyDescent="0.25">
      <c r="A137" s="147"/>
      <c r="B137" s="174" t="str">
        <f t="shared" si="2"/>
        <v>CAT 32 - 1000 kW</v>
      </c>
      <c r="C137" s="319">
        <v>24</v>
      </c>
      <c r="D137" s="74" t="s">
        <v>173</v>
      </c>
      <c r="E137" s="180">
        <f t="shared" ref="E137:E143" si="4">G137*C137</f>
        <v>1725.6000000000001</v>
      </c>
      <c r="F137" s="70" t="s">
        <v>174</v>
      </c>
      <c r="G137" s="188">
        <f t="shared" si="3"/>
        <v>71.900000000000006</v>
      </c>
      <c r="H137" s="74" t="s">
        <v>155</v>
      </c>
      <c r="I137" s="70"/>
      <c r="J137" s="70"/>
      <c r="L137" s="2"/>
      <c r="M137" s="2"/>
    </row>
    <row r="138" spans="1:14" x14ac:dyDescent="0.25">
      <c r="A138" s="147"/>
      <c r="B138" s="174" t="str">
        <f t="shared" si="2"/>
        <v>CAT 3516C Trans - 1825 kW</v>
      </c>
      <c r="C138" s="319">
        <v>24</v>
      </c>
      <c r="D138" s="74" t="s">
        <v>173</v>
      </c>
      <c r="E138" s="180">
        <f t="shared" si="4"/>
        <v>3081.6000000000004</v>
      </c>
      <c r="F138" s="70" t="s">
        <v>174</v>
      </c>
      <c r="G138" s="188">
        <f t="shared" si="3"/>
        <v>128.4</v>
      </c>
      <c r="H138" s="74" t="s">
        <v>155</v>
      </c>
      <c r="I138" s="70"/>
      <c r="J138" s="70"/>
      <c r="L138" s="2"/>
      <c r="M138" s="2"/>
    </row>
    <row r="139" spans="1:14" x14ac:dyDescent="0.25">
      <c r="A139" s="147"/>
      <c r="B139" s="174" t="str">
        <f t="shared" si="2"/>
        <v>CAT 3516C - 2000 kW</v>
      </c>
      <c r="C139" s="319">
        <v>24</v>
      </c>
      <c r="D139" s="74" t="s">
        <v>173</v>
      </c>
      <c r="E139" s="180">
        <f t="shared" si="4"/>
        <v>3333.6000000000004</v>
      </c>
      <c r="F139" s="70" t="s">
        <v>174</v>
      </c>
      <c r="G139" s="188">
        <f t="shared" si="3"/>
        <v>138.9</v>
      </c>
      <c r="H139" s="74" t="s">
        <v>155</v>
      </c>
      <c r="I139" s="70"/>
      <c r="J139" s="70"/>
      <c r="L139" s="2"/>
      <c r="M139" s="2"/>
    </row>
    <row r="140" spans="1:14" x14ac:dyDescent="0.25">
      <c r="A140" s="147"/>
      <c r="B140" s="174" t="str">
        <f t="shared" si="2"/>
        <v>CAT 3516C - 2500 kW</v>
      </c>
      <c r="C140" s="319">
        <v>24</v>
      </c>
      <c r="D140" s="74" t="s">
        <v>173</v>
      </c>
      <c r="E140" s="180">
        <f t="shared" si="4"/>
        <v>4164</v>
      </c>
      <c r="F140" s="70" t="s">
        <v>174</v>
      </c>
      <c r="G140" s="188">
        <f t="shared" si="3"/>
        <v>173.5</v>
      </c>
      <c r="H140" s="74" t="s">
        <v>155</v>
      </c>
      <c r="I140" s="70"/>
      <c r="J140" s="70"/>
      <c r="L140" s="2"/>
      <c r="M140" s="2"/>
    </row>
    <row r="141" spans="1:14" x14ac:dyDescent="0.25">
      <c r="A141" s="147"/>
      <c r="B141" s="174" t="str">
        <f t="shared" si="2"/>
        <v>MTU 2250 - 2250 kW</v>
      </c>
      <c r="C141" s="319">
        <v>24</v>
      </c>
      <c r="D141" s="74" t="s">
        <v>173</v>
      </c>
      <c r="E141" s="180">
        <f t="shared" si="4"/>
        <v>3912</v>
      </c>
      <c r="F141" s="70" t="s">
        <v>174</v>
      </c>
      <c r="G141" s="188">
        <f t="shared" si="3"/>
        <v>163</v>
      </c>
      <c r="H141" s="74" t="s">
        <v>155</v>
      </c>
      <c r="I141" s="70"/>
      <c r="J141" s="76"/>
      <c r="L141" s="2"/>
      <c r="M141" s="2"/>
    </row>
    <row r="142" spans="1:14" x14ac:dyDescent="0.25">
      <c r="A142" s="147"/>
      <c r="B142" s="174" t="str">
        <f t="shared" si="2"/>
        <v>CAT C18 - 750 kW</v>
      </c>
      <c r="C142" s="319">
        <v>24</v>
      </c>
      <c r="D142" s="74" t="s">
        <v>173</v>
      </c>
      <c r="E142" s="180">
        <f t="shared" si="4"/>
        <v>1286.4000000000001</v>
      </c>
      <c r="F142" s="70" t="s">
        <v>174</v>
      </c>
      <c r="G142" s="188">
        <f t="shared" si="3"/>
        <v>53.6</v>
      </c>
      <c r="H142" s="74" t="s">
        <v>155</v>
      </c>
      <c r="I142" s="70"/>
      <c r="J142" s="76"/>
      <c r="L142" s="2"/>
      <c r="M142" s="2"/>
    </row>
    <row r="143" spans="1:14" x14ac:dyDescent="0.25">
      <c r="A143" s="147"/>
      <c r="B143" s="174" t="str">
        <f t="shared" si="2"/>
        <v>CAT 3512C - 1500 kW</v>
      </c>
      <c r="C143" s="319">
        <v>24</v>
      </c>
      <c r="D143" s="74" t="s">
        <v>173</v>
      </c>
      <c r="E143" s="180">
        <f t="shared" si="4"/>
        <v>2476.8000000000002</v>
      </c>
      <c r="F143" s="70" t="s">
        <v>174</v>
      </c>
      <c r="G143" s="188">
        <f t="shared" si="3"/>
        <v>103.2</v>
      </c>
      <c r="H143" s="114" t="s">
        <v>155</v>
      </c>
      <c r="I143" s="70"/>
      <c r="J143" s="76"/>
      <c r="L143" s="2"/>
      <c r="M143" s="2"/>
    </row>
    <row r="144" spans="1:14" ht="57.75" customHeight="1" x14ac:dyDescent="0.25">
      <c r="A144" s="147">
        <v>2</v>
      </c>
      <c r="B144" s="605" t="s">
        <v>160</v>
      </c>
      <c r="C144" s="605"/>
      <c r="D144" s="605"/>
      <c r="E144" s="605"/>
      <c r="F144" s="605"/>
      <c r="G144" s="605"/>
      <c r="H144" s="605"/>
      <c r="I144" s="605"/>
      <c r="J144" s="605"/>
      <c r="K144" s="605"/>
      <c r="L144" s="605"/>
      <c r="M144" s="605"/>
    </row>
    <row r="145" spans="1:13" ht="48.75" customHeight="1" x14ac:dyDescent="0.25">
      <c r="A145" s="147"/>
      <c r="B145" s="116" t="s">
        <v>1</v>
      </c>
      <c r="C145" s="117" t="s">
        <v>161</v>
      </c>
      <c r="D145" s="118" t="s">
        <v>162</v>
      </c>
      <c r="E145" s="119" t="s">
        <v>163</v>
      </c>
      <c r="F145" s="119" t="s">
        <v>164</v>
      </c>
      <c r="G145" s="117" t="s">
        <v>165</v>
      </c>
      <c r="H145" s="171"/>
      <c r="I145" s="2"/>
      <c r="J145" s="72"/>
      <c r="K145" s="72"/>
      <c r="L145" s="2"/>
      <c r="M145" s="68"/>
    </row>
    <row r="146" spans="1:13" x14ac:dyDescent="0.25">
      <c r="A146" s="147"/>
      <c r="B146" s="120" t="s">
        <v>166</v>
      </c>
      <c r="C146" s="120">
        <v>14</v>
      </c>
      <c r="D146" s="120">
        <v>900</v>
      </c>
      <c r="E146" s="120">
        <v>30</v>
      </c>
      <c r="F146" s="121">
        <f>((C146*D146/2)+(E146*(60-C146)))/(E146*60)</f>
        <v>4.2666666666666666</v>
      </c>
      <c r="G146" s="122">
        <f>((1/60*F146+59/60)-1)</f>
        <v>5.4444444444444295E-2</v>
      </c>
      <c r="H146" s="172"/>
      <c r="I146" s="2"/>
      <c r="J146" s="73"/>
      <c r="K146" s="73"/>
      <c r="L146" s="2"/>
      <c r="M146" s="68"/>
    </row>
    <row r="147" spans="1:13" x14ac:dyDescent="0.25">
      <c r="A147" s="147"/>
      <c r="B147" s="116" t="s">
        <v>167</v>
      </c>
      <c r="C147" s="116">
        <v>20</v>
      </c>
      <c r="D147" s="116">
        <v>750</v>
      </c>
      <c r="E147" s="116">
        <v>30</v>
      </c>
      <c r="F147" s="123">
        <f>((C147*D147/2)+(E147*(60-C147)))/(E147*60)</f>
        <v>4.833333333333333</v>
      </c>
      <c r="G147" s="124">
        <f>((1/60*F147+59/60)-1)</f>
        <v>6.3888888888888884E-2</v>
      </c>
      <c r="H147" s="173"/>
      <c r="I147" s="125"/>
      <c r="J147" s="73"/>
      <c r="K147" s="73"/>
      <c r="L147" s="2"/>
      <c r="M147" s="68"/>
    </row>
    <row r="148" spans="1:13" ht="12" customHeight="1" x14ac:dyDescent="0.25">
      <c r="A148" s="147">
        <v>3</v>
      </c>
      <c r="B148" s="70" t="s">
        <v>175</v>
      </c>
      <c r="C148" s="70"/>
      <c r="D148" s="70"/>
      <c r="E148" s="70"/>
      <c r="F148" s="70"/>
      <c r="G148" s="70"/>
      <c r="H148" s="70"/>
      <c r="I148" s="70"/>
      <c r="J148" s="70"/>
      <c r="K148" s="70"/>
      <c r="L148" s="61"/>
      <c r="M148" s="70"/>
    </row>
    <row r="149" spans="1:13" ht="12" customHeight="1" x14ac:dyDescent="0.25">
      <c r="A149" s="147"/>
      <c r="B149" s="109" t="str">
        <f>B135</f>
        <v>CAT 27 - 750 kW</v>
      </c>
      <c r="C149" s="178">
        <v>1</v>
      </c>
      <c r="D149" s="70" t="s">
        <v>176</v>
      </c>
      <c r="E149" s="70"/>
      <c r="F149" s="70"/>
      <c r="G149" s="70"/>
      <c r="H149" s="70"/>
      <c r="I149" s="70"/>
      <c r="J149" s="70"/>
      <c r="K149" s="70"/>
      <c r="L149" s="61"/>
      <c r="M149" s="70"/>
    </row>
    <row r="150" spans="1:13" x14ac:dyDescent="0.25">
      <c r="A150" s="155"/>
      <c r="B150" s="109" t="str">
        <f t="shared" ref="B150:B157" si="5">B136</f>
        <v>CAT 27 - 800 kW</v>
      </c>
      <c r="C150" s="178">
        <v>1</v>
      </c>
      <c r="D150" s="74" t="s">
        <v>176</v>
      </c>
      <c r="E150" s="74"/>
      <c r="F150" s="129"/>
      <c r="G150" s="129"/>
      <c r="H150" s="129"/>
      <c r="I150" s="129"/>
      <c r="J150" s="129"/>
      <c r="K150" s="129"/>
      <c r="L150" s="64"/>
      <c r="M150" s="129"/>
    </row>
    <row r="151" spans="1:13" x14ac:dyDescent="0.25">
      <c r="A151" s="155"/>
      <c r="B151" s="109" t="str">
        <f t="shared" si="5"/>
        <v>CAT 32 - 1000 kW</v>
      </c>
      <c r="C151" s="178">
        <v>1</v>
      </c>
      <c r="D151" s="74" t="s">
        <v>176</v>
      </c>
      <c r="E151" s="74"/>
      <c r="F151" s="129"/>
      <c r="G151" s="129"/>
      <c r="H151" s="129"/>
      <c r="I151" s="129"/>
      <c r="J151" s="129"/>
      <c r="K151" s="129"/>
      <c r="L151" s="64"/>
      <c r="M151" s="129"/>
    </row>
    <row r="152" spans="1:13" x14ac:dyDescent="0.25">
      <c r="A152" s="155"/>
      <c r="B152" s="109" t="str">
        <f t="shared" si="5"/>
        <v>CAT 3516C Trans - 1825 kW</v>
      </c>
      <c r="C152" s="178">
        <v>1</v>
      </c>
      <c r="D152" s="74" t="s">
        <v>176</v>
      </c>
      <c r="E152" s="74"/>
      <c r="F152" s="129"/>
      <c r="G152" s="129"/>
      <c r="H152" s="129"/>
      <c r="I152" s="129"/>
      <c r="J152" s="129"/>
      <c r="K152" s="129"/>
      <c r="L152" s="64"/>
      <c r="M152" s="129"/>
    </row>
    <row r="153" spans="1:13" x14ac:dyDescent="0.25">
      <c r="A153" s="155"/>
      <c r="B153" s="109" t="str">
        <f t="shared" si="5"/>
        <v>CAT 3516C - 2000 kW</v>
      </c>
      <c r="C153" s="178">
        <v>1</v>
      </c>
      <c r="D153" s="74" t="s">
        <v>176</v>
      </c>
      <c r="E153" s="74"/>
      <c r="F153" s="129"/>
      <c r="G153" s="129"/>
      <c r="H153" s="129"/>
      <c r="I153" s="129"/>
      <c r="J153" s="129"/>
      <c r="K153" s="129"/>
      <c r="L153" s="64"/>
      <c r="M153" s="129"/>
    </row>
    <row r="154" spans="1:13" x14ac:dyDescent="0.25">
      <c r="A154" s="155"/>
      <c r="B154" s="109" t="str">
        <f t="shared" si="5"/>
        <v>CAT 3516C - 2500 kW</v>
      </c>
      <c r="C154" s="178">
        <v>1</v>
      </c>
      <c r="D154" s="74" t="s">
        <v>176</v>
      </c>
      <c r="E154" s="74"/>
      <c r="F154" s="129"/>
      <c r="G154" s="129"/>
      <c r="H154" s="129"/>
      <c r="I154" s="129"/>
      <c r="J154" s="129"/>
      <c r="K154" s="129"/>
      <c r="L154" s="64"/>
      <c r="M154" s="129"/>
    </row>
    <row r="155" spans="1:13" x14ac:dyDescent="0.25">
      <c r="A155" s="155"/>
      <c r="B155" s="109" t="str">
        <f t="shared" si="5"/>
        <v>MTU 2250 - 2250 kW</v>
      </c>
      <c r="C155" s="178">
        <v>1</v>
      </c>
      <c r="D155" s="74" t="s">
        <v>176</v>
      </c>
      <c r="E155" s="74"/>
      <c r="F155" s="129"/>
      <c r="G155" s="129"/>
      <c r="H155" s="129"/>
      <c r="I155" s="129"/>
      <c r="J155" s="129"/>
      <c r="K155" s="129"/>
      <c r="L155" s="64"/>
      <c r="M155" s="129"/>
    </row>
    <row r="156" spans="1:13" x14ac:dyDescent="0.25">
      <c r="A156" s="155"/>
      <c r="B156" s="109" t="str">
        <f t="shared" si="5"/>
        <v>CAT C18 - 750 kW</v>
      </c>
      <c r="C156" s="178">
        <v>1</v>
      </c>
      <c r="D156" s="74" t="s">
        <v>176</v>
      </c>
      <c r="E156" s="74"/>
      <c r="F156" s="129"/>
      <c r="G156" s="129"/>
      <c r="H156" s="129"/>
      <c r="I156" s="129"/>
      <c r="J156" s="129"/>
      <c r="K156" s="129"/>
      <c r="L156" s="64"/>
      <c r="M156" s="129"/>
    </row>
    <row r="157" spans="1:13" x14ac:dyDescent="0.25">
      <c r="A157" s="63"/>
      <c r="B157" s="109" t="str">
        <f t="shared" si="5"/>
        <v>CAT 3512C - 1500 kW</v>
      </c>
      <c r="C157" s="178">
        <v>1</v>
      </c>
      <c r="D157" s="74" t="s">
        <v>176</v>
      </c>
      <c r="E157" s="64"/>
      <c r="F157" s="64"/>
      <c r="G157" s="64"/>
      <c r="H157" s="64"/>
      <c r="I157" s="64"/>
      <c r="J157" s="64"/>
      <c r="K157" s="64"/>
      <c r="L157" s="64"/>
      <c r="M157" s="64"/>
    </row>
  </sheetData>
  <mergeCells count="13">
    <mergeCell ref="B134:M134"/>
    <mergeCell ref="B144:M144"/>
    <mergeCell ref="C81:C82"/>
    <mergeCell ref="C2:C3"/>
    <mergeCell ref="D2:D3"/>
    <mergeCell ref="B69:G69"/>
    <mergeCell ref="B65:M65"/>
    <mergeCell ref="B2:B3"/>
    <mergeCell ref="D81:D82"/>
    <mergeCell ref="B81:B82"/>
    <mergeCell ref="E2:M2"/>
    <mergeCell ref="E81:M81"/>
    <mergeCell ref="B55:M55"/>
  </mergeCells>
  <conditionalFormatting sqref="G4:M4 F5:M27 F29:M54">
    <cfRule type="cellIs" dxfId="4" priority="29" operator="lessThan">
      <formula>0.015</formula>
    </cfRule>
    <cfRule type="expression" priority="30" stopIfTrue="1">
      <formula>IF(F4="",TRUE)</formula>
    </cfRule>
  </conditionalFormatting>
  <conditionalFormatting sqref="H57:H64 J57:J64 H136:H143">
    <cfRule type="cellIs" dxfId="3" priority="28" operator="greaterThanOrEqual">
      <formula>1000</formula>
    </cfRule>
  </conditionalFormatting>
  <pageMargins left="0.25" right="0.25" top="0.75" bottom="0.75" header="0.3" footer="0.3"/>
  <pageSetup paperSize="3" scale="70" fitToWidth="0" fitToHeight="0" orientation="portrait" r:id="rId1"/>
  <rowBreaks count="1" manualBreakCount="1">
    <brk id="78" max="1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E3DE6-999C-4604-A2AF-CD0D7E24F6A3}">
  <sheetPr>
    <tabColor theme="1"/>
  </sheetPr>
  <dimension ref="A1"/>
  <sheetViews>
    <sheetView workbookViewId="0"/>
  </sheetViews>
  <sheetFormatPr defaultRowHeight="15" x14ac:dyDescent="0.2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BD004-F24F-4A86-812A-A18999B87917}">
  <sheetPr codeName="Sheet4"/>
  <dimension ref="A2:N607"/>
  <sheetViews>
    <sheetView view="pageBreakPreview" topLeftCell="A53" zoomScaleNormal="100" zoomScaleSheetLayoutView="100" workbookViewId="0">
      <selection activeCell="A53" sqref="A1:L1048576"/>
    </sheetView>
  </sheetViews>
  <sheetFormatPr defaultColWidth="9.140625" defaultRowHeight="15" x14ac:dyDescent="0.2"/>
  <cols>
    <col min="1" max="1" width="2.42578125" style="82" bestFit="1" customWidth="1"/>
    <col min="2" max="2" width="32.140625" style="59" customWidth="1"/>
    <col min="3" max="3" width="13.140625" style="59" customWidth="1"/>
    <col min="4" max="5" width="16.140625" style="59" customWidth="1"/>
    <col min="6" max="6" width="16.42578125" style="59" bestFit="1" customWidth="1"/>
    <col min="7" max="8" width="13.85546875" style="59" bestFit="1" customWidth="1"/>
    <col min="9" max="10" width="16.42578125" style="59" bestFit="1" customWidth="1"/>
    <col min="11" max="12" width="12.85546875" style="59" bestFit="1" customWidth="1"/>
    <col min="13" max="26" width="11.140625" style="59" customWidth="1"/>
    <col min="27" max="27" width="18.140625" style="59" customWidth="1"/>
    <col min="28" max="28" width="20.85546875" style="59" customWidth="1"/>
    <col min="29" max="32" width="22.140625" style="59" customWidth="1"/>
    <col min="33" max="33" width="9.140625" style="59"/>
    <col min="34" max="34" width="2.140625" style="59" customWidth="1"/>
    <col min="35" max="35" width="28.5703125" style="59" customWidth="1"/>
    <col min="36" max="36" width="14.140625" style="59" customWidth="1"/>
    <col min="37" max="37" width="18.140625" style="59" customWidth="1"/>
    <col min="38" max="38" width="20.85546875" style="59" customWidth="1"/>
    <col min="39" max="42" width="22.140625" style="59" customWidth="1"/>
    <col min="43" max="16384" width="9.140625" style="59"/>
  </cols>
  <sheetData>
    <row r="2" spans="2:12" ht="15.75" thickBot="1" x14ac:dyDescent="0.25">
      <c r="B2" s="56" t="s">
        <v>177</v>
      </c>
    </row>
    <row r="3" spans="2:12" ht="15" customHeight="1" x14ac:dyDescent="0.2">
      <c r="B3" s="666" t="s">
        <v>1</v>
      </c>
      <c r="C3" s="669" t="s">
        <v>2</v>
      </c>
      <c r="D3" s="672" t="s">
        <v>178</v>
      </c>
      <c r="E3" s="678" t="s">
        <v>179</v>
      </c>
      <c r="F3" s="674" t="s">
        <v>180</v>
      </c>
      <c r="G3" s="675"/>
      <c r="H3" s="675"/>
      <c r="I3" s="675"/>
      <c r="J3" s="675"/>
      <c r="K3" s="675"/>
      <c r="L3" s="676"/>
    </row>
    <row r="4" spans="2:12" ht="19.5" customHeight="1" x14ac:dyDescent="0.2">
      <c r="B4" s="667"/>
      <c r="C4" s="670"/>
      <c r="D4" s="673"/>
      <c r="E4" s="679"/>
      <c r="F4" s="677" t="s">
        <v>181</v>
      </c>
      <c r="G4" s="652"/>
      <c r="H4" s="652" t="s">
        <v>182</v>
      </c>
      <c r="I4" s="652"/>
      <c r="J4" s="652"/>
      <c r="K4" s="652"/>
      <c r="L4" s="653" t="s">
        <v>183</v>
      </c>
    </row>
    <row r="5" spans="2:12" ht="30" customHeight="1" thickBot="1" x14ac:dyDescent="0.25">
      <c r="B5" s="668"/>
      <c r="C5" s="671"/>
      <c r="D5" s="673"/>
      <c r="E5" s="680"/>
      <c r="F5" s="318" t="s">
        <v>184</v>
      </c>
      <c r="G5" s="146" t="s">
        <v>185</v>
      </c>
      <c r="H5" s="146" t="s">
        <v>186</v>
      </c>
      <c r="I5" s="146" t="s">
        <v>187</v>
      </c>
      <c r="J5" s="146" t="s">
        <v>188</v>
      </c>
      <c r="K5" s="146" t="s">
        <v>189</v>
      </c>
      <c r="L5" s="654"/>
    </row>
    <row r="6" spans="2:12" x14ac:dyDescent="0.2">
      <c r="B6" s="130" t="s">
        <v>4</v>
      </c>
      <c r="C6" s="131" t="s">
        <v>5</v>
      </c>
      <c r="D6" s="320" t="str">
        <f>IF(ISERROR(MATCH(C6,'OAR 340-245 Table 2 RBCs'!$A:$A,0)),"No","Yes")</f>
        <v>Yes</v>
      </c>
      <c r="E6" s="321" t="str">
        <f>IF(D6="Yes",INDEX('OAR 340-245 Table 2 RBCs'!$D:$D,MATCH(C6,'OAR 340-245 Table 2 RBCs'!$A:$A,0)),"")</f>
        <v>HI3</v>
      </c>
      <c r="F6" s="322">
        <f>_xlfn.IFNA(IF(INDEX('OAR 340-245 Table 2 RBCs'!$E:$R,MATCH($C6,'OAR 340-245 Table 2 RBCs'!$A:$A,0),2)="--","",INDEX('OAR 340-245 Table 2 RBCs'!$E:$R,MATCH($C6,'OAR 340-245 Table 2 RBCs'!$A:$A,0),2)),"")</f>
        <v>3.3000000000000002E-2</v>
      </c>
      <c r="G6" s="323">
        <f>_xlfn.IFNA(IF(INDEX('OAR 340-245 Table 2 RBCs'!$E:$R,MATCH($C6,'OAR 340-245 Table 2 RBCs'!$A:$A,0),4)="--","",INDEX('OAR 340-245 Table 2 RBCs'!$E:$R,MATCH($C6,'OAR 340-245 Table 2 RBCs'!$A:$A,0),4)),"")</f>
        <v>2</v>
      </c>
      <c r="H6" s="323">
        <f>_xlfn.IFNA(IF(INDEX('OAR 340-245 Table 2 RBCs'!$E:$R,MATCH($C6,'OAR 340-245 Table 2 RBCs'!$A:$A,0),6)="--","",INDEX('OAR 340-245 Table 2 RBCs'!$E:$R,MATCH($C6,'OAR 340-245 Table 2 RBCs'!$A:$A,0),6)),"")</f>
        <v>0.86</v>
      </c>
      <c r="I6" s="323">
        <f>_xlfn.IFNA(IF(INDEX('OAR 340-245 Table 2 RBCs'!$E:$R,MATCH($C6,'OAR 340-245 Table 2 RBCs'!$A:$A,0),8)="--","",INDEX('OAR 340-245 Table 2 RBCs'!$E:$R,MATCH($C6,'OAR 340-245 Table 2 RBCs'!$A:$A,0),8)),"")</f>
        <v>8.8000000000000007</v>
      </c>
      <c r="J6" s="323">
        <f>_xlfn.IFNA(IF(INDEX('OAR 340-245 Table 2 RBCs'!$E:$R,MATCH($C6,'OAR 340-245 Table 2 RBCs'!$A:$A,0),10)="--","",INDEX('OAR 340-245 Table 2 RBCs'!$E:$R,MATCH($C6,'OAR 340-245 Table 2 RBCs'!$A:$A,0),10)),"")</f>
        <v>0.4</v>
      </c>
      <c r="K6" s="323">
        <f>_xlfn.IFNA(IF(INDEX('OAR 340-245 Table 2 RBCs'!$E:$R,MATCH($C6,'OAR 340-245 Table 2 RBCs'!$A:$A,0),12)="--","",INDEX('OAR 340-245 Table 2 RBCs'!$E:$R,MATCH($C6,'OAR 340-245 Table 2 RBCs'!$A:$A,0),12)),"")</f>
        <v>8.8000000000000007</v>
      </c>
      <c r="L6" s="324">
        <f>_xlfn.IFNA(IF(INDEX('OAR 340-245 Table 2 RBCs'!$E:$R,MATCH($C6,'OAR 340-245 Table 2 RBCs'!$A:$A,0),14)="--","",INDEX('OAR 340-245 Table 2 RBCs'!$E:$R,MATCH($C6,'OAR 340-245 Table 2 RBCs'!$A:$A,0),14)),"")</f>
        <v>660</v>
      </c>
    </row>
    <row r="7" spans="2:12" x14ac:dyDescent="0.2">
      <c r="B7" s="132" t="s">
        <v>129</v>
      </c>
      <c r="C7" s="58" t="s">
        <v>8</v>
      </c>
      <c r="D7" s="325" t="str">
        <f>IF(ISERROR(MATCH(C7,'OAR 340-245 Table 2 RBCs'!$A:$A,0)),"No","Yes")</f>
        <v>No</v>
      </c>
      <c r="E7" s="321" t="str">
        <f>IF(D7="Yes",INDEX('OAR 340-245 Table 2 RBCs'!$D:$D,MATCH(C7,'OAR 340-245 Table 2 RBCs'!$A:$A,0)),"")</f>
        <v/>
      </c>
      <c r="F7" s="326" t="str">
        <f>_xlfn.IFNA(IF(INDEX('OAR 340-245 Table 2 RBCs'!$E:$R,MATCH($C7,'OAR 340-245 Table 2 RBCs'!$A:$A,0),2)="--","",INDEX('OAR 340-245 Table 2 RBCs'!$E:$R,MATCH($C7,'OAR 340-245 Table 2 RBCs'!$A:$A,0),2)),"")</f>
        <v/>
      </c>
      <c r="G7" s="136" t="str">
        <f>_xlfn.IFNA(IF(INDEX('OAR 340-245 Table 2 RBCs'!$E:$R,MATCH($C7,'OAR 340-245 Table 2 RBCs'!$A:$A,0),4)="--","",INDEX('OAR 340-245 Table 2 RBCs'!$E:$R,MATCH($C7,'OAR 340-245 Table 2 RBCs'!$A:$A,0),4)),"")</f>
        <v/>
      </c>
      <c r="H7" s="136" t="str">
        <f>_xlfn.IFNA(IF(INDEX('OAR 340-245 Table 2 RBCs'!$E:$R,MATCH($C7,'OAR 340-245 Table 2 RBCs'!$A:$A,0),6)="--","",INDEX('OAR 340-245 Table 2 RBCs'!$E:$R,MATCH($C7,'OAR 340-245 Table 2 RBCs'!$A:$A,0),6)),"")</f>
        <v/>
      </c>
      <c r="I7" s="136" t="str">
        <f>_xlfn.IFNA(IF(INDEX('OAR 340-245 Table 2 RBCs'!$E:$R,MATCH($C7,'OAR 340-245 Table 2 RBCs'!$A:$A,0),8)="--","",INDEX('OAR 340-245 Table 2 RBCs'!$E:$R,MATCH($C7,'OAR 340-245 Table 2 RBCs'!$A:$A,0),8)),"")</f>
        <v/>
      </c>
      <c r="J7" s="136" t="str">
        <f>_xlfn.IFNA(IF(INDEX('OAR 340-245 Table 2 RBCs'!$E:$R,MATCH($C7,'OAR 340-245 Table 2 RBCs'!$A:$A,0),10)="--","",INDEX('OAR 340-245 Table 2 RBCs'!$E:$R,MATCH($C7,'OAR 340-245 Table 2 RBCs'!$A:$A,0),10)),"")</f>
        <v/>
      </c>
      <c r="K7" s="136" t="str">
        <f>_xlfn.IFNA(IF(INDEX('OAR 340-245 Table 2 RBCs'!$E:$R,MATCH($C7,'OAR 340-245 Table 2 RBCs'!$A:$A,0),12)="--","",INDEX('OAR 340-245 Table 2 RBCs'!$E:$R,MATCH($C7,'OAR 340-245 Table 2 RBCs'!$A:$A,0),12)),"")</f>
        <v/>
      </c>
      <c r="L7" s="327" t="str">
        <f>_xlfn.IFNA(IF(INDEX('OAR 340-245 Table 2 RBCs'!$E:$R,MATCH($C7,'OAR 340-245 Table 2 RBCs'!$A:$A,0),14)="--","",INDEX('OAR 340-245 Table 2 RBCs'!$E:$R,MATCH($C7,'OAR 340-245 Table 2 RBCs'!$A:$A,0),14)),"")</f>
        <v/>
      </c>
    </row>
    <row r="8" spans="2:12" x14ac:dyDescent="0.2">
      <c r="B8" s="133" t="s">
        <v>130</v>
      </c>
      <c r="C8" s="134" t="s">
        <v>10</v>
      </c>
      <c r="D8" s="325" t="str">
        <f>IF(ISERROR(MATCH(C8,'OAR 340-245 Table 2 RBCs'!$A:$A,0)),"No","Yes")</f>
        <v>No</v>
      </c>
      <c r="E8" s="321" t="str">
        <f>IF(D8="Yes",INDEX('OAR 340-245 Table 2 RBCs'!$D:$D,MATCH(C8,'OAR 340-245 Table 2 RBCs'!$A:$A,0)),"")</f>
        <v/>
      </c>
      <c r="F8" s="326" t="str">
        <f>_xlfn.IFNA(IF(INDEX('OAR 340-245 Table 2 RBCs'!$E:$R,MATCH($C8,'OAR 340-245 Table 2 RBCs'!$A:$A,0),2)="--","",INDEX('OAR 340-245 Table 2 RBCs'!$E:$R,MATCH($C8,'OAR 340-245 Table 2 RBCs'!$A:$A,0),2)),"")</f>
        <v/>
      </c>
      <c r="G8" s="136" t="str">
        <f>_xlfn.IFNA(IF(INDEX('OAR 340-245 Table 2 RBCs'!$E:$R,MATCH($C8,'OAR 340-245 Table 2 RBCs'!$A:$A,0),4)="--","",INDEX('OAR 340-245 Table 2 RBCs'!$E:$R,MATCH($C8,'OAR 340-245 Table 2 RBCs'!$A:$A,0),4)),"")</f>
        <v/>
      </c>
      <c r="H8" s="136" t="str">
        <f>_xlfn.IFNA(IF(INDEX('OAR 340-245 Table 2 RBCs'!$E:$R,MATCH($C8,'OAR 340-245 Table 2 RBCs'!$A:$A,0),6)="--","",INDEX('OAR 340-245 Table 2 RBCs'!$E:$R,MATCH($C8,'OAR 340-245 Table 2 RBCs'!$A:$A,0),6)),"")</f>
        <v/>
      </c>
      <c r="I8" s="136" t="str">
        <f>_xlfn.IFNA(IF(INDEX('OAR 340-245 Table 2 RBCs'!$E:$R,MATCH($C8,'OAR 340-245 Table 2 RBCs'!$A:$A,0),8)="--","",INDEX('OAR 340-245 Table 2 RBCs'!$E:$R,MATCH($C8,'OAR 340-245 Table 2 RBCs'!$A:$A,0),8)),"")</f>
        <v/>
      </c>
      <c r="J8" s="136" t="str">
        <f>_xlfn.IFNA(IF(INDEX('OAR 340-245 Table 2 RBCs'!$E:$R,MATCH($C8,'OAR 340-245 Table 2 RBCs'!$A:$A,0),10)="--","",INDEX('OAR 340-245 Table 2 RBCs'!$E:$R,MATCH($C8,'OAR 340-245 Table 2 RBCs'!$A:$A,0),10)),"")</f>
        <v/>
      </c>
      <c r="K8" s="136" t="str">
        <f>_xlfn.IFNA(IF(INDEX('OAR 340-245 Table 2 RBCs'!$E:$R,MATCH($C8,'OAR 340-245 Table 2 RBCs'!$A:$A,0),12)="--","",INDEX('OAR 340-245 Table 2 RBCs'!$E:$R,MATCH($C8,'OAR 340-245 Table 2 RBCs'!$A:$A,0),12)),"")</f>
        <v/>
      </c>
      <c r="L8" s="327" t="str">
        <f>_xlfn.IFNA(IF(INDEX('OAR 340-245 Table 2 RBCs'!$E:$R,MATCH($C8,'OAR 340-245 Table 2 RBCs'!$A:$A,0),14)="--","",INDEX('OAR 340-245 Table 2 RBCs'!$E:$R,MATCH($C8,'OAR 340-245 Table 2 RBCs'!$A:$A,0),14)),"")</f>
        <v/>
      </c>
    </row>
    <row r="9" spans="2:12" x14ac:dyDescent="0.2">
      <c r="B9" s="133" t="s">
        <v>11</v>
      </c>
      <c r="C9" s="134" t="s">
        <v>12</v>
      </c>
      <c r="D9" s="325" t="str">
        <f>IF(ISERROR(MATCH(C9,'OAR 340-245 Table 2 RBCs'!$A:$A,0)),"No","Yes")</f>
        <v>Yes</v>
      </c>
      <c r="E9" s="321" t="str">
        <f>IF(D9="Yes",INDEX('OAR 340-245 Table 2 RBCs'!$D:$D,MATCH(C9,'OAR 340-245 Table 2 RBCs'!$A:$A,0)),"")</f>
        <v>HI3</v>
      </c>
      <c r="F9" s="326">
        <f>_xlfn.IFNA(IF(INDEX('OAR 340-245 Table 2 RBCs'!$E:$R,MATCH($C9,'OAR 340-245 Table 2 RBCs'!$A:$A,0),2)="--","",INDEX('OAR 340-245 Table 2 RBCs'!$E:$R,MATCH($C9,'OAR 340-245 Table 2 RBCs'!$A:$A,0),2)),"")</f>
        <v>0.45</v>
      </c>
      <c r="G9" s="136">
        <f>_xlfn.IFNA(IF(INDEX('OAR 340-245 Table 2 RBCs'!$E:$R,MATCH($C9,'OAR 340-245 Table 2 RBCs'!$A:$A,0),4)="--","",INDEX('OAR 340-245 Table 2 RBCs'!$E:$R,MATCH($C9,'OAR 340-245 Table 2 RBCs'!$A:$A,0),4)),"")</f>
        <v>140</v>
      </c>
      <c r="H9" s="136">
        <f>_xlfn.IFNA(IF(INDEX('OAR 340-245 Table 2 RBCs'!$E:$R,MATCH($C9,'OAR 340-245 Table 2 RBCs'!$A:$A,0),6)="--","",INDEX('OAR 340-245 Table 2 RBCs'!$E:$R,MATCH($C9,'OAR 340-245 Table 2 RBCs'!$A:$A,0),6)),"")</f>
        <v>12</v>
      </c>
      <c r="I9" s="136">
        <f>_xlfn.IFNA(IF(INDEX('OAR 340-245 Table 2 RBCs'!$E:$R,MATCH($C9,'OAR 340-245 Table 2 RBCs'!$A:$A,0),8)="--","",INDEX('OAR 340-245 Table 2 RBCs'!$E:$R,MATCH($C9,'OAR 340-245 Table 2 RBCs'!$A:$A,0),8)),"")</f>
        <v>620</v>
      </c>
      <c r="J9" s="136">
        <f>_xlfn.IFNA(IF(INDEX('OAR 340-245 Table 2 RBCs'!$E:$R,MATCH($C9,'OAR 340-245 Table 2 RBCs'!$A:$A,0),10)="--","",INDEX('OAR 340-245 Table 2 RBCs'!$E:$R,MATCH($C9,'OAR 340-245 Table 2 RBCs'!$A:$A,0),10)),"")</f>
        <v>5.5</v>
      </c>
      <c r="K9" s="136">
        <f>_xlfn.IFNA(IF(INDEX('OAR 340-245 Table 2 RBCs'!$E:$R,MATCH($C9,'OAR 340-245 Table 2 RBCs'!$A:$A,0),12)="--","",INDEX('OAR 340-245 Table 2 RBCs'!$E:$R,MATCH($C9,'OAR 340-245 Table 2 RBCs'!$A:$A,0),12)),"")</f>
        <v>620</v>
      </c>
      <c r="L9" s="327">
        <f>_xlfn.IFNA(IF(INDEX('OAR 340-245 Table 2 RBCs'!$E:$R,MATCH($C9,'OAR 340-245 Table 2 RBCs'!$A:$A,0),14)="--","",INDEX('OAR 340-245 Table 2 RBCs'!$E:$R,MATCH($C9,'OAR 340-245 Table 2 RBCs'!$A:$A,0),14)),"")</f>
        <v>470</v>
      </c>
    </row>
    <row r="10" spans="2:12" x14ac:dyDescent="0.2">
      <c r="B10" s="133" t="s">
        <v>13</v>
      </c>
      <c r="C10" s="134" t="s">
        <v>14</v>
      </c>
      <c r="D10" s="325" t="str">
        <f>IF(ISERROR(MATCH(C10,'OAR 340-245 Table 2 RBCs'!$A:$A,0)),"No","Yes")</f>
        <v>Yes</v>
      </c>
      <c r="E10" s="321" t="str">
        <f>IF(D10="Yes",INDEX('OAR 340-245 Table 2 RBCs'!$D:$D,MATCH(C10,'OAR 340-245 Table 2 RBCs'!$A:$A,0)),"")</f>
        <v>HI5</v>
      </c>
      <c r="F10" s="326" t="str">
        <f>_xlfn.IFNA(IF(INDEX('OAR 340-245 Table 2 RBCs'!$E:$R,MATCH($C10,'OAR 340-245 Table 2 RBCs'!$A:$A,0),2)="--","",INDEX('OAR 340-245 Table 2 RBCs'!$E:$R,MATCH($C10,'OAR 340-245 Table 2 RBCs'!$A:$A,0),2)),"")</f>
        <v/>
      </c>
      <c r="G10" s="136">
        <f>_xlfn.IFNA(IF(INDEX('OAR 340-245 Table 2 RBCs'!$E:$R,MATCH($C10,'OAR 340-245 Table 2 RBCs'!$A:$A,0),4)="--","",INDEX('OAR 340-245 Table 2 RBCs'!$E:$R,MATCH($C10,'OAR 340-245 Table 2 RBCs'!$A:$A,0),4)),"")</f>
        <v>0.35</v>
      </c>
      <c r="H10" s="136" t="str">
        <f>_xlfn.IFNA(IF(INDEX('OAR 340-245 Table 2 RBCs'!$E:$R,MATCH($C10,'OAR 340-245 Table 2 RBCs'!$A:$A,0),6)="--","",INDEX('OAR 340-245 Table 2 RBCs'!$E:$R,MATCH($C10,'OAR 340-245 Table 2 RBCs'!$A:$A,0),6)),"")</f>
        <v/>
      </c>
      <c r="I10" s="136">
        <f>_xlfn.IFNA(IF(INDEX('OAR 340-245 Table 2 RBCs'!$E:$R,MATCH($C10,'OAR 340-245 Table 2 RBCs'!$A:$A,0),8)="--","",INDEX('OAR 340-245 Table 2 RBCs'!$E:$R,MATCH($C10,'OAR 340-245 Table 2 RBCs'!$A:$A,0),8)),"")</f>
        <v>1.5</v>
      </c>
      <c r="J10" s="136" t="str">
        <f>_xlfn.IFNA(IF(INDEX('OAR 340-245 Table 2 RBCs'!$E:$R,MATCH($C10,'OAR 340-245 Table 2 RBCs'!$A:$A,0),10)="--","",INDEX('OAR 340-245 Table 2 RBCs'!$E:$R,MATCH($C10,'OAR 340-245 Table 2 RBCs'!$A:$A,0),10)),"")</f>
        <v/>
      </c>
      <c r="K10" s="136">
        <f>_xlfn.IFNA(IF(INDEX('OAR 340-245 Table 2 RBCs'!$E:$R,MATCH($C10,'OAR 340-245 Table 2 RBCs'!$A:$A,0),12)="--","",INDEX('OAR 340-245 Table 2 RBCs'!$E:$R,MATCH($C10,'OAR 340-245 Table 2 RBCs'!$A:$A,0),12)),"")</f>
        <v>1.5</v>
      </c>
      <c r="L10" s="327">
        <f>_xlfn.IFNA(IF(INDEX('OAR 340-245 Table 2 RBCs'!$E:$R,MATCH($C10,'OAR 340-245 Table 2 RBCs'!$A:$A,0),14)="--","",INDEX('OAR 340-245 Table 2 RBCs'!$E:$R,MATCH($C10,'OAR 340-245 Table 2 RBCs'!$A:$A,0),14)),"")</f>
        <v>6.9</v>
      </c>
    </row>
    <row r="11" spans="2:12" x14ac:dyDescent="0.2">
      <c r="B11" s="133" t="s">
        <v>15</v>
      </c>
      <c r="C11" s="134" t="s">
        <v>16</v>
      </c>
      <c r="D11" s="325" t="str">
        <f>IF(ISERROR(MATCH(C11,'OAR 340-245 Table 2 RBCs'!$A:$A,0)),"No","Yes")</f>
        <v>Yes</v>
      </c>
      <c r="E11" s="321" t="str">
        <f>IF(D11="Yes",INDEX('OAR 340-245 Table 2 RBCs'!$D:$D,MATCH(C11,'OAR 340-245 Table 2 RBCs'!$A:$A,0)),"")</f>
        <v>HI3</v>
      </c>
      <c r="F11" s="326" t="str">
        <f>_xlfn.IFNA(IF(INDEX('OAR 340-245 Table 2 RBCs'!$E:$R,MATCH($C11,'OAR 340-245 Table 2 RBCs'!$A:$A,0),2)="--","",INDEX('OAR 340-245 Table 2 RBCs'!$E:$R,MATCH($C11,'OAR 340-245 Table 2 RBCs'!$A:$A,0),2)),"")</f>
        <v/>
      </c>
      <c r="G11" s="136">
        <f>_xlfn.IFNA(IF(INDEX('OAR 340-245 Table 2 RBCs'!$E:$R,MATCH($C11,'OAR 340-245 Table 2 RBCs'!$A:$A,0),4)="--","",INDEX('OAR 340-245 Table 2 RBCs'!$E:$R,MATCH($C11,'OAR 340-245 Table 2 RBCs'!$A:$A,0),4)),"")</f>
        <v>500</v>
      </c>
      <c r="H11" s="136" t="str">
        <f>_xlfn.IFNA(IF(INDEX('OAR 340-245 Table 2 RBCs'!$E:$R,MATCH($C11,'OAR 340-245 Table 2 RBCs'!$A:$A,0),6)="--","",INDEX('OAR 340-245 Table 2 RBCs'!$E:$R,MATCH($C11,'OAR 340-245 Table 2 RBCs'!$A:$A,0),6)),"")</f>
        <v/>
      </c>
      <c r="I11" s="136">
        <f>_xlfn.IFNA(IF(INDEX('OAR 340-245 Table 2 RBCs'!$E:$R,MATCH($C11,'OAR 340-245 Table 2 RBCs'!$A:$A,0),8)="--","",INDEX('OAR 340-245 Table 2 RBCs'!$E:$R,MATCH($C11,'OAR 340-245 Table 2 RBCs'!$A:$A,0),8)),"")</f>
        <v>2200</v>
      </c>
      <c r="J11" s="136" t="str">
        <f>_xlfn.IFNA(IF(INDEX('OAR 340-245 Table 2 RBCs'!$E:$R,MATCH($C11,'OAR 340-245 Table 2 RBCs'!$A:$A,0),10)="--","",INDEX('OAR 340-245 Table 2 RBCs'!$E:$R,MATCH($C11,'OAR 340-245 Table 2 RBCs'!$A:$A,0),10)),"")</f>
        <v/>
      </c>
      <c r="K11" s="136">
        <f>_xlfn.IFNA(IF(INDEX('OAR 340-245 Table 2 RBCs'!$E:$R,MATCH($C11,'OAR 340-245 Table 2 RBCs'!$A:$A,0),12)="--","",INDEX('OAR 340-245 Table 2 RBCs'!$E:$R,MATCH($C11,'OAR 340-245 Table 2 RBCs'!$A:$A,0),12)),"")</f>
        <v>2200</v>
      </c>
      <c r="L11" s="327">
        <f>_xlfn.IFNA(IF(INDEX('OAR 340-245 Table 2 RBCs'!$E:$R,MATCH($C11,'OAR 340-245 Table 2 RBCs'!$A:$A,0),14)="--","",INDEX('OAR 340-245 Table 2 RBCs'!$E:$R,MATCH($C11,'OAR 340-245 Table 2 RBCs'!$A:$A,0),14)),"")</f>
        <v>1200</v>
      </c>
    </row>
    <row r="12" spans="2:12" x14ac:dyDescent="0.2">
      <c r="B12" s="133" t="s">
        <v>132</v>
      </c>
      <c r="C12" s="134" t="s">
        <v>18</v>
      </c>
      <c r="D12" s="325" t="str">
        <f>IF(ISERROR(MATCH(C12,'OAR 340-245 Table 2 RBCs'!$A:$A,0)),"No","Yes")</f>
        <v>No</v>
      </c>
      <c r="E12" s="321" t="str">
        <f>IF(D12="Yes",INDEX('OAR 340-245 Table 2 RBCs'!$D:$D,MATCH(C12,'OAR 340-245 Table 2 RBCs'!$A:$A,0)),"")</f>
        <v/>
      </c>
      <c r="F12" s="326" t="str">
        <f>_xlfn.IFNA(IF(INDEX('OAR 340-245 Table 2 RBCs'!$E:$R,MATCH($C12,'OAR 340-245 Table 2 RBCs'!$A:$A,0),2)="--","",INDEX('OAR 340-245 Table 2 RBCs'!$E:$R,MATCH($C12,'OAR 340-245 Table 2 RBCs'!$A:$A,0),2)),"")</f>
        <v/>
      </c>
      <c r="G12" s="136" t="str">
        <f>_xlfn.IFNA(IF(INDEX('OAR 340-245 Table 2 RBCs'!$E:$R,MATCH($C12,'OAR 340-245 Table 2 RBCs'!$A:$A,0),4)="--","",INDEX('OAR 340-245 Table 2 RBCs'!$E:$R,MATCH($C12,'OAR 340-245 Table 2 RBCs'!$A:$A,0),4)),"")</f>
        <v/>
      </c>
      <c r="H12" s="136" t="str">
        <f>_xlfn.IFNA(IF(INDEX('OAR 340-245 Table 2 RBCs'!$E:$R,MATCH($C12,'OAR 340-245 Table 2 RBCs'!$A:$A,0),6)="--","",INDEX('OAR 340-245 Table 2 RBCs'!$E:$R,MATCH($C12,'OAR 340-245 Table 2 RBCs'!$A:$A,0),6)),"")</f>
        <v/>
      </c>
      <c r="I12" s="136" t="str">
        <f>_xlfn.IFNA(IF(INDEX('OAR 340-245 Table 2 RBCs'!$E:$R,MATCH($C12,'OAR 340-245 Table 2 RBCs'!$A:$A,0),8)="--","",INDEX('OAR 340-245 Table 2 RBCs'!$E:$R,MATCH($C12,'OAR 340-245 Table 2 RBCs'!$A:$A,0),8)),"")</f>
        <v/>
      </c>
      <c r="J12" s="136" t="str">
        <f>_xlfn.IFNA(IF(INDEX('OAR 340-245 Table 2 RBCs'!$E:$R,MATCH($C12,'OAR 340-245 Table 2 RBCs'!$A:$A,0),10)="--","",INDEX('OAR 340-245 Table 2 RBCs'!$E:$R,MATCH($C12,'OAR 340-245 Table 2 RBCs'!$A:$A,0),10)),"")</f>
        <v/>
      </c>
      <c r="K12" s="136" t="str">
        <f>_xlfn.IFNA(IF(INDEX('OAR 340-245 Table 2 RBCs'!$E:$R,MATCH($C12,'OAR 340-245 Table 2 RBCs'!$A:$A,0),12)="--","",INDEX('OAR 340-245 Table 2 RBCs'!$E:$R,MATCH($C12,'OAR 340-245 Table 2 RBCs'!$A:$A,0),12)),"")</f>
        <v/>
      </c>
      <c r="L12" s="327" t="str">
        <f>_xlfn.IFNA(IF(INDEX('OAR 340-245 Table 2 RBCs'!$E:$R,MATCH($C12,'OAR 340-245 Table 2 RBCs'!$A:$A,0),14)="--","",INDEX('OAR 340-245 Table 2 RBCs'!$E:$R,MATCH($C12,'OAR 340-245 Table 2 RBCs'!$A:$A,0),14)),"")</f>
        <v/>
      </c>
    </row>
    <row r="13" spans="2:12" x14ac:dyDescent="0.2">
      <c r="B13" s="133" t="s">
        <v>19</v>
      </c>
      <c r="C13" s="134" t="s">
        <v>20</v>
      </c>
      <c r="D13" s="325" t="str">
        <f>IF(ISERROR(MATCH(C13,'OAR 340-245 Table 2 RBCs'!$A:$A,0)),"No","Yes")</f>
        <v>Yes</v>
      </c>
      <c r="E13" s="321" t="str">
        <f>IF(D13="Yes",INDEX('OAR 340-245 Table 2 RBCs'!$D:$D,MATCH(C13,'OAR 340-245 Table 2 RBCs'!$A:$A,0)),"")</f>
        <v>HI3</v>
      </c>
      <c r="F13" s="326" t="str">
        <f>_xlfn.IFNA(IF(INDEX('OAR 340-245 Table 2 RBCs'!$E:$R,MATCH($C13,'OAR 340-245 Table 2 RBCs'!$A:$A,0),2)="--","",INDEX('OAR 340-245 Table 2 RBCs'!$E:$R,MATCH($C13,'OAR 340-245 Table 2 RBCs'!$A:$A,0),2)),"")</f>
        <v/>
      </c>
      <c r="G13" s="136">
        <f>_xlfn.IFNA(IF(INDEX('OAR 340-245 Table 2 RBCs'!$E:$R,MATCH($C13,'OAR 340-245 Table 2 RBCs'!$A:$A,0),4)="--","",INDEX('OAR 340-245 Table 2 RBCs'!$E:$R,MATCH($C13,'OAR 340-245 Table 2 RBCs'!$A:$A,0),4)),"")</f>
        <v>0.3</v>
      </c>
      <c r="H13" s="136" t="str">
        <f>_xlfn.IFNA(IF(INDEX('OAR 340-245 Table 2 RBCs'!$E:$R,MATCH($C13,'OAR 340-245 Table 2 RBCs'!$A:$A,0),6)="--","",INDEX('OAR 340-245 Table 2 RBCs'!$E:$R,MATCH($C13,'OAR 340-245 Table 2 RBCs'!$A:$A,0),6)),"")</f>
        <v/>
      </c>
      <c r="I13" s="136">
        <f>_xlfn.IFNA(IF(INDEX('OAR 340-245 Table 2 RBCs'!$E:$R,MATCH($C13,'OAR 340-245 Table 2 RBCs'!$A:$A,0),8)="--","",INDEX('OAR 340-245 Table 2 RBCs'!$E:$R,MATCH($C13,'OAR 340-245 Table 2 RBCs'!$A:$A,0),8)),"")</f>
        <v>1.3</v>
      </c>
      <c r="J13" s="136" t="str">
        <f>_xlfn.IFNA(IF(INDEX('OAR 340-245 Table 2 RBCs'!$E:$R,MATCH($C13,'OAR 340-245 Table 2 RBCs'!$A:$A,0),10)="--","",INDEX('OAR 340-245 Table 2 RBCs'!$E:$R,MATCH($C13,'OAR 340-245 Table 2 RBCs'!$A:$A,0),10)),"")</f>
        <v/>
      </c>
      <c r="K13" s="136">
        <f>_xlfn.IFNA(IF(INDEX('OAR 340-245 Table 2 RBCs'!$E:$R,MATCH($C13,'OAR 340-245 Table 2 RBCs'!$A:$A,0),12)="--","",INDEX('OAR 340-245 Table 2 RBCs'!$E:$R,MATCH($C13,'OAR 340-245 Table 2 RBCs'!$A:$A,0),12)),"")</f>
        <v>1.3</v>
      </c>
      <c r="L13" s="327">
        <f>_xlfn.IFNA(IF(INDEX('OAR 340-245 Table 2 RBCs'!$E:$R,MATCH($C13,'OAR 340-245 Table 2 RBCs'!$A:$A,0),14)="--","",INDEX('OAR 340-245 Table 2 RBCs'!$E:$R,MATCH($C13,'OAR 340-245 Table 2 RBCs'!$A:$A,0),14)),"")</f>
        <v>1</v>
      </c>
    </row>
    <row r="14" spans="2:12" x14ac:dyDescent="0.2">
      <c r="B14" s="133" t="s">
        <v>21</v>
      </c>
      <c r="C14" s="134" t="s">
        <v>22</v>
      </c>
      <c r="D14" s="325" t="str">
        <f>IF(ISERROR(MATCH(C14,'OAR 340-245 Table 2 RBCs'!$A:$A,0)),"No","Yes")</f>
        <v>Yes</v>
      </c>
      <c r="E14" s="321" t="str">
        <f>IF(D14="Yes",INDEX('OAR 340-245 Table 2 RBCs'!$D:$D,MATCH(C14,'OAR 340-245 Table 2 RBCs'!$A:$A,0)),"")</f>
        <v>HI3</v>
      </c>
      <c r="F14" s="326">
        <f>_xlfn.IFNA(IF(INDEX('OAR 340-245 Table 2 RBCs'!$E:$R,MATCH($C14,'OAR 340-245 Table 2 RBCs'!$A:$A,0),2)="--","",INDEX('OAR 340-245 Table 2 RBCs'!$E:$R,MATCH($C14,'OAR 340-245 Table 2 RBCs'!$A:$A,0),2)),"")</f>
        <v>2.4000000000000001E-5</v>
      </c>
      <c r="G14" s="136">
        <f>_xlfn.IFNA(IF(INDEX('OAR 340-245 Table 2 RBCs'!$E:$R,MATCH($C14,'OAR 340-245 Table 2 RBCs'!$A:$A,0),4)="--","",INDEX('OAR 340-245 Table 2 RBCs'!$E:$R,MATCH($C14,'OAR 340-245 Table 2 RBCs'!$A:$A,0),4)),"")</f>
        <v>1.7000000000000001E-4</v>
      </c>
      <c r="H14" s="136">
        <f>_xlfn.IFNA(IF(INDEX('OAR 340-245 Table 2 RBCs'!$E:$R,MATCH($C14,'OAR 340-245 Table 2 RBCs'!$A:$A,0),6)="--","",INDEX('OAR 340-245 Table 2 RBCs'!$E:$R,MATCH($C14,'OAR 340-245 Table 2 RBCs'!$A:$A,0),6)),"")</f>
        <v>1.2999999999999999E-3</v>
      </c>
      <c r="I14" s="136">
        <f>_xlfn.IFNA(IF(INDEX('OAR 340-245 Table 2 RBCs'!$E:$R,MATCH($C14,'OAR 340-245 Table 2 RBCs'!$A:$A,0),8)="--","",INDEX('OAR 340-245 Table 2 RBCs'!$E:$R,MATCH($C14,'OAR 340-245 Table 2 RBCs'!$A:$A,0),8)),"")</f>
        <v>2.3999999999999998E-3</v>
      </c>
      <c r="J14" s="136">
        <f>_xlfn.IFNA(IF(INDEX('OAR 340-245 Table 2 RBCs'!$E:$R,MATCH($C14,'OAR 340-245 Table 2 RBCs'!$A:$A,0),10)="--","",INDEX('OAR 340-245 Table 2 RBCs'!$E:$R,MATCH($C14,'OAR 340-245 Table 2 RBCs'!$A:$A,0),10)),"")</f>
        <v>6.2E-4</v>
      </c>
      <c r="K14" s="136">
        <f>_xlfn.IFNA(IF(INDEX('OAR 340-245 Table 2 RBCs'!$E:$R,MATCH($C14,'OAR 340-245 Table 2 RBCs'!$A:$A,0),12)="--","",INDEX('OAR 340-245 Table 2 RBCs'!$E:$R,MATCH($C14,'OAR 340-245 Table 2 RBCs'!$A:$A,0),12)),"")</f>
        <v>2.3999999999999998E-3</v>
      </c>
      <c r="L14" s="327">
        <f>_xlfn.IFNA(IF(INDEX('OAR 340-245 Table 2 RBCs'!$E:$R,MATCH($C14,'OAR 340-245 Table 2 RBCs'!$A:$A,0),14)="--","",INDEX('OAR 340-245 Table 2 RBCs'!$E:$R,MATCH($C14,'OAR 340-245 Table 2 RBCs'!$A:$A,0),14)),"")</f>
        <v>0.2</v>
      </c>
    </row>
    <row r="15" spans="2:12" x14ac:dyDescent="0.2">
      <c r="B15" s="133" t="s">
        <v>23</v>
      </c>
      <c r="C15" s="134" t="s">
        <v>24</v>
      </c>
      <c r="D15" s="325" t="str">
        <f>IF(ISERROR(MATCH(C15,'OAR 340-245 Table 2 RBCs'!$A:$A,0)),"No","Yes")</f>
        <v>No</v>
      </c>
      <c r="E15" s="321" t="str">
        <f>IF(D15="Yes",INDEX('OAR 340-245 Table 2 RBCs'!$D:$D,MATCH(C15,'OAR 340-245 Table 2 RBCs'!$A:$A,0)),"")</f>
        <v/>
      </c>
      <c r="F15" s="326" t="str">
        <f>_xlfn.IFNA(IF(INDEX('OAR 340-245 Table 2 RBCs'!$E:$R,MATCH($C15,'OAR 340-245 Table 2 RBCs'!$A:$A,0),2)="--","",INDEX('OAR 340-245 Table 2 RBCs'!$E:$R,MATCH($C15,'OAR 340-245 Table 2 RBCs'!$A:$A,0),2)),"")</f>
        <v/>
      </c>
      <c r="G15" s="136" t="str">
        <f>_xlfn.IFNA(IF(INDEX('OAR 340-245 Table 2 RBCs'!$E:$R,MATCH($C15,'OAR 340-245 Table 2 RBCs'!$A:$A,0),4)="--","",INDEX('OAR 340-245 Table 2 RBCs'!$E:$R,MATCH($C15,'OAR 340-245 Table 2 RBCs'!$A:$A,0),4)),"")</f>
        <v/>
      </c>
      <c r="H15" s="136" t="str">
        <f>_xlfn.IFNA(IF(INDEX('OAR 340-245 Table 2 RBCs'!$E:$R,MATCH($C15,'OAR 340-245 Table 2 RBCs'!$A:$A,0),6)="--","",INDEX('OAR 340-245 Table 2 RBCs'!$E:$R,MATCH($C15,'OAR 340-245 Table 2 RBCs'!$A:$A,0),6)),"")</f>
        <v/>
      </c>
      <c r="I15" s="136" t="str">
        <f>_xlfn.IFNA(IF(INDEX('OAR 340-245 Table 2 RBCs'!$E:$R,MATCH($C15,'OAR 340-245 Table 2 RBCs'!$A:$A,0),8)="--","",INDEX('OAR 340-245 Table 2 RBCs'!$E:$R,MATCH($C15,'OAR 340-245 Table 2 RBCs'!$A:$A,0),8)),"")</f>
        <v/>
      </c>
      <c r="J15" s="136" t="str">
        <f>_xlfn.IFNA(IF(INDEX('OAR 340-245 Table 2 RBCs'!$E:$R,MATCH($C15,'OAR 340-245 Table 2 RBCs'!$A:$A,0),10)="--","",INDEX('OAR 340-245 Table 2 RBCs'!$E:$R,MATCH($C15,'OAR 340-245 Table 2 RBCs'!$A:$A,0),10)),"")</f>
        <v/>
      </c>
      <c r="K15" s="136" t="str">
        <f>_xlfn.IFNA(IF(INDEX('OAR 340-245 Table 2 RBCs'!$E:$R,MATCH($C15,'OAR 340-245 Table 2 RBCs'!$A:$A,0),12)="--","",INDEX('OAR 340-245 Table 2 RBCs'!$E:$R,MATCH($C15,'OAR 340-245 Table 2 RBCs'!$A:$A,0),12)),"")</f>
        <v/>
      </c>
      <c r="L15" s="327" t="str">
        <f>_xlfn.IFNA(IF(INDEX('OAR 340-245 Table 2 RBCs'!$E:$R,MATCH($C15,'OAR 340-245 Table 2 RBCs'!$A:$A,0),14)="--","",INDEX('OAR 340-245 Table 2 RBCs'!$E:$R,MATCH($C15,'OAR 340-245 Table 2 RBCs'!$A:$A,0),14)),"")</f>
        <v/>
      </c>
    </row>
    <row r="16" spans="2:12" x14ac:dyDescent="0.2">
      <c r="B16" s="133" t="s">
        <v>133</v>
      </c>
      <c r="C16" s="134" t="s">
        <v>26</v>
      </c>
      <c r="D16" s="325" t="str">
        <f>IF(ISERROR(MATCH(C16,'OAR 340-245 Table 2 RBCs'!$A:$A,0)),"No","Yes")</f>
        <v>Yes</v>
      </c>
      <c r="E16" s="321" t="str">
        <f>IF(D16="Yes",INDEX('OAR 340-245 Table 2 RBCs'!$D:$D,MATCH(C16,'OAR 340-245 Table 2 RBCs'!$A:$A,0)),"")</f>
        <v>--</v>
      </c>
      <c r="F16" s="326">
        <f>_xlfn.IFNA(IF(INDEX('OAR 340-245 Table 2 RBCs'!$E:$R,MATCH($C16,'OAR 340-245 Table 2 RBCs'!$A:$A,0),2)="--","",INDEX('OAR 340-245 Table 2 RBCs'!$E:$R,MATCH($C16,'OAR 340-245 Table 2 RBCs'!$A:$A,0),2)),"")</f>
        <v>2.1000000000000001E-4</v>
      </c>
      <c r="G16" s="136" t="str">
        <f>_xlfn.IFNA(IF(INDEX('OAR 340-245 Table 2 RBCs'!$E:$R,MATCH($C16,'OAR 340-245 Table 2 RBCs'!$A:$A,0),4)="--","",INDEX('OAR 340-245 Table 2 RBCs'!$E:$R,MATCH($C16,'OAR 340-245 Table 2 RBCs'!$A:$A,0),4)),"")</f>
        <v/>
      </c>
      <c r="H16" s="136">
        <f>_xlfn.IFNA(IF(INDEX('OAR 340-245 Table 2 RBCs'!$E:$R,MATCH($C16,'OAR 340-245 Table 2 RBCs'!$A:$A,0),6)="--","",INDEX('OAR 340-245 Table 2 RBCs'!$E:$R,MATCH($C16,'OAR 340-245 Table 2 RBCs'!$A:$A,0),6)),"")</f>
        <v>7.7999999999999996E-3</v>
      </c>
      <c r="I16" s="136" t="str">
        <f>_xlfn.IFNA(IF(INDEX('OAR 340-245 Table 2 RBCs'!$E:$R,MATCH($C16,'OAR 340-245 Table 2 RBCs'!$A:$A,0),8)="--","",INDEX('OAR 340-245 Table 2 RBCs'!$E:$R,MATCH($C16,'OAR 340-245 Table 2 RBCs'!$A:$A,0),8)),"")</f>
        <v/>
      </c>
      <c r="J16" s="136">
        <f>_xlfn.IFNA(IF(INDEX('OAR 340-245 Table 2 RBCs'!$E:$R,MATCH($C16,'OAR 340-245 Table 2 RBCs'!$A:$A,0),10)="--","",INDEX('OAR 340-245 Table 2 RBCs'!$E:$R,MATCH($C16,'OAR 340-245 Table 2 RBCs'!$A:$A,0),10)),"")</f>
        <v>1.4999999999999999E-2</v>
      </c>
      <c r="K16" s="136" t="str">
        <f>_xlfn.IFNA(IF(INDEX('OAR 340-245 Table 2 RBCs'!$E:$R,MATCH($C16,'OAR 340-245 Table 2 RBCs'!$A:$A,0),12)="--","",INDEX('OAR 340-245 Table 2 RBCs'!$E:$R,MATCH($C16,'OAR 340-245 Table 2 RBCs'!$A:$A,0),12)),"")</f>
        <v/>
      </c>
      <c r="L16" s="327" t="str">
        <f>_xlfn.IFNA(IF(INDEX('OAR 340-245 Table 2 RBCs'!$E:$R,MATCH($C16,'OAR 340-245 Table 2 RBCs'!$A:$A,0),14)="--","",INDEX('OAR 340-245 Table 2 RBCs'!$E:$R,MATCH($C16,'OAR 340-245 Table 2 RBCs'!$A:$A,0),14)),"")</f>
        <v/>
      </c>
    </row>
    <row r="17" spans="2:12" x14ac:dyDescent="0.2">
      <c r="B17" s="133" t="s">
        <v>27</v>
      </c>
      <c r="C17" s="134" t="s">
        <v>28</v>
      </c>
      <c r="D17" s="325" t="str">
        <f>IF(ISERROR(MATCH(C17,'OAR 340-245 Table 2 RBCs'!$A:$A,0)),"No","Yes")</f>
        <v>Yes</v>
      </c>
      <c r="E17" s="321" t="str">
        <f>IF(D17="Yes",INDEX('OAR 340-245 Table 2 RBCs'!$D:$D,MATCH(C17,'OAR 340-245 Table 2 RBCs'!$A:$A,0)),"")</f>
        <v>HI3</v>
      </c>
      <c r="F17" s="326">
        <f>_xlfn.IFNA(IF(INDEX('OAR 340-245 Table 2 RBCs'!$E:$R,MATCH($C17,'OAR 340-245 Table 2 RBCs'!$A:$A,0),2)="--","",INDEX('OAR 340-245 Table 2 RBCs'!$E:$R,MATCH($C17,'OAR 340-245 Table 2 RBCs'!$A:$A,0),2)),"")</f>
        <v>0.13</v>
      </c>
      <c r="G17" s="136">
        <f>_xlfn.IFNA(IF(INDEX('OAR 340-245 Table 2 RBCs'!$E:$R,MATCH($C17,'OAR 340-245 Table 2 RBCs'!$A:$A,0),4)="--","",INDEX('OAR 340-245 Table 2 RBCs'!$E:$R,MATCH($C17,'OAR 340-245 Table 2 RBCs'!$A:$A,0),4)),"")</f>
        <v>3</v>
      </c>
      <c r="H17" s="136">
        <f>_xlfn.IFNA(IF(INDEX('OAR 340-245 Table 2 RBCs'!$E:$R,MATCH($C17,'OAR 340-245 Table 2 RBCs'!$A:$A,0),6)="--","",INDEX('OAR 340-245 Table 2 RBCs'!$E:$R,MATCH($C17,'OAR 340-245 Table 2 RBCs'!$A:$A,0),6)),"")</f>
        <v>3.3</v>
      </c>
      <c r="I17" s="136">
        <f>_xlfn.IFNA(IF(INDEX('OAR 340-245 Table 2 RBCs'!$E:$R,MATCH($C17,'OAR 340-245 Table 2 RBCs'!$A:$A,0),8)="--","",INDEX('OAR 340-245 Table 2 RBCs'!$E:$R,MATCH($C17,'OAR 340-245 Table 2 RBCs'!$A:$A,0),8)),"")</f>
        <v>13</v>
      </c>
      <c r="J17" s="136">
        <f>_xlfn.IFNA(IF(INDEX('OAR 340-245 Table 2 RBCs'!$E:$R,MATCH($C17,'OAR 340-245 Table 2 RBCs'!$A:$A,0),10)="--","",INDEX('OAR 340-245 Table 2 RBCs'!$E:$R,MATCH($C17,'OAR 340-245 Table 2 RBCs'!$A:$A,0),10)),"")</f>
        <v>1.5</v>
      </c>
      <c r="K17" s="136">
        <f>_xlfn.IFNA(IF(INDEX('OAR 340-245 Table 2 RBCs'!$E:$R,MATCH($C17,'OAR 340-245 Table 2 RBCs'!$A:$A,0),12)="--","",INDEX('OAR 340-245 Table 2 RBCs'!$E:$R,MATCH($C17,'OAR 340-245 Table 2 RBCs'!$A:$A,0),12)),"")</f>
        <v>13</v>
      </c>
      <c r="L17" s="327">
        <f>_xlfn.IFNA(IF(INDEX('OAR 340-245 Table 2 RBCs'!$E:$R,MATCH($C17,'OAR 340-245 Table 2 RBCs'!$A:$A,0),14)="--","",INDEX('OAR 340-245 Table 2 RBCs'!$E:$R,MATCH($C17,'OAR 340-245 Table 2 RBCs'!$A:$A,0),14)),"")</f>
        <v>29</v>
      </c>
    </row>
    <row r="18" spans="2:12" x14ac:dyDescent="0.2">
      <c r="B18" s="133" t="s">
        <v>190</v>
      </c>
      <c r="C18" s="134" t="s">
        <v>30</v>
      </c>
      <c r="D18" s="325" t="str">
        <f>IF(ISERROR(MATCH(C18,'OAR 340-245 Table 2 RBCs'!$A:$A,0)),"No","Yes")</f>
        <v>Yes</v>
      </c>
      <c r="E18" s="321" t="str">
        <f>IF(D18="Yes",INDEX('OAR 340-245 Table 2 RBCs'!$D:$D,MATCH(C18,'OAR 340-245 Table 2 RBCs'!$A:$A,0)),"")</f>
        <v>HI3</v>
      </c>
      <c r="F18" s="326">
        <f>_xlfn.IFNA(IF(INDEX('OAR 340-245 Table 2 RBCs'!$E:$R,MATCH($C18,'OAR 340-245 Table 2 RBCs'!$A:$A,0),2)="--","",INDEX('OAR 340-245 Table 2 RBCs'!$E:$R,MATCH($C18,'OAR 340-245 Table 2 RBCs'!$A:$A,0),2)),"")</f>
        <v>4.3000000000000002E-5</v>
      </c>
      <c r="G18" s="136">
        <f>_xlfn.IFNA(IF(INDEX('OAR 340-245 Table 2 RBCs'!$E:$R,MATCH($C18,'OAR 340-245 Table 2 RBCs'!$A:$A,0),4)="--","",INDEX('OAR 340-245 Table 2 RBCs'!$E:$R,MATCH($C18,'OAR 340-245 Table 2 RBCs'!$A:$A,0),4)),"")</f>
        <v>2E-3</v>
      </c>
      <c r="H18" s="136">
        <f>_xlfn.IFNA(IF(INDEX('OAR 340-245 Table 2 RBCs'!$E:$R,MATCH($C18,'OAR 340-245 Table 2 RBCs'!$A:$A,0),6)="--","",INDEX('OAR 340-245 Table 2 RBCs'!$E:$R,MATCH($C18,'OAR 340-245 Table 2 RBCs'!$A:$A,0),6)),"")</f>
        <v>1.6000000000000001E-3</v>
      </c>
      <c r="I18" s="136">
        <f>_xlfn.IFNA(IF(INDEX('OAR 340-245 Table 2 RBCs'!$E:$R,MATCH($C18,'OAR 340-245 Table 2 RBCs'!$A:$A,0),8)="--","",INDEX('OAR 340-245 Table 2 RBCs'!$E:$R,MATCH($C18,'OAR 340-245 Table 2 RBCs'!$A:$A,0),8)),"")</f>
        <v>8.8000000000000005E-3</v>
      </c>
      <c r="J18" s="136">
        <f>_xlfn.IFNA(IF(INDEX('OAR 340-245 Table 2 RBCs'!$E:$R,MATCH($C18,'OAR 340-245 Table 2 RBCs'!$A:$A,0),10)="--","",INDEX('OAR 340-245 Table 2 RBCs'!$E:$R,MATCH($C18,'OAR 340-245 Table 2 RBCs'!$A:$A,0),10)),"")</f>
        <v>3.0000000000000001E-3</v>
      </c>
      <c r="K18" s="136">
        <f>_xlfn.IFNA(IF(INDEX('OAR 340-245 Table 2 RBCs'!$E:$R,MATCH($C18,'OAR 340-245 Table 2 RBCs'!$A:$A,0),12)="--","",INDEX('OAR 340-245 Table 2 RBCs'!$E:$R,MATCH($C18,'OAR 340-245 Table 2 RBCs'!$A:$A,0),12)),"")</f>
        <v>8.8000000000000005E-3</v>
      </c>
      <c r="L18" s="327">
        <f>_xlfn.IFNA(IF(INDEX('OAR 340-245 Table 2 RBCs'!$E:$R,MATCH($C18,'OAR 340-245 Table 2 RBCs'!$A:$A,0),14)="--","",INDEX('OAR 340-245 Table 2 RBCs'!$E:$R,MATCH($C18,'OAR 340-245 Table 2 RBCs'!$A:$A,0),14)),"")</f>
        <v>2E-3</v>
      </c>
    </row>
    <row r="19" spans="2:12" x14ac:dyDescent="0.2">
      <c r="B19" s="133" t="s">
        <v>135</v>
      </c>
      <c r="C19" s="134" t="s">
        <v>32</v>
      </c>
      <c r="D19" s="325" t="str">
        <f>IF(ISERROR(MATCH(C19,'OAR 340-245 Table 2 RBCs'!$A:$A,0)),"No","Yes")</f>
        <v>Yes</v>
      </c>
      <c r="E19" s="321" t="str">
        <f>IF(D19="Yes",INDEX('OAR 340-245 Table 2 RBCs'!$D:$D,MATCH(C19,'OAR 340-245 Table 2 RBCs'!$A:$A,0)),"")</f>
        <v>--</v>
      </c>
      <c r="F19" s="326">
        <f>_xlfn.IFNA(IF(INDEX('OAR 340-245 Table 2 RBCs'!$E:$R,MATCH($C19,'OAR 340-245 Table 2 RBCs'!$A:$A,0),2)="--","",INDEX('OAR 340-245 Table 2 RBCs'!$E:$R,MATCH($C19,'OAR 340-245 Table 2 RBCs'!$A:$A,0),2)),"")</f>
        <v>5.3000000000000001E-5</v>
      </c>
      <c r="G19" s="136" t="str">
        <f>_xlfn.IFNA(IF(INDEX('OAR 340-245 Table 2 RBCs'!$E:$R,MATCH($C19,'OAR 340-245 Table 2 RBCs'!$A:$A,0),4)="--","",INDEX('OAR 340-245 Table 2 RBCs'!$E:$R,MATCH($C19,'OAR 340-245 Table 2 RBCs'!$A:$A,0),4)),"")</f>
        <v/>
      </c>
      <c r="H19" s="136">
        <f>_xlfn.IFNA(IF(INDEX('OAR 340-245 Table 2 RBCs'!$E:$R,MATCH($C19,'OAR 340-245 Table 2 RBCs'!$A:$A,0),6)="--","",INDEX('OAR 340-245 Table 2 RBCs'!$E:$R,MATCH($C19,'OAR 340-245 Table 2 RBCs'!$A:$A,0),6)),"")</f>
        <v>2E-3</v>
      </c>
      <c r="I19" s="136" t="str">
        <f>_xlfn.IFNA(IF(INDEX('OAR 340-245 Table 2 RBCs'!$E:$R,MATCH($C19,'OAR 340-245 Table 2 RBCs'!$A:$A,0),8)="--","",INDEX('OAR 340-245 Table 2 RBCs'!$E:$R,MATCH($C19,'OAR 340-245 Table 2 RBCs'!$A:$A,0),8)),"")</f>
        <v/>
      </c>
      <c r="J19" s="136">
        <f>_xlfn.IFNA(IF(INDEX('OAR 340-245 Table 2 RBCs'!$E:$R,MATCH($C19,'OAR 340-245 Table 2 RBCs'!$A:$A,0),10)="--","",INDEX('OAR 340-245 Table 2 RBCs'!$E:$R,MATCH($C19,'OAR 340-245 Table 2 RBCs'!$A:$A,0),10)),"")</f>
        <v>3.8E-3</v>
      </c>
      <c r="K19" s="136" t="str">
        <f>_xlfn.IFNA(IF(INDEX('OAR 340-245 Table 2 RBCs'!$E:$R,MATCH($C19,'OAR 340-245 Table 2 RBCs'!$A:$A,0),12)="--","",INDEX('OAR 340-245 Table 2 RBCs'!$E:$R,MATCH($C19,'OAR 340-245 Table 2 RBCs'!$A:$A,0),12)),"")</f>
        <v/>
      </c>
      <c r="L19" s="327" t="str">
        <f>_xlfn.IFNA(IF(INDEX('OAR 340-245 Table 2 RBCs'!$E:$R,MATCH($C19,'OAR 340-245 Table 2 RBCs'!$A:$A,0),14)="--","",INDEX('OAR 340-245 Table 2 RBCs'!$E:$R,MATCH($C19,'OAR 340-245 Table 2 RBCs'!$A:$A,0),14)),"")</f>
        <v/>
      </c>
    </row>
    <row r="20" spans="2:12" x14ac:dyDescent="0.2">
      <c r="B20" s="133" t="s">
        <v>136</v>
      </c>
      <c r="C20" s="134" t="s">
        <v>34</v>
      </c>
      <c r="D20" s="325" t="str">
        <f>IF(ISERROR(MATCH(C20,'OAR 340-245 Table 2 RBCs'!$A:$A,0)),"No","Yes")</f>
        <v>No</v>
      </c>
      <c r="E20" s="321" t="str">
        <f>IF(D20="Yes",INDEX('OAR 340-245 Table 2 RBCs'!$D:$D,MATCH(C20,'OAR 340-245 Table 2 RBCs'!$A:$A,0)),"")</f>
        <v/>
      </c>
      <c r="F20" s="326" t="str">
        <f>_xlfn.IFNA(IF(INDEX('OAR 340-245 Table 2 RBCs'!$E:$R,MATCH($C20,'OAR 340-245 Table 2 RBCs'!$A:$A,0),2)="--","",INDEX('OAR 340-245 Table 2 RBCs'!$E:$R,MATCH($C20,'OAR 340-245 Table 2 RBCs'!$A:$A,0),2)),"")</f>
        <v/>
      </c>
      <c r="G20" s="136" t="str">
        <f>_xlfn.IFNA(IF(INDEX('OAR 340-245 Table 2 RBCs'!$E:$R,MATCH($C20,'OAR 340-245 Table 2 RBCs'!$A:$A,0),4)="--","",INDEX('OAR 340-245 Table 2 RBCs'!$E:$R,MATCH($C20,'OAR 340-245 Table 2 RBCs'!$A:$A,0),4)),"")</f>
        <v/>
      </c>
      <c r="H20" s="136" t="str">
        <f>_xlfn.IFNA(IF(INDEX('OAR 340-245 Table 2 RBCs'!$E:$R,MATCH($C20,'OAR 340-245 Table 2 RBCs'!$A:$A,0),6)="--","",INDEX('OAR 340-245 Table 2 RBCs'!$E:$R,MATCH($C20,'OAR 340-245 Table 2 RBCs'!$A:$A,0),6)),"")</f>
        <v/>
      </c>
      <c r="I20" s="136" t="str">
        <f>_xlfn.IFNA(IF(INDEX('OAR 340-245 Table 2 RBCs'!$E:$R,MATCH($C20,'OAR 340-245 Table 2 RBCs'!$A:$A,0),8)="--","",INDEX('OAR 340-245 Table 2 RBCs'!$E:$R,MATCH($C20,'OAR 340-245 Table 2 RBCs'!$A:$A,0),8)),"")</f>
        <v/>
      </c>
      <c r="J20" s="136" t="str">
        <f>_xlfn.IFNA(IF(INDEX('OAR 340-245 Table 2 RBCs'!$E:$R,MATCH($C20,'OAR 340-245 Table 2 RBCs'!$A:$A,0),10)="--","",INDEX('OAR 340-245 Table 2 RBCs'!$E:$R,MATCH($C20,'OAR 340-245 Table 2 RBCs'!$A:$A,0),10)),"")</f>
        <v/>
      </c>
      <c r="K20" s="136" t="str">
        <f>_xlfn.IFNA(IF(INDEX('OAR 340-245 Table 2 RBCs'!$E:$R,MATCH($C20,'OAR 340-245 Table 2 RBCs'!$A:$A,0),12)="--","",INDEX('OAR 340-245 Table 2 RBCs'!$E:$R,MATCH($C20,'OAR 340-245 Table 2 RBCs'!$A:$A,0),12)),"")</f>
        <v/>
      </c>
      <c r="L20" s="327" t="str">
        <f>_xlfn.IFNA(IF(INDEX('OAR 340-245 Table 2 RBCs'!$E:$R,MATCH($C20,'OAR 340-245 Table 2 RBCs'!$A:$A,0),14)="--","",INDEX('OAR 340-245 Table 2 RBCs'!$E:$R,MATCH($C20,'OAR 340-245 Table 2 RBCs'!$A:$A,0),14)),"")</f>
        <v/>
      </c>
    </row>
    <row r="21" spans="2:12" x14ac:dyDescent="0.2">
      <c r="B21" s="133" t="s">
        <v>137</v>
      </c>
      <c r="C21" s="134" t="s">
        <v>36</v>
      </c>
      <c r="D21" s="325" t="str">
        <f>IF(ISERROR(MATCH(C21,'OAR 340-245 Table 2 RBCs'!$A:$A,0)),"No","Yes")</f>
        <v>Yes</v>
      </c>
      <c r="E21" s="321" t="str">
        <f>IF(D21="Yes",INDEX('OAR 340-245 Table 2 RBCs'!$D:$D,MATCH(C21,'OAR 340-245 Table 2 RBCs'!$A:$A,0)),"")</f>
        <v>--</v>
      </c>
      <c r="F21" s="326">
        <f>_xlfn.IFNA(IF(INDEX('OAR 340-245 Table 2 RBCs'!$E:$R,MATCH($C21,'OAR 340-245 Table 2 RBCs'!$A:$A,0),2)="--","",INDEX('OAR 340-245 Table 2 RBCs'!$E:$R,MATCH($C21,'OAR 340-245 Table 2 RBCs'!$A:$A,0),2)),"")</f>
        <v>4.7000000000000002E-3</v>
      </c>
      <c r="G21" s="136" t="str">
        <f>_xlfn.IFNA(IF(INDEX('OAR 340-245 Table 2 RBCs'!$E:$R,MATCH($C21,'OAR 340-245 Table 2 RBCs'!$A:$A,0),4)="--","",INDEX('OAR 340-245 Table 2 RBCs'!$E:$R,MATCH($C21,'OAR 340-245 Table 2 RBCs'!$A:$A,0),4)),"")</f>
        <v/>
      </c>
      <c r="H21" s="136">
        <f>_xlfn.IFNA(IF(INDEX('OAR 340-245 Table 2 RBCs'!$E:$R,MATCH($C21,'OAR 340-245 Table 2 RBCs'!$A:$A,0),6)="--","",INDEX('OAR 340-245 Table 2 RBCs'!$E:$R,MATCH($C21,'OAR 340-245 Table 2 RBCs'!$A:$A,0),6)),"")</f>
        <v>0.17</v>
      </c>
      <c r="I21" s="136" t="str">
        <f>_xlfn.IFNA(IF(INDEX('OAR 340-245 Table 2 RBCs'!$E:$R,MATCH($C21,'OAR 340-245 Table 2 RBCs'!$A:$A,0),8)="--","",INDEX('OAR 340-245 Table 2 RBCs'!$E:$R,MATCH($C21,'OAR 340-245 Table 2 RBCs'!$A:$A,0),8)),"")</f>
        <v/>
      </c>
      <c r="J21" s="136">
        <f>_xlfn.IFNA(IF(INDEX('OAR 340-245 Table 2 RBCs'!$E:$R,MATCH($C21,'OAR 340-245 Table 2 RBCs'!$A:$A,0),10)="--","",INDEX('OAR 340-245 Table 2 RBCs'!$E:$R,MATCH($C21,'OAR 340-245 Table 2 RBCs'!$A:$A,0),10)),"")</f>
        <v>0.34</v>
      </c>
      <c r="K21" s="136" t="str">
        <f>_xlfn.IFNA(IF(INDEX('OAR 340-245 Table 2 RBCs'!$E:$R,MATCH($C21,'OAR 340-245 Table 2 RBCs'!$A:$A,0),12)="--","",INDEX('OAR 340-245 Table 2 RBCs'!$E:$R,MATCH($C21,'OAR 340-245 Table 2 RBCs'!$A:$A,0),12)),"")</f>
        <v/>
      </c>
      <c r="L21" s="327" t="str">
        <f>_xlfn.IFNA(IF(INDEX('OAR 340-245 Table 2 RBCs'!$E:$R,MATCH($C21,'OAR 340-245 Table 2 RBCs'!$A:$A,0),14)="--","",INDEX('OAR 340-245 Table 2 RBCs'!$E:$R,MATCH($C21,'OAR 340-245 Table 2 RBCs'!$A:$A,0),14)),"")</f>
        <v/>
      </c>
    </row>
    <row r="22" spans="2:12" x14ac:dyDescent="0.2">
      <c r="B22" s="133" t="s">
        <v>138</v>
      </c>
      <c r="C22" s="134" t="s">
        <v>38</v>
      </c>
      <c r="D22" s="325" t="str">
        <f>IF(ISERROR(MATCH(C22,'OAR 340-245 Table 2 RBCs'!$A:$A,0)),"No","Yes")</f>
        <v>Yes</v>
      </c>
      <c r="E22" s="321" t="str">
        <f>IF(D22="Yes",INDEX('OAR 340-245 Table 2 RBCs'!$D:$D,MATCH(C22,'OAR 340-245 Table 2 RBCs'!$A:$A,0)),"")</f>
        <v>--</v>
      </c>
      <c r="F22" s="326">
        <f>_xlfn.IFNA(IF(INDEX('OAR 340-245 Table 2 RBCs'!$E:$R,MATCH($C22,'OAR 340-245 Table 2 RBCs'!$A:$A,0),2)="--","",INDEX('OAR 340-245 Table 2 RBCs'!$E:$R,MATCH($C22,'OAR 340-245 Table 2 RBCs'!$A:$A,0),2)),"")</f>
        <v>1.4E-3</v>
      </c>
      <c r="G22" s="136" t="str">
        <f>_xlfn.IFNA(IF(INDEX('OAR 340-245 Table 2 RBCs'!$E:$R,MATCH($C22,'OAR 340-245 Table 2 RBCs'!$A:$A,0),4)="--","",INDEX('OAR 340-245 Table 2 RBCs'!$E:$R,MATCH($C22,'OAR 340-245 Table 2 RBCs'!$A:$A,0),4)),"")</f>
        <v/>
      </c>
      <c r="H22" s="136">
        <f>_xlfn.IFNA(IF(INDEX('OAR 340-245 Table 2 RBCs'!$E:$R,MATCH($C22,'OAR 340-245 Table 2 RBCs'!$A:$A,0),6)="--","",INDEX('OAR 340-245 Table 2 RBCs'!$E:$R,MATCH($C22,'OAR 340-245 Table 2 RBCs'!$A:$A,0),6)),"")</f>
        <v>5.1999999999999998E-2</v>
      </c>
      <c r="I22" s="136" t="str">
        <f>_xlfn.IFNA(IF(INDEX('OAR 340-245 Table 2 RBCs'!$E:$R,MATCH($C22,'OAR 340-245 Table 2 RBCs'!$A:$A,0),8)="--","",INDEX('OAR 340-245 Table 2 RBCs'!$E:$R,MATCH($C22,'OAR 340-245 Table 2 RBCs'!$A:$A,0),8)),"")</f>
        <v/>
      </c>
      <c r="J22" s="136">
        <f>_xlfn.IFNA(IF(INDEX('OAR 340-245 Table 2 RBCs'!$E:$R,MATCH($C22,'OAR 340-245 Table 2 RBCs'!$A:$A,0),10)="--","",INDEX('OAR 340-245 Table 2 RBCs'!$E:$R,MATCH($C22,'OAR 340-245 Table 2 RBCs'!$A:$A,0),10)),"")</f>
        <v>0.1</v>
      </c>
      <c r="K22" s="136" t="str">
        <f>_xlfn.IFNA(IF(INDEX('OAR 340-245 Table 2 RBCs'!$E:$R,MATCH($C22,'OAR 340-245 Table 2 RBCs'!$A:$A,0),12)="--","",INDEX('OAR 340-245 Table 2 RBCs'!$E:$R,MATCH($C22,'OAR 340-245 Table 2 RBCs'!$A:$A,0),12)),"")</f>
        <v/>
      </c>
      <c r="L22" s="327" t="str">
        <f>_xlfn.IFNA(IF(INDEX('OAR 340-245 Table 2 RBCs'!$E:$R,MATCH($C22,'OAR 340-245 Table 2 RBCs'!$A:$A,0),14)="--","",INDEX('OAR 340-245 Table 2 RBCs'!$E:$R,MATCH($C22,'OAR 340-245 Table 2 RBCs'!$A:$A,0),14)),"")</f>
        <v/>
      </c>
    </row>
    <row r="23" spans="2:12" x14ac:dyDescent="0.2">
      <c r="B23" s="133" t="s">
        <v>39</v>
      </c>
      <c r="C23" s="134" t="s">
        <v>40</v>
      </c>
      <c r="D23" s="325" t="str">
        <f>IF(ISERROR(MATCH(C23,'OAR 340-245 Table 2 RBCs'!$A:$A,0)),"No","Yes")</f>
        <v>Yes</v>
      </c>
      <c r="E23" s="321" t="str">
        <f>IF(D23="Yes",INDEX('OAR 340-245 Table 2 RBCs'!$D:$D,MATCH(C23,'OAR 340-245 Table 2 RBCs'!$A:$A,0)),"")</f>
        <v>HI3</v>
      </c>
      <c r="F23" s="326">
        <f>_xlfn.IFNA(IF(INDEX('OAR 340-245 Table 2 RBCs'!$E:$R,MATCH($C23,'OAR 340-245 Table 2 RBCs'!$A:$A,0),2)="--","",INDEX('OAR 340-245 Table 2 RBCs'!$E:$R,MATCH($C23,'OAR 340-245 Table 2 RBCs'!$A:$A,0),2)),"")</f>
        <v>4.2000000000000002E-4</v>
      </c>
      <c r="G23" s="136">
        <f>_xlfn.IFNA(IF(INDEX('OAR 340-245 Table 2 RBCs'!$E:$R,MATCH($C23,'OAR 340-245 Table 2 RBCs'!$A:$A,0),4)="--","",INDEX('OAR 340-245 Table 2 RBCs'!$E:$R,MATCH($C23,'OAR 340-245 Table 2 RBCs'!$A:$A,0),4)),"")</f>
        <v>7.0000000000000001E-3</v>
      </c>
      <c r="H23" s="136">
        <f>_xlfn.IFNA(IF(INDEX('OAR 340-245 Table 2 RBCs'!$E:$R,MATCH($C23,'OAR 340-245 Table 2 RBCs'!$A:$A,0),6)="--","",INDEX('OAR 340-245 Table 2 RBCs'!$E:$R,MATCH($C23,'OAR 340-245 Table 2 RBCs'!$A:$A,0),6)),"")</f>
        <v>1.0999999999999999E-2</v>
      </c>
      <c r="I23" s="136">
        <f>_xlfn.IFNA(IF(INDEX('OAR 340-245 Table 2 RBCs'!$E:$R,MATCH($C23,'OAR 340-245 Table 2 RBCs'!$A:$A,0),8)="--","",INDEX('OAR 340-245 Table 2 RBCs'!$E:$R,MATCH($C23,'OAR 340-245 Table 2 RBCs'!$A:$A,0),8)),"")</f>
        <v>3.1E-2</v>
      </c>
      <c r="J23" s="136">
        <f>_xlfn.IFNA(IF(INDEX('OAR 340-245 Table 2 RBCs'!$E:$R,MATCH($C23,'OAR 340-245 Table 2 RBCs'!$A:$A,0),10)="--","",INDEX('OAR 340-245 Table 2 RBCs'!$E:$R,MATCH($C23,'OAR 340-245 Table 2 RBCs'!$A:$A,0),10)),"")</f>
        <v>5.0000000000000001E-3</v>
      </c>
      <c r="K23" s="136">
        <f>_xlfn.IFNA(IF(INDEX('OAR 340-245 Table 2 RBCs'!$E:$R,MATCH($C23,'OAR 340-245 Table 2 RBCs'!$A:$A,0),12)="--","",INDEX('OAR 340-245 Table 2 RBCs'!$E:$R,MATCH($C23,'OAR 340-245 Table 2 RBCs'!$A:$A,0),12)),"")</f>
        <v>3.1E-2</v>
      </c>
      <c r="L23" s="327">
        <f>_xlfn.IFNA(IF(INDEX('OAR 340-245 Table 2 RBCs'!$E:$R,MATCH($C23,'OAR 340-245 Table 2 RBCs'!$A:$A,0),14)="--","",INDEX('OAR 340-245 Table 2 RBCs'!$E:$R,MATCH($C23,'OAR 340-245 Table 2 RBCs'!$A:$A,0),14)),"")</f>
        <v>0.02</v>
      </c>
    </row>
    <row r="24" spans="2:12" x14ac:dyDescent="0.2">
      <c r="B24" s="133" t="s">
        <v>41</v>
      </c>
      <c r="C24" s="134" t="s">
        <v>42</v>
      </c>
      <c r="D24" s="325" t="str">
        <f>IF(ISERROR(MATCH(C24,'OAR 340-245 Table 2 RBCs'!$A:$A,0)),"No","Yes")</f>
        <v>Yes</v>
      </c>
      <c r="E24" s="321" t="str">
        <f>IF(D24="Yes",INDEX('OAR 340-245 Table 2 RBCs'!$D:$D,MATCH(C24,'OAR 340-245 Table 2 RBCs'!$A:$A,0)),"")</f>
        <v>HI3</v>
      </c>
      <c r="F24" s="326">
        <f>_xlfn.IFNA(IF(INDEX('OAR 340-245 Table 2 RBCs'!$E:$R,MATCH($C24,'OAR 340-245 Table 2 RBCs'!$A:$A,0),2)="--","",INDEX('OAR 340-245 Table 2 RBCs'!$E:$R,MATCH($C24,'OAR 340-245 Table 2 RBCs'!$A:$A,0),2)),"")</f>
        <v>5.5999999999999995E-4</v>
      </c>
      <c r="G24" s="136">
        <f>_xlfn.IFNA(IF(INDEX('OAR 340-245 Table 2 RBCs'!$E:$R,MATCH($C24,'OAR 340-245 Table 2 RBCs'!$A:$A,0),4)="--","",INDEX('OAR 340-245 Table 2 RBCs'!$E:$R,MATCH($C24,'OAR 340-245 Table 2 RBCs'!$A:$A,0),4)),"")</f>
        <v>5.0000000000000001E-3</v>
      </c>
      <c r="H24" s="136">
        <f>_xlfn.IFNA(IF(INDEX('OAR 340-245 Table 2 RBCs'!$E:$R,MATCH($C24,'OAR 340-245 Table 2 RBCs'!$A:$A,0),6)="--","",INDEX('OAR 340-245 Table 2 RBCs'!$E:$R,MATCH($C24,'OAR 340-245 Table 2 RBCs'!$A:$A,0),6)),"")</f>
        <v>1.4E-2</v>
      </c>
      <c r="I24" s="136">
        <f>_xlfn.IFNA(IF(INDEX('OAR 340-245 Table 2 RBCs'!$E:$R,MATCH($C24,'OAR 340-245 Table 2 RBCs'!$A:$A,0),8)="--","",INDEX('OAR 340-245 Table 2 RBCs'!$E:$R,MATCH($C24,'OAR 340-245 Table 2 RBCs'!$A:$A,0),8)),"")</f>
        <v>3.6999999999999998E-2</v>
      </c>
      <c r="J24" s="136">
        <f>_xlfn.IFNA(IF(INDEX('OAR 340-245 Table 2 RBCs'!$E:$R,MATCH($C24,'OAR 340-245 Table 2 RBCs'!$A:$A,0),10)="--","",INDEX('OAR 340-245 Table 2 RBCs'!$E:$R,MATCH($C24,'OAR 340-245 Table 2 RBCs'!$A:$A,0),10)),"")</f>
        <v>6.7000000000000002E-3</v>
      </c>
      <c r="K24" s="136">
        <f>_xlfn.IFNA(IF(INDEX('OAR 340-245 Table 2 RBCs'!$E:$R,MATCH($C24,'OAR 340-245 Table 2 RBCs'!$A:$A,0),12)="--","",INDEX('OAR 340-245 Table 2 RBCs'!$E:$R,MATCH($C24,'OAR 340-245 Table 2 RBCs'!$A:$A,0),12)),"")</f>
        <v>3.6999999999999998E-2</v>
      </c>
      <c r="L24" s="327">
        <f>_xlfn.IFNA(IF(INDEX('OAR 340-245 Table 2 RBCs'!$E:$R,MATCH($C24,'OAR 340-245 Table 2 RBCs'!$A:$A,0),14)="--","",INDEX('OAR 340-245 Table 2 RBCs'!$E:$R,MATCH($C24,'OAR 340-245 Table 2 RBCs'!$A:$A,0),14)),"")</f>
        <v>0.03</v>
      </c>
    </row>
    <row r="25" spans="2:12" x14ac:dyDescent="0.2">
      <c r="B25" s="133" t="s">
        <v>43</v>
      </c>
      <c r="C25" s="134" t="s">
        <v>44</v>
      </c>
      <c r="D25" s="325" t="str">
        <f>IF(ISERROR(MATCH(C25,'OAR 340-245 Table 2 RBCs'!$A:$A,0)),"No","Yes")</f>
        <v>Yes</v>
      </c>
      <c r="E25" s="321" t="str">
        <f>IF(D25="Yes",INDEX('OAR 340-245 Table 2 RBCs'!$D:$D,MATCH(C25,'OAR 340-245 Table 2 RBCs'!$A:$A,0)),"")</f>
        <v>HI3</v>
      </c>
      <c r="F25" s="326" t="str">
        <f>_xlfn.IFNA(IF(INDEX('OAR 340-245 Table 2 RBCs'!$E:$R,MATCH($C25,'OAR 340-245 Table 2 RBCs'!$A:$A,0),2)="--","",INDEX('OAR 340-245 Table 2 RBCs'!$E:$R,MATCH($C25,'OAR 340-245 Table 2 RBCs'!$A:$A,0),2)),"")</f>
        <v/>
      </c>
      <c r="G25" s="136">
        <f>_xlfn.IFNA(IF(INDEX('OAR 340-245 Table 2 RBCs'!$E:$R,MATCH($C25,'OAR 340-245 Table 2 RBCs'!$A:$A,0),4)="--","",INDEX('OAR 340-245 Table 2 RBCs'!$E:$R,MATCH($C25,'OAR 340-245 Table 2 RBCs'!$A:$A,0),4)),"")</f>
        <v>50</v>
      </c>
      <c r="H25" s="136" t="str">
        <f>_xlfn.IFNA(IF(INDEX('OAR 340-245 Table 2 RBCs'!$E:$R,MATCH($C25,'OAR 340-245 Table 2 RBCs'!$A:$A,0),6)="--","",INDEX('OAR 340-245 Table 2 RBCs'!$E:$R,MATCH($C25,'OAR 340-245 Table 2 RBCs'!$A:$A,0),6)),"")</f>
        <v/>
      </c>
      <c r="I25" s="136">
        <f>_xlfn.IFNA(IF(INDEX('OAR 340-245 Table 2 RBCs'!$E:$R,MATCH($C25,'OAR 340-245 Table 2 RBCs'!$A:$A,0),8)="--","",INDEX('OAR 340-245 Table 2 RBCs'!$E:$R,MATCH($C25,'OAR 340-245 Table 2 RBCs'!$A:$A,0),8)),"")</f>
        <v>220</v>
      </c>
      <c r="J25" s="136" t="str">
        <f>_xlfn.IFNA(IF(INDEX('OAR 340-245 Table 2 RBCs'!$E:$R,MATCH($C25,'OAR 340-245 Table 2 RBCs'!$A:$A,0),10)="--","",INDEX('OAR 340-245 Table 2 RBCs'!$E:$R,MATCH($C25,'OAR 340-245 Table 2 RBCs'!$A:$A,0),10)),"")</f>
        <v/>
      </c>
      <c r="K25" s="136">
        <f>_xlfn.IFNA(IF(INDEX('OAR 340-245 Table 2 RBCs'!$E:$R,MATCH($C25,'OAR 340-245 Table 2 RBCs'!$A:$A,0),12)="--","",INDEX('OAR 340-245 Table 2 RBCs'!$E:$R,MATCH($C25,'OAR 340-245 Table 2 RBCs'!$A:$A,0),12)),"")</f>
        <v>220</v>
      </c>
      <c r="L25" s="327" t="str">
        <f>_xlfn.IFNA(IF(INDEX('OAR 340-245 Table 2 RBCs'!$E:$R,MATCH($C25,'OAR 340-245 Table 2 RBCs'!$A:$A,0),14)="--","",INDEX('OAR 340-245 Table 2 RBCs'!$E:$R,MATCH($C25,'OAR 340-245 Table 2 RBCs'!$A:$A,0),14)),"")</f>
        <v/>
      </c>
    </row>
    <row r="26" spans="2:12" x14ac:dyDescent="0.2">
      <c r="B26" s="133" t="s">
        <v>139</v>
      </c>
      <c r="C26" s="134" t="s">
        <v>46</v>
      </c>
      <c r="D26" s="325" t="str">
        <f>IF(ISERROR(MATCH(C26,'OAR 340-245 Table 2 RBCs'!$A:$A,0)),"No","Yes")</f>
        <v>Yes</v>
      </c>
      <c r="E26" s="321" t="str">
        <f>IF(D26="Yes",INDEX('OAR 340-245 Table 2 RBCs'!$D:$D,MATCH(C26,'OAR 340-245 Table 2 RBCs'!$A:$A,0)),"")</f>
        <v>--</v>
      </c>
      <c r="F26" s="326">
        <f>_xlfn.IFNA(IF(INDEX('OAR 340-245 Table 2 RBCs'!$E:$R,MATCH($C26,'OAR 340-245 Table 2 RBCs'!$A:$A,0),2)="--","",INDEX('OAR 340-245 Table 2 RBCs'!$E:$R,MATCH($C26,'OAR 340-245 Table 2 RBCs'!$A:$A,0),2)),"")</f>
        <v>4.2999999999999999E-4</v>
      </c>
      <c r="G26" s="136" t="str">
        <f>_xlfn.IFNA(IF(INDEX('OAR 340-245 Table 2 RBCs'!$E:$R,MATCH($C26,'OAR 340-245 Table 2 RBCs'!$A:$A,0),4)="--","",INDEX('OAR 340-245 Table 2 RBCs'!$E:$R,MATCH($C26,'OAR 340-245 Table 2 RBCs'!$A:$A,0),4)),"")</f>
        <v/>
      </c>
      <c r="H26" s="136">
        <f>_xlfn.IFNA(IF(INDEX('OAR 340-245 Table 2 RBCs'!$E:$R,MATCH($C26,'OAR 340-245 Table 2 RBCs'!$A:$A,0),6)="--","",INDEX('OAR 340-245 Table 2 RBCs'!$E:$R,MATCH($C26,'OAR 340-245 Table 2 RBCs'!$A:$A,0),6)),"")</f>
        <v>1.6E-2</v>
      </c>
      <c r="I26" s="136" t="str">
        <f>_xlfn.IFNA(IF(INDEX('OAR 340-245 Table 2 RBCs'!$E:$R,MATCH($C26,'OAR 340-245 Table 2 RBCs'!$A:$A,0),8)="--","",INDEX('OAR 340-245 Table 2 RBCs'!$E:$R,MATCH($C26,'OAR 340-245 Table 2 RBCs'!$A:$A,0),8)),"")</f>
        <v/>
      </c>
      <c r="J26" s="136">
        <f>_xlfn.IFNA(IF(INDEX('OAR 340-245 Table 2 RBCs'!$E:$R,MATCH($C26,'OAR 340-245 Table 2 RBCs'!$A:$A,0),10)="--","",INDEX('OAR 340-245 Table 2 RBCs'!$E:$R,MATCH($C26,'OAR 340-245 Table 2 RBCs'!$A:$A,0),10)),"")</f>
        <v>0.03</v>
      </c>
      <c r="K26" s="136" t="str">
        <f>_xlfn.IFNA(IF(INDEX('OAR 340-245 Table 2 RBCs'!$E:$R,MATCH($C26,'OAR 340-245 Table 2 RBCs'!$A:$A,0),12)="--","",INDEX('OAR 340-245 Table 2 RBCs'!$E:$R,MATCH($C26,'OAR 340-245 Table 2 RBCs'!$A:$A,0),12)),"")</f>
        <v/>
      </c>
      <c r="L26" s="327" t="str">
        <f>_xlfn.IFNA(IF(INDEX('OAR 340-245 Table 2 RBCs'!$E:$R,MATCH($C26,'OAR 340-245 Table 2 RBCs'!$A:$A,0),14)="--","",INDEX('OAR 340-245 Table 2 RBCs'!$E:$R,MATCH($C26,'OAR 340-245 Table 2 RBCs'!$A:$A,0),14)),"")</f>
        <v/>
      </c>
    </row>
    <row r="27" spans="2:12" x14ac:dyDescent="0.2">
      <c r="B27" s="133" t="s">
        <v>47</v>
      </c>
      <c r="C27" s="134" t="s">
        <v>48</v>
      </c>
      <c r="D27" s="325" t="str">
        <f>IF(ISERROR(MATCH(C27,'OAR 340-245 Table 2 RBCs'!$A:$A,0)),"No","Yes")</f>
        <v>Yes</v>
      </c>
      <c r="E27" s="321" t="str">
        <f>IF(D27="Yes",INDEX('OAR 340-245 Table 2 RBCs'!$D:$D,MATCH(C27,'OAR 340-245 Table 2 RBCs'!$A:$A,0)),"")</f>
        <v>HI3</v>
      </c>
      <c r="F27" s="326" t="str">
        <f>_xlfn.IFNA(IF(INDEX('OAR 340-245 Table 2 RBCs'!$E:$R,MATCH($C27,'OAR 340-245 Table 2 RBCs'!$A:$A,0),2)="--","",INDEX('OAR 340-245 Table 2 RBCs'!$E:$R,MATCH($C27,'OAR 340-245 Table 2 RBCs'!$A:$A,0),2)),"")</f>
        <v/>
      </c>
      <c r="G27" s="136">
        <f>_xlfn.IFNA(IF(INDEX('OAR 340-245 Table 2 RBCs'!$E:$R,MATCH($C27,'OAR 340-245 Table 2 RBCs'!$A:$A,0),4)="--","",INDEX('OAR 340-245 Table 2 RBCs'!$E:$R,MATCH($C27,'OAR 340-245 Table 2 RBCs'!$A:$A,0),4)),"")</f>
        <v>0.1</v>
      </c>
      <c r="H27" s="136" t="str">
        <f>_xlfn.IFNA(IF(INDEX('OAR 340-245 Table 2 RBCs'!$E:$R,MATCH($C27,'OAR 340-245 Table 2 RBCs'!$A:$A,0),6)="--","",INDEX('OAR 340-245 Table 2 RBCs'!$E:$R,MATCH($C27,'OAR 340-245 Table 2 RBCs'!$A:$A,0),6)),"")</f>
        <v/>
      </c>
      <c r="I27" s="136">
        <f>_xlfn.IFNA(IF(INDEX('OAR 340-245 Table 2 RBCs'!$E:$R,MATCH($C27,'OAR 340-245 Table 2 RBCs'!$A:$A,0),8)="--","",INDEX('OAR 340-245 Table 2 RBCs'!$E:$R,MATCH($C27,'OAR 340-245 Table 2 RBCs'!$A:$A,0),8)),"")</f>
        <v>0.44</v>
      </c>
      <c r="J27" s="136" t="str">
        <f>_xlfn.IFNA(IF(INDEX('OAR 340-245 Table 2 RBCs'!$E:$R,MATCH($C27,'OAR 340-245 Table 2 RBCs'!$A:$A,0),10)="--","",INDEX('OAR 340-245 Table 2 RBCs'!$E:$R,MATCH($C27,'OAR 340-245 Table 2 RBCs'!$A:$A,0),10)),"")</f>
        <v/>
      </c>
      <c r="K27" s="136">
        <f>_xlfn.IFNA(IF(INDEX('OAR 340-245 Table 2 RBCs'!$E:$R,MATCH($C27,'OAR 340-245 Table 2 RBCs'!$A:$A,0),12)="--","",INDEX('OAR 340-245 Table 2 RBCs'!$E:$R,MATCH($C27,'OAR 340-245 Table 2 RBCs'!$A:$A,0),12)),"")</f>
        <v>0.44</v>
      </c>
      <c r="L27" s="327" t="str">
        <f>_xlfn.IFNA(IF(INDEX('OAR 340-245 Table 2 RBCs'!$E:$R,MATCH($C27,'OAR 340-245 Table 2 RBCs'!$A:$A,0),14)="--","",INDEX('OAR 340-245 Table 2 RBCs'!$E:$R,MATCH($C27,'OAR 340-245 Table 2 RBCs'!$A:$A,0),14)),"")</f>
        <v/>
      </c>
    </row>
    <row r="28" spans="2:12" x14ac:dyDescent="0.2">
      <c r="B28" s="133" t="s">
        <v>49</v>
      </c>
      <c r="C28" s="134" t="s">
        <v>50</v>
      </c>
      <c r="D28" s="325" t="str">
        <f>IF(ISERROR(MATCH(C28,'OAR 340-245 Table 2 RBCs'!$A:$A,0)),"No","Yes")</f>
        <v>Yes</v>
      </c>
      <c r="E28" s="321" t="str">
        <f>IF(D28="Yes",INDEX('OAR 340-245 Table 2 RBCs'!$D:$D,MATCH(C28,'OAR 340-245 Table 2 RBCs'!$A:$A,0)),"")</f>
        <v>HI3</v>
      </c>
      <c r="F28" s="326" t="str">
        <f>_xlfn.IFNA(IF(INDEX('OAR 340-245 Table 2 RBCs'!$E:$R,MATCH($C28,'OAR 340-245 Table 2 RBCs'!$A:$A,0),2)="--","",INDEX('OAR 340-245 Table 2 RBCs'!$E:$R,MATCH($C28,'OAR 340-245 Table 2 RBCs'!$A:$A,0),2)),"")</f>
        <v/>
      </c>
      <c r="G28" s="136" t="str">
        <f>_xlfn.IFNA(IF(INDEX('OAR 340-245 Table 2 RBCs'!$E:$R,MATCH($C28,'OAR 340-245 Table 2 RBCs'!$A:$A,0),4)="--","",INDEX('OAR 340-245 Table 2 RBCs'!$E:$R,MATCH($C28,'OAR 340-245 Table 2 RBCs'!$A:$A,0),4)),"")</f>
        <v/>
      </c>
      <c r="H28" s="136" t="str">
        <f>_xlfn.IFNA(IF(INDEX('OAR 340-245 Table 2 RBCs'!$E:$R,MATCH($C28,'OAR 340-245 Table 2 RBCs'!$A:$A,0),6)="--","",INDEX('OAR 340-245 Table 2 RBCs'!$E:$R,MATCH($C28,'OAR 340-245 Table 2 RBCs'!$A:$A,0),6)),"")</f>
        <v/>
      </c>
      <c r="I28" s="136" t="str">
        <f>_xlfn.IFNA(IF(INDEX('OAR 340-245 Table 2 RBCs'!$E:$R,MATCH($C28,'OAR 340-245 Table 2 RBCs'!$A:$A,0),8)="--","",INDEX('OAR 340-245 Table 2 RBCs'!$E:$R,MATCH($C28,'OAR 340-245 Table 2 RBCs'!$A:$A,0),8)),"")</f>
        <v/>
      </c>
      <c r="J28" s="136" t="str">
        <f>_xlfn.IFNA(IF(INDEX('OAR 340-245 Table 2 RBCs'!$E:$R,MATCH($C28,'OAR 340-245 Table 2 RBCs'!$A:$A,0),10)="--","",INDEX('OAR 340-245 Table 2 RBCs'!$E:$R,MATCH($C28,'OAR 340-245 Table 2 RBCs'!$A:$A,0),10)),"")</f>
        <v/>
      </c>
      <c r="K28" s="136" t="str">
        <f>_xlfn.IFNA(IF(INDEX('OAR 340-245 Table 2 RBCs'!$E:$R,MATCH($C28,'OAR 340-245 Table 2 RBCs'!$A:$A,0),12)="--","",INDEX('OAR 340-245 Table 2 RBCs'!$E:$R,MATCH($C28,'OAR 340-245 Table 2 RBCs'!$A:$A,0),12)),"")</f>
        <v/>
      </c>
      <c r="L28" s="327">
        <f>_xlfn.IFNA(IF(INDEX('OAR 340-245 Table 2 RBCs'!$E:$R,MATCH($C28,'OAR 340-245 Table 2 RBCs'!$A:$A,0),14)="--","",INDEX('OAR 340-245 Table 2 RBCs'!$E:$R,MATCH($C28,'OAR 340-245 Table 2 RBCs'!$A:$A,0),14)),"")</f>
        <v>100</v>
      </c>
    </row>
    <row r="29" spans="2:12" x14ac:dyDescent="0.2">
      <c r="B29" s="135" t="s">
        <v>140</v>
      </c>
      <c r="C29" s="136" t="s">
        <v>52</v>
      </c>
      <c r="D29" s="325" t="str">
        <f>IF(ISERROR(MATCH(C29,'OAR 340-245 Table 2 RBCs'!$A:$A,0)),"No","Yes")</f>
        <v>Yes</v>
      </c>
      <c r="E29" s="321" t="str">
        <f>IF(D29="Yes",INDEX('OAR 340-245 Table 2 RBCs'!$D:$D,MATCH(C29,'OAR 340-245 Table 2 RBCs'!$A:$A,0)),"")</f>
        <v>--</v>
      </c>
      <c r="F29" s="326">
        <f>_xlfn.IFNA(IF(INDEX('OAR 340-245 Table 2 RBCs'!$E:$R,MATCH($C29,'OAR 340-245 Table 2 RBCs'!$A:$A,0),2)="--","",INDEX('OAR 340-245 Table 2 RBCs'!$E:$R,MATCH($C29,'OAR 340-245 Table 2 RBCs'!$A:$A,0),2)),"")</f>
        <v>4.3000000000000003E-6</v>
      </c>
      <c r="G29" s="136" t="str">
        <f>_xlfn.IFNA(IF(INDEX('OAR 340-245 Table 2 RBCs'!$E:$R,MATCH($C29,'OAR 340-245 Table 2 RBCs'!$A:$A,0),4)="--","",INDEX('OAR 340-245 Table 2 RBCs'!$E:$R,MATCH($C29,'OAR 340-245 Table 2 RBCs'!$A:$A,0),4)),"")</f>
        <v/>
      </c>
      <c r="H29" s="136">
        <f>_xlfn.IFNA(IF(INDEX('OAR 340-245 Table 2 RBCs'!$E:$R,MATCH($C29,'OAR 340-245 Table 2 RBCs'!$A:$A,0),6)="--","",INDEX('OAR 340-245 Table 2 RBCs'!$E:$R,MATCH($C29,'OAR 340-245 Table 2 RBCs'!$A:$A,0),6)),"")</f>
        <v>1.6000000000000001E-4</v>
      </c>
      <c r="I29" s="136" t="str">
        <f>_xlfn.IFNA(IF(INDEX('OAR 340-245 Table 2 RBCs'!$E:$R,MATCH($C29,'OAR 340-245 Table 2 RBCs'!$A:$A,0),8)="--","",INDEX('OAR 340-245 Table 2 RBCs'!$E:$R,MATCH($C29,'OAR 340-245 Table 2 RBCs'!$A:$A,0),8)),"")</f>
        <v/>
      </c>
      <c r="J29" s="136">
        <f>_xlfn.IFNA(IF(INDEX('OAR 340-245 Table 2 RBCs'!$E:$R,MATCH($C29,'OAR 340-245 Table 2 RBCs'!$A:$A,0),10)="--","",INDEX('OAR 340-245 Table 2 RBCs'!$E:$R,MATCH($C29,'OAR 340-245 Table 2 RBCs'!$A:$A,0),10)),"")</f>
        <v>2.9999999999999997E-4</v>
      </c>
      <c r="K29" s="136" t="str">
        <f>_xlfn.IFNA(IF(INDEX('OAR 340-245 Table 2 RBCs'!$E:$R,MATCH($C29,'OAR 340-245 Table 2 RBCs'!$A:$A,0),12)="--","",INDEX('OAR 340-245 Table 2 RBCs'!$E:$R,MATCH($C29,'OAR 340-245 Table 2 RBCs'!$A:$A,0),12)),"")</f>
        <v/>
      </c>
      <c r="L29" s="327" t="str">
        <f>_xlfn.IFNA(IF(INDEX('OAR 340-245 Table 2 RBCs'!$E:$R,MATCH($C29,'OAR 340-245 Table 2 RBCs'!$A:$A,0),14)="--","",INDEX('OAR 340-245 Table 2 RBCs'!$E:$R,MATCH($C29,'OAR 340-245 Table 2 RBCs'!$A:$A,0),14)),"")</f>
        <v/>
      </c>
    </row>
    <row r="30" spans="2:12" x14ac:dyDescent="0.2">
      <c r="B30" s="133" t="s">
        <v>191</v>
      </c>
      <c r="C30" s="134">
        <v>200</v>
      </c>
      <c r="D30" s="325" t="str">
        <f>IF(ISERROR(MATCH(C30,'OAR 340-245 Table 2 RBCs'!$A:$A,0)),"No","Yes")</f>
        <v>Yes</v>
      </c>
      <c r="E30" s="321" t="str">
        <f>IF(D30="Yes",INDEX('OAR 340-245 Table 2 RBCs'!$D:$D,MATCH(C30,'OAR 340-245 Table 2 RBCs'!$A:$A,0)),"")</f>
        <v>HI3</v>
      </c>
      <c r="F30" s="326">
        <f>_xlfn.IFNA(IF(INDEX('OAR 340-245 Table 2 RBCs'!$E:$R,MATCH($C30,'OAR 340-245 Table 2 RBCs'!$A:$A,0),2)="--","",INDEX('OAR 340-245 Table 2 RBCs'!$E:$R,MATCH($C30,'OAR 340-245 Table 2 RBCs'!$A:$A,0),2)),"")</f>
        <v>0.1</v>
      </c>
      <c r="G30" s="136">
        <f>_xlfn.IFNA(IF(INDEX('OAR 340-245 Table 2 RBCs'!$E:$R,MATCH($C30,'OAR 340-245 Table 2 RBCs'!$A:$A,0),4)="--","",INDEX('OAR 340-245 Table 2 RBCs'!$E:$R,MATCH($C30,'OAR 340-245 Table 2 RBCs'!$A:$A,0),4)),"")</f>
        <v>5</v>
      </c>
      <c r="H30" s="136">
        <f>_xlfn.IFNA(IF(INDEX('OAR 340-245 Table 2 RBCs'!$E:$R,MATCH($C30,'OAR 340-245 Table 2 RBCs'!$A:$A,0),6)="--","",INDEX('OAR 340-245 Table 2 RBCs'!$E:$R,MATCH($C30,'OAR 340-245 Table 2 RBCs'!$A:$A,0),6)),"")</f>
        <v>2.6</v>
      </c>
      <c r="I30" s="136">
        <f>_xlfn.IFNA(IF(INDEX('OAR 340-245 Table 2 RBCs'!$E:$R,MATCH($C30,'OAR 340-245 Table 2 RBCs'!$A:$A,0),8)="--","",INDEX('OAR 340-245 Table 2 RBCs'!$E:$R,MATCH($C30,'OAR 340-245 Table 2 RBCs'!$A:$A,0),8)),"")</f>
        <v>22</v>
      </c>
      <c r="J30" s="136">
        <f>_xlfn.IFNA(IF(INDEX('OAR 340-245 Table 2 RBCs'!$E:$R,MATCH($C30,'OAR 340-245 Table 2 RBCs'!$A:$A,0),10)="--","",INDEX('OAR 340-245 Table 2 RBCs'!$E:$R,MATCH($C30,'OAR 340-245 Table 2 RBCs'!$A:$A,0),10)),"")</f>
        <v>1.2</v>
      </c>
      <c r="K30" s="136">
        <f>_xlfn.IFNA(IF(INDEX('OAR 340-245 Table 2 RBCs'!$E:$R,MATCH($C30,'OAR 340-245 Table 2 RBCs'!$A:$A,0),12)="--","",INDEX('OAR 340-245 Table 2 RBCs'!$E:$R,MATCH($C30,'OAR 340-245 Table 2 RBCs'!$A:$A,0),12)),"")</f>
        <v>22</v>
      </c>
      <c r="L30" s="327" t="str">
        <f>_xlfn.IFNA(IF(INDEX('OAR 340-245 Table 2 RBCs'!$E:$R,MATCH($C30,'OAR 340-245 Table 2 RBCs'!$A:$A,0),14)="--","",INDEX('OAR 340-245 Table 2 RBCs'!$E:$R,MATCH($C30,'OAR 340-245 Table 2 RBCs'!$A:$A,0),14)),"")</f>
        <v/>
      </c>
    </row>
    <row r="31" spans="2:12" x14ac:dyDescent="0.2">
      <c r="B31" s="133" t="s">
        <v>53</v>
      </c>
      <c r="C31" s="134" t="s">
        <v>54</v>
      </c>
      <c r="D31" s="325" t="str">
        <f>IF(ISERROR(MATCH(C31,'OAR 340-245 Table 2 RBCs'!$A:$A,0)),"No","Yes")</f>
        <v>Yes</v>
      </c>
      <c r="E31" s="321" t="str">
        <f>IF(D31="Yes",INDEX('OAR 340-245 Table 2 RBCs'!$D:$D,MATCH(C31,'OAR 340-245 Table 2 RBCs'!$A:$A,0)),"")</f>
        <v>HI3</v>
      </c>
      <c r="F31" s="326">
        <f>_xlfn.IFNA(IF(INDEX('OAR 340-245 Table 2 RBCs'!$E:$R,MATCH($C31,'OAR 340-245 Table 2 RBCs'!$A:$A,0),2)="--","",INDEX('OAR 340-245 Table 2 RBCs'!$E:$R,MATCH($C31,'OAR 340-245 Table 2 RBCs'!$A:$A,0),2)),"")</f>
        <v>0.4</v>
      </c>
      <c r="G31" s="136">
        <f>_xlfn.IFNA(IF(INDEX('OAR 340-245 Table 2 RBCs'!$E:$R,MATCH($C31,'OAR 340-245 Table 2 RBCs'!$A:$A,0),4)="--","",INDEX('OAR 340-245 Table 2 RBCs'!$E:$R,MATCH($C31,'OAR 340-245 Table 2 RBCs'!$A:$A,0),4)),"")</f>
        <v>260</v>
      </c>
      <c r="H31" s="136">
        <f>_xlfn.IFNA(IF(INDEX('OAR 340-245 Table 2 RBCs'!$E:$R,MATCH($C31,'OAR 340-245 Table 2 RBCs'!$A:$A,0),6)="--","",INDEX('OAR 340-245 Table 2 RBCs'!$E:$R,MATCH($C31,'OAR 340-245 Table 2 RBCs'!$A:$A,0),6)),"")</f>
        <v>10</v>
      </c>
      <c r="I31" s="136">
        <f>_xlfn.IFNA(IF(INDEX('OAR 340-245 Table 2 RBCs'!$E:$R,MATCH($C31,'OAR 340-245 Table 2 RBCs'!$A:$A,0),8)="--","",INDEX('OAR 340-245 Table 2 RBCs'!$E:$R,MATCH($C31,'OAR 340-245 Table 2 RBCs'!$A:$A,0),8)),"")</f>
        <v>1100</v>
      </c>
      <c r="J31" s="136">
        <f>_xlfn.IFNA(IF(INDEX('OAR 340-245 Table 2 RBCs'!$E:$R,MATCH($C31,'OAR 340-245 Table 2 RBCs'!$A:$A,0),10)="--","",INDEX('OAR 340-245 Table 2 RBCs'!$E:$R,MATCH($C31,'OAR 340-245 Table 2 RBCs'!$A:$A,0),10)),"")</f>
        <v>4.8</v>
      </c>
      <c r="K31" s="136">
        <f>_xlfn.IFNA(IF(INDEX('OAR 340-245 Table 2 RBCs'!$E:$R,MATCH($C31,'OAR 340-245 Table 2 RBCs'!$A:$A,0),12)="--","",INDEX('OAR 340-245 Table 2 RBCs'!$E:$R,MATCH($C31,'OAR 340-245 Table 2 RBCs'!$A:$A,0),12)),"")</f>
        <v>1100</v>
      </c>
      <c r="L31" s="327">
        <f>_xlfn.IFNA(IF(INDEX('OAR 340-245 Table 2 RBCs'!$E:$R,MATCH($C31,'OAR 340-245 Table 2 RBCs'!$A:$A,0),14)="--","",INDEX('OAR 340-245 Table 2 RBCs'!$E:$R,MATCH($C31,'OAR 340-245 Table 2 RBCs'!$A:$A,0),14)),"")</f>
        <v>22000</v>
      </c>
    </row>
    <row r="32" spans="2:12" x14ac:dyDescent="0.2">
      <c r="B32" s="137" t="s">
        <v>141</v>
      </c>
      <c r="C32" s="138" t="s">
        <v>56</v>
      </c>
      <c r="D32" s="325" t="str">
        <f>IF(ISERROR(MATCH(C32,'OAR 340-245 Table 2 RBCs'!$A:$A,0)),"No","Yes")</f>
        <v>Yes</v>
      </c>
      <c r="E32" s="321" t="str">
        <f>IF(D32="Yes",INDEX('OAR 340-245 Table 2 RBCs'!$D:$D,MATCH(C32,'OAR 340-245 Table 2 RBCs'!$A:$A,0)),"")</f>
        <v>--</v>
      </c>
      <c r="F32" s="326">
        <f>_xlfn.IFNA(IF(INDEX('OAR 340-245 Table 2 RBCs'!$E:$R,MATCH($C32,'OAR 340-245 Table 2 RBCs'!$A:$A,0),2)="--","",INDEX('OAR 340-245 Table 2 RBCs'!$E:$R,MATCH($C32,'OAR 340-245 Table 2 RBCs'!$A:$A,0),2)),"")</f>
        <v>5.2999999999999998E-4</v>
      </c>
      <c r="G32" s="136" t="str">
        <f>_xlfn.IFNA(IF(INDEX('OAR 340-245 Table 2 RBCs'!$E:$R,MATCH($C32,'OAR 340-245 Table 2 RBCs'!$A:$A,0),4)="--","",INDEX('OAR 340-245 Table 2 RBCs'!$E:$R,MATCH($C32,'OAR 340-245 Table 2 RBCs'!$A:$A,0),4)),"")</f>
        <v/>
      </c>
      <c r="H32" s="136">
        <f>_xlfn.IFNA(IF(INDEX('OAR 340-245 Table 2 RBCs'!$E:$R,MATCH($C32,'OAR 340-245 Table 2 RBCs'!$A:$A,0),6)="--","",INDEX('OAR 340-245 Table 2 RBCs'!$E:$R,MATCH($C32,'OAR 340-245 Table 2 RBCs'!$A:$A,0),6)),"")</f>
        <v>0.02</v>
      </c>
      <c r="I32" s="136" t="str">
        <f>_xlfn.IFNA(IF(INDEX('OAR 340-245 Table 2 RBCs'!$E:$R,MATCH($C32,'OAR 340-245 Table 2 RBCs'!$A:$A,0),8)="--","",INDEX('OAR 340-245 Table 2 RBCs'!$E:$R,MATCH($C32,'OAR 340-245 Table 2 RBCs'!$A:$A,0),8)),"")</f>
        <v/>
      </c>
      <c r="J32" s="136">
        <f>_xlfn.IFNA(IF(INDEX('OAR 340-245 Table 2 RBCs'!$E:$R,MATCH($C32,'OAR 340-245 Table 2 RBCs'!$A:$A,0),10)="--","",INDEX('OAR 340-245 Table 2 RBCs'!$E:$R,MATCH($C32,'OAR 340-245 Table 2 RBCs'!$A:$A,0),10)),"")</f>
        <v>3.7999999999999999E-2</v>
      </c>
      <c r="K32" s="136" t="str">
        <f>_xlfn.IFNA(IF(INDEX('OAR 340-245 Table 2 RBCs'!$E:$R,MATCH($C32,'OAR 340-245 Table 2 RBCs'!$A:$A,0),12)="--","",INDEX('OAR 340-245 Table 2 RBCs'!$E:$R,MATCH($C32,'OAR 340-245 Table 2 RBCs'!$A:$A,0),12)),"")</f>
        <v/>
      </c>
      <c r="L32" s="327" t="str">
        <f>_xlfn.IFNA(IF(INDEX('OAR 340-245 Table 2 RBCs'!$E:$R,MATCH($C32,'OAR 340-245 Table 2 RBCs'!$A:$A,0),14)="--","",INDEX('OAR 340-245 Table 2 RBCs'!$E:$R,MATCH($C32,'OAR 340-245 Table 2 RBCs'!$A:$A,0),14)),"")</f>
        <v/>
      </c>
    </row>
    <row r="33" spans="2:12" x14ac:dyDescent="0.2">
      <c r="B33" s="137" t="s">
        <v>142</v>
      </c>
      <c r="C33" s="138" t="s">
        <v>58</v>
      </c>
      <c r="D33" s="325" t="str">
        <f>IF(ISERROR(MATCH(C33,'OAR 340-245 Table 2 RBCs'!$A:$A,0)),"No","Yes")</f>
        <v>No</v>
      </c>
      <c r="E33" s="321" t="str">
        <f>IF(D33="Yes",INDEX('OAR 340-245 Table 2 RBCs'!$D:$D,MATCH(C33,'OAR 340-245 Table 2 RBCs'!$A:$A,0)),"")</f>
        <v/>
      </c>
      <c r="F33" s="326" t="str">
        <f>_xlfn.IFNA(IF(INDEX('OAR 340-245 Table 2 RBCs'!$E:$R,MATCH($C33,'OAR 340-245 Table 2 RBCs'!$A:$A,0),2)="--","",INDEX('OAR 340-245 Table 2 RBCs'!$E:$R,MATCH($C33,'OAR 340-245 Table 2 RBCs'!$A:$A,0),2)),"")</f>
        <v/>
      </c>
      <c r="G33" s="136" t="str">
        <f>_xlfn.IFNA(IF(INDEX('OAR 340-245 Table 2 RBCs'!$E:$R,MATCH($C33,'OAR 340-245 Table 2 RBCs'!$A:$A,0),4)="--","",INDEX('OAR 340-245 Table 2 RBCs'!$E:$R,MATCH($C33,'OAR 340-245 Table 2 RBCs'!$A:$A,0),4)),"")</f>
        <v/>
      </c>
      <c r="H33" s="136" t="str">
        <f>_xlfn.IFNA(IF(INDEX('OAR 340-245 Table 2 RBCs'!$E:$R,MATCH($C33,'OAR 340-245 Table 2 RBCs'!$A:$A,0),6)="--","",INDEX('OAR 340-245 Table 2 RBCs'!$E:$R,MATCH($C33,'OAR 340-245 Table 2 RBCs'!$A:$A,0),6)),"")</f>
        <v/>
      </c>
      <c r="I33" s="136" t="str">
        <f>_xlfn.IFNA(IF(INDEX('OAR 340-245 Table 2 RBCs'!$E:$R,MATCH($C33,'OAR 340-245 Table 2 RBCs'!$A:$A,0),8)="--","",INDEX('OAR 340-245 Table 2 RBCs'!$E:$R,MATCH($C33,'OAR 340-245 Table 2 RBCs'!$A:$A,0),8)),"")</f>
        <v/>
      </c>
      <c r="J33" s="136" t="str">
        <f>_xlfn.IFNA(IF(INDEX('OAR 340-245 Table 2 RBCs'!$E:$R,MATCH($C33,'OAR 340-245 Table 2 RBCs'!$A:$A,0),10)="--","",INDEX('OAR 340-245 Table 2 RBCs'!$E:$R,MATCH($C33,'OAR 340-245 Table 2 RBCs'!$A:$A,0),10)),"")</f>
        <v/>
      </c>
      <c r="K33" s="136" t="str">
        <f>_xlfn.IFNA(IF(INDEX('OAR 340-245 Table 2 RBCs'!$E:$R,MATCH($C33,'OAR 340-245 Table 2 RBCs'!$A:$A,0),12)="--","",INDEX('OAR 340-245 Table 2 RBCs'!$E:$R,MATCH($C33,'OAR 340-245 Table 2 RBCs'!$A:$A,0),12)),"")</f>
        <v/>
      </c>
      <c r="L33" s="327" t="str">
        <f>_xlfn.IFNA(IF(INDEX('OAR 340-245 Table 2 RBCs'!$E:$R,MATCH($C33,'OAR 340-245 Table 2 RBCs'!$A:$A,0),14)="--","",INDEX('OAR 340-245 Table 2 RBCs'!$E:$R,MATCH($C33,'OAR 340-245 Table 2 RBCs'!$A:$A,0),14)),"")</f>
        <v/>
      </c>
    </row>
    <row r="34" spans="2:12" x14ac:dyDescent="0.2">
      <c r="B34" s="133" t="s">
        <v>59</v>
      </c>
      <c r="C34" s="134" t="s">
        <v>60</v>
      </c>
      <c r="D34" s="325" t="str">
        <f>IF(ISERROR(MATCH(C34,'OAR 340-245 Table 2 RBCs'!$A:$A,0)),"No","Yes")</f>
        <v>Yes</v>
      </c>
      <c r="E34" s="321" t="str">
        <f>IF(D34="Yes",INDEX('OAR 340-245 Table 2 RBCs'!$D:$D,MATCH(C34,'OAR 340-245 Table 2 RBCs'!$A:$A,0)),"")</f>
        <v>HI3</v>
      </c>
      <c r="F34" s="326">
        <f>_xlfn.IFNA(IF(INDEX('OAR 340-245 Table 2 RBCs'!$E:$R,MATCH($C34,'OAR 340-245 Table 2 RBCs'!$A:$A,0),2)="--","",INDEX('OAR 340-245 Table 2 RBCs'!$E:$R,MATCH($C34,'OAR 340-245 Table 2 RBCs'!$A:$A,0),2)),"")</f>
        <v>0.17</v>
      </c>
      <c r="G34" s="136">
        <f>_xlfn.IFNA(IF(INDEX('OAR 340-245 Table 2 RBCs'!$E:$R,MATCH($C34,'OAR 340-245 Table 2 RBCs'!$A:$A,0),4)="--","",INDEX('OAR 340-245 Table 2 RBCs'!$E:$R,MATCH($C34,'OAR 340-245 Table 2 RBCs'!$A:$A,0),4)),"")</f>
        <v>9</v>
      </c>
      <c r="H34" s="136">
        <f>_xlfn.IFNA(IF(INDEX('OAR 340-245 Table 2 RBCs'!$E:$R,MATCH($C34,'OAR 340-245 Table 2 RBCs'!$A:$A,0),6)="--","",INDEX('OAR 340-245 Table 2 RBCs'!$E:$R,MATCH($C34,'OAR 340-245 Table 2 RBCs'!$A:$A,0),6)),"")</f>
        <v>4.3</v>
      </c>
      <c r="I34" s="136">
        <f>_xlfn.IFNA(IF(INDEX('OAR 340-245 Table 2 RBCs'!$E:$R,MATCH($C34,'OAR 340-245 Table 2 RBCs'!$A:$A,0),8)="--","",INDEX('OAR 340-245 Table 2 RBCs'!$E:$R,MATCH($C34,'OAR 340-245 Table 2 RBCs'!$A:$A,0),8)),"")</f>
        <v>40</v>
      </c>
      <c r="J34" s="136">
        <f>_xlfn.IFNA(IF(INDEX('OAR 340-245 Table 2 RBCs'!$E:$R,MATCH($C34,'OAR 340-245 Table 2 RBCs'!$A:$A,0),10)="--","",INDEX('OAR 340-245 Table 2 RBCs'!$E:$R,MATCH($C34,'OAR 340-245 Table 2 RBCs'!$A:$A,0),10)),"")</f>
        <v>2</v>
      </c>
      <c r="K34" s="136">
        <f>_xlfn.IFNA(IF(INDEX('OAR 340-245 Table 2 RBCs'!$E:$R,MATCH($C34,'OAR 340-245 Table 2 RBCs'!$A:$A,0),12)="--","",INDEX('OAR 340-245 Table 2 RBCs'!$E:$R,MATCH($C34,'OAR 340-245 Table 2 RBCs'!$A:$A,0),12)),"")</f>
        <v>40</v>
      </c>
      <c r="L34" s="327">
        <f>_xlfn.IFNA(IF(INDEX('OAR 340-245 Table 2 RBCs'!$E:$R,MATCH($C34,'OAR 340-245 Table 2 RBCs'!$A:$A,0),14)="--","",INDEX('OAR 340-245 Table 2 RBCs'!$E:$R,MATCH($C34,'OAR 340-245 Table 2 RBCs'!$A:$A,0),14)),"")</f>
        <v>49</v>
      </c>
    </row>
    <row r="35" spans="2:12" x14ac:dyDescent="0.2">
      <c r="B35" s="133" t="s">
        <v>61</v>
      </c>
      <c r="C35" s="134" t="s">
        <v>62</v>
      </c>
      <c r="D35" s="325" t="str">
        <f>IF(ISERROR(MATCH(C35,'OAR 340-245 Table 2 RBCs'!$A:$A,0)),"No","Yes")</f>
        <v>Yes</v>
      </c>
      <c r="E35" s="321" t="str">
        <f>IF(D35="Yes",INDEX('OAR 340-245 Table 2 RBCs'!$D:$D,MATCH(C35,'OAR 340-245 Table 2 RBCs'!$A:$A,0)),"")</f>
        <v>HI3</v>
      </c>
      <c r="F35" s="326" t="str">
        <f>_xlfn.IFNA(IF(INDEX('OAR 340-245 Table 2 RBCs'!$E:$R,MATCH($C35,'OAR 340-245 Table 2 RBCs'!$A:$A,0),2)="--","",INDEX('OAR 340-245 Table 2 RBCs'!$E:$R,MATCH($C35,'OAR 340-245 Table 2 RBCs'!$A:$A,0),2)),"")</f>
        <v/>
      </c>
      <c r="G35" s="136">
        <f>_xlfn.IFNA(IF(INDEX('OAR 340-245 Table 2 RBCs'!$E:$R,MATCH($C35,'OAR 340-245 Table 2 RBCs'!$A:$A,0),4)="--","",INDEX('OAR 340-245 Table 2 RBCs'!$E:$R,MATCH($C35,'OAR 340-245 Table 2 RBCs'!$A:$A,0),4)),"")</f>
        <v>700</v>
      </c>
      <c r="H35" s="136" t="str">
        <f>_xlfn.IFNA(IF(INDEX('OAR 340-245 Table 2 RBCs'!$E:$R,MATCH($C35,'OAR 340-245 Table 2 RBCs'!$A:$A,0),6)="--","",INDEX('OAR 340-245 Table 2 RBCs'!$E:$R,MATCH($C35,'OAR 340-245 Table 2 RBCs'!$A:$A,0),6)),"")</f>
        <v/>
      </c>
      <c r="I35" s="136">
        <f>_xlfn.IFNA(IF(INDEX('OAR 340-245 Table 2 RBCs'!$E:$R,MATCH($C35,'OAR 340-245 Table 2 RBCs'!$A:$A,0),8)="--","",INDEX('OAR 340-245 Table 2 RBCs'!$E:$R,MATCH($C35,'OAR 340-245 Table 2 RBCs'!$A:$A,0),8)),"")</f>
        <v>3100</v>
      </c>
      <c r="J35" s="136" t="str">
        <f>_xlfn.IFNA(IF(INDEX('OAR 340-245 Table 2 RBCs'!$E:$R,MATCH($C35,'OAR 340-245 Table 2 RBCs'!$A:$A,0),10)="--","",INDEX('OAR 340-245 Table 2 RBCs'!$E:$R,MATCH($C35,'OAR 340-245 Table 2 RBCs'!$A:$A,0),10)),"")</f>
        <v/>
      </c>
      <c r="K35" s="136">
        <f>_xlfn.IFNA(IF(INDEX('OAR 340-245 Table 2 RBCs'!$E:$R,MATCH($C35,'OAR 340-245 Table 2 RBCs'!$A:$A,0),12)="--","",INDEX('OAR 340-245 Table 2 RBCs'!$E:$R,MATCH($C35,'OAR 340-245 Table 2 RBCs'!$A:$A,0),12)),"")</f>
        <v>3100</v>
      </c>
      <c r="L35" s="327" t="str">
        <f>_xlfn.IFNA(IF(INDEX('OAR 340-245 Table 2 RBCs'!$E:$R,MATCH($C35,'OAR 340-245 Table 2 RBCs'!$A:$A,0),14)="--","",INDEX('OAR 340-245 Table 2 RBCs'!$E:$R,MATCH($C35,'OAR 340-245 Table 2 RBCs'!$A:$A,0),14)),"")</f>
        <v/>
      </c>
    </row>
    <row r="36" spans="2:12" x14ac:dyDescent="0.2">
      <c r="B36" s="133" t="s">
        <v>143</v>
      </c>
      <c r="C36" s="134" t="s">
        <v>63</v>
      </c>
      <c r="D36" s="325" t="str">
        <f>IF(ISERROR(MATCH(C36,'OAR 340-245 Table 2 RBCs'!$A:$A,0)),"No","Yes")</f>
        <v>Yes</v>
      </c>
      <c r="E36" s="321" t="str">
        <f>IF(D36="Yes",INDEX('OAR 340-245 Table 2 RBCs'!$D:$D,MATCH(C36,'OAR 340-245 Table 2 RBCs'!$A:$A,0)),"")</f>
        <v>HI3</v>
      </c>
      <c r="F36" s="326">
        <f>_xlfn.IFNA(IF(INDEX('OAR 340-245 Table 2 RBCs'!$E:$R,MATCH($C36,'OAR 340-245 Table 2 RBCs'!$A:$A,0),2)="--","",INDEX('OAR 340-245 Table 2 RBCs'!$E:$R,MATCH($C36,'OAR 340-245 Table 2 RBCs'!$A:$A,0),2)),"")</f>
        <v>3.1000000000000001E-5</v>
      </c>
      <c r="G36" s="136">
        <f>_xlfn.IFNA(IF(INDEX('OAR 340-245 Table 2 RBCs'!$E:$R,MATCH($C36,'OAR 340-245 Table 2 RBCs'!$A:$A,0),4)="--","",INDEX('OAR 340-245 Table 2 RBCs'!$E:$R,MATCH($C36,'OAR 340-245 Table 2 RBCs'!$A:$A,0),4)),"")</f>
        <v>8.3000000000000004E-2</v>
      </c>
      <c r="H36" s="136">
        <f>_xlfn.IFNA(IF(INDEX('OAR 340-245 Table 2 RBCs'!$E:$R,MATCH($C36,'OAR 340-245 Table 2 RBCs'!$A:$A,0),6)="--","",INDEX('OAR 340-245 Table 2 RBCs'!$E:$R,MATCH($C36,'OAR 340-245 Table 2 RBCs'!$A:$A,0),6)),"")</f>
        <v>5.1999999999999995E-4</v>
      </c>
      <c r="I36" s="136">
        <f>_xlfn.IFNA(IF(INDEX('OAR 340-245 Table 2 RBCs'!$E:$R,MATCH($C36,'OAR 340-245 Table 2 RBCs'!$A:$A,0),8)="--","",INDEX('OAR 340-245 Table 2 RBCs'!$E:$R,MATCH($C36,'OAR 340-245 Table 2 RBCs'!$A:$A,0),8)),"")</f>
        <v>0.88</v>
      </c>
      <c r="J36" s="136">
        <f>_xlfn.IFNA(IF(INDEX('OAR 340-245 Table 2 RBCs'!$E:$R,MATCH($C36,'OAR 340-245 Table 2 RBCs'!$A:$A,0),10)="--","",INDEX('OAR 340-245 Table 2 RBCs'!$E:$R,MATCH($C36,'OAR 340-245 Table 2 RBCs'!$A:$A,0),10)),"")</f>
        <v>1E-3</v>
      </c>
      <c r="K36" s="136">
        <f>_xlfn.IFNA(IF(INDEX('OAR 340-245 Table 2 RBCs'!$E:$R,MATCH($C36,'OAR 340-245 Table 2 RBCs'!$A:$A,0),12)="--","",INDEX('OAR 340-245 Table 2 RBCs'!$E:$R,MATCH($C36,'OAR 340-245 Table 2 RBCs'!$A:$A,0),12)),"")</f>
        <v>0.88</v>
      </c>
      <c r="L36" s="327">
        <f>_xlfn.IFNA(IF(INDEX('OAR 340-245 Table 2 RBCs'!$E:$R,MATCH($C36,'OAR 340-245 Table 2 RBCs'!$A:$A,0),14)="--","",INDEX('OAR 340-245 Table 2 RBCs'!$E:$R,MATCH($C36,'OAR 340-245 Table 2 RBCs'!$A:$A,0),14)),"")</f>
        <v>0.3</v>
      </c>
    </row>
    <row r="37" spans="2:12" x14ac:dyDescent="0.2">
      <c r="B37" s="133" t="s">
        <v>64</v>
      </c>
      <c r="C37" s="134" t="s">
        <v>65</v>
      </c>
      <c r="D37" s="325" t="str">
        <f>IF(ISERROR(MATCH(C37,'OAR 340-245 Table 2 RBCs'!$A:$A,0)),"No","Yes")</f>
        <v>Yes</v>
      </c>
      <c r="E37" s="321" t="str">
        <f>IF(D37="Yes",INDEX('OAR 340-245 Table 2 RBCs'!$D:$D,MATCH(C37,'OAR 340-245 Table 2 RBCs'!$A:$A,0)),"")</f>
        <v>HI3</v>
      </c>
      <c r="F37" s="326" t="str">
        <f>_xlfn.IFNA(IF(INDEX('OAR 340-245 Table 2 RBCs'!$E:$R,MATCH($C37,'OAR 340-245 Table 2 RBCs'!$A:$A,0),2)="--","",INDEX('OAR 340-245 Table 2 RBCs'!$E:$R,MATCH($C37,'OAR 340-245 Table 2 RBCs'!$A:$A,0),2)),"")</f>
        <v/>
      </c>
      <c r="G37" s="136">
        <f>_xlfn.IFNA(IF(INDEX('OAR 340-245 Table 2 RBCs'!$E:$R,MATCH($C37,'OAR 340-245 Table 2 RBCs'!$A:$A,0),4)="--","",INDEX('OAR 340-245 Table 2 RBCs'!$E:$R,MATCH($C37,'OAR 340-245 Table 2 RBCs'!$A:$A,0),4)),"")</f>
        <v>20</v>
      </c>
      <c r="H37" s="136" t="str">
        <f>_xlfn.IFNA(IF(INDEX('OAR 340-245 Table 2 RBCs'!$E:$R,MATCH($C37,'OAR 340-245 Table 2 RBCs'!$A:$A,0),6)="--","",INDEX('OAR 340-245 Table 2 RBCs'!$E:$R,MATCH($C37,'OAR 340-245 Table 2 RBCs'!$A:$A,0),6)),"")</f>
        <v/>
      </c>
      <c r="I37" s="136">
        <f>_xlfn.IFNA(IF(INDEX('OAR 340-245 Table 2 RBCs'!$E:$R,MATCH($C37,'OAR 340-245 Table 2 RBCs'!$A:$A,0),8)="--","",INDEX('OAR 340-245 Table 2 RBCs'!$E:$R,MATCH($C37,'OAR 340-245 Table 2 RBCs'!$A:$A,0),8)),"")</f>
        <v>88</v>
      </c>
      <c r="J37" s="136" t="str">
        <f>_xlfn.IFNA(IF(INDEX('OAR 340-245 Table 2 RBCs'!$E:$R,MATCH($C37,'OAR 340-245 Table 2 RBCs'!$A:$A,0),10)="--","",INDEX('OAR 340-245 Table 2 RBCs'!$E:$R,MATCH($C37,'OAR 340-245 Table 2 RBCs'!$A:$A,0),10)),"")</f>
        <v/>
      </c>
      <c r="K37" s="136">
        <f>_xlfn.IFNA(IF(INDEX('OAR 340-245 Table 2 RBCs'!$E:$R,MATCH($C37,'OAR 340-245 Table 2 RBCs'!$A:$A,0),12)="--","",INDEX('OAR 340-245 Table 2 RBCs'!$E:$R,MATCH($C37,'OAR 340-245 Table 2 RBCs'!$A:$A,0),12)),"")</f>
        <v>88</v>
      </c>
      <c r="L37" s="327">
        <f>_xlfn.IFNA(IF(INDEX('OAR 340-245 Table 2 RBCs'!$E:$R,MATCH($C37,'OAR 340-245 Table 2 RBCs'!$A:$A,0),14)="--","",INDEX('OAR 340-245 Table 2 RBCs'!$E:$R,MATCH($C37,'OAR 340-245 Table 2 RBCs'!$A:$A,0),14)),"")</f>
        <v>2100</v>
      </c>
    </row>
    <row r="38" spans="2:12" x14ac:dyDescent="0.2">
      <c r="B38" s="137" t="s">
        <v>144</v>
      </c>
      <c r="C38" s="138" t="s">
        <v>67</v>
      </c>
      <c r="D38" s="325" t="str">
        <f>IF(ISERROR(MATCH(C38,'OAR 340-245 Table 2 RBCs'!$A:$A,0)),"No","Yes")</f>
        <v>Yes</v>
      </c>
      <c r="E38" s="321" t="str">
        <f>IF(D38="Yes",INDEX('OAR 340-245 Table 2 RBCs'!$D:$D,MATCH(C38,'OAR 340-245 Table 2 RBCs'!$A:$A,0)),"")</f>
        <v>--</v>
      </c>
      <c r="F38" s="326">
        <f>_xlfn.IFNA(IF(INDEX('OAR 340-245 Table 2 RBCs'!$E:$R,MATCH($C38,'OAR 340-245 Table 2 RBCs'!$A:$A,0),2)="--","",INDEX('OAR 340-245 Table 2 RBCs'!$E:$R,MATCH($C38,'OAR 340-245 Table 2 RBCs'!$A:$A,0),2)),"")</f>
        <v>6.0999999999999997E-4</v>
      </c>
      <c r="G38" s="136" t="str">
        <f>_xlfn.IFNA(IF(INDEX('OAR 340-245 Table 2 RBCs'!$E:$R,MATCH($C38,'OAR 340-245 Table 2 RBCs'!$A:$A,0),4)="--","",INDEX('OAR 340-245 Table 2 RBCs'!$E:$R,MATCH($C38,'OAR 340-245 Table 2 RBCs'!$A:$A,0),4)),"")</f>
        <v/>
      </c>
      <c r="H38" s="136">
        <f>_xlfn.IFNA(IF(INDEX('OAR 340-245 Table 2 RBCs'!$E:$R,MATCH($C38,'OAR 340-245 Table 2 RBCs'!$A:$A,0),6)="--","",INDEX('OAR 340-245 Table 2 RBCs'!$E:$R,MATCH($C38,'OAR 340-245 Table 2 RBCs'!$A:$A,0),6)),"")</f>
        <v>2.1999999999999999E-2</v>
      </c>
      <c r="I38" s="136" t="str">
        <f>_xlfn.IFNA(IF(INDEX('OAR 340-245 Table 2 RBCs'!$E:$R,MATCH($C38,'OAR 340-245 Table 2 RBCs'!$A:$A,0),8)="--","",INDEX('OAR 340-245 Table 2 RBCs'!$E:$R,MATCH($C38,'OAR 340-245 Table 2 RBCs'!$A:$A,0),8)),"")</f>
        <v/>
      </c>
      <c r="J38" s="136">
        <f>_xlfn.IFNA(IF(INDEX('OAR 340-245 Table 2 RBCs'!$E:$R,MATCH($C38,'OAR 340-245 Table 2 RBCs'!$A:$A,0),10)="--","",INDEX('OAR 340-245 Table 2 RBCs'!$E:$R,MATCH($C38,'OAR 340-245 Table 2 RBCs'!$A:$A,0),10)),"")</f>
        <v>4.2999999999999997E-2</v>
      </c>
      <c r="K38" s="136" t="str">
        <f>_xlfn.IFNA(IF(INDEX('OAR 340-245 Table 2 RBCs'!$E:$R,MATCH($C38,'OAR 340-245 Table 2 RBCs'!$A:$A,0),12)="--","",INDEX('OAR 340-245 Table 2 RBCs'!$E:$R,MATCH($C38,'OAR 340-245 Table 2 RBCs'!$A:$A,0),12)),"")</f>
        <v/>
      </c>
      <c r="L38" s="327" t="str">
        <f>_xlfn.IFNA(IF(INDEX('OAR 340-245 Table 2 RBCs'!$E:$R,MATCH($C38,'OAR 340-245 Table 2 RBCs'!$A:$A,0),14)="--","",INDEX('OAR 340-245 Table 2 RBCs'!$E:$R,MATCH($C38,'OAR 340-245 Table 2 RBCs'!$A:$A,0),14)),"")</f>
        <v/>
      </c>
    </row>
    <row r="39" spans="2:12" x14ac:dyDescent="0.2">
      <c r="B39" s="133" t="s">
        <v>68</v>
      </c>
      <c r="C39" s="134" t="s">
        <v>69</v>
      </c>
      <c r="D39" s="325" t="str">
        <f>IF(ISERROR(MATCH(C39,'OAR 340-245 Table 2 RBCs'!$A:$A,0)),"No","Yes")</f>
        <v>Yes</v>
      </c>
      <c r="E39" s="321" t="str">
        <f>IF(D39="Yes",INDEX('OAR 340-245 Table 2 RBCs'!$D:$D,MATCH(C39,'OAR 340-245 Table 2 RBCs'!$A:$A,0)),"")</f>
        <v>HI3</v>
      </c>
      <c r="F39" s="326" t="str">
        <f>_xlfn.IFNA(IF(INDEX('OAR 340-245 Table 2 RBCs'!$E:$R,MATCH($C39,'OAR 340-245 Table 2 RBCs'!$A:$A,0),2)="--","",INDEX('OAR 340-245 Table 2 RBCs'!$E:$R,MATCH($C39,'OAR 340-245 Table 2 RBCs'!$A:$A,0),2)),"")</f>
        <v/>
      </c>
      <c r="G39" s="136">
        <f>_xlfn.IFNA(IF(INDEX('OAR 340-245 Table 2 RBCs'!$E:$R,MATCH($C39,'OAR 340-245 Table 2 RBCs'!$A:$A,0),4)="--","",INDEX('OAR 340-245 Table 2 RBCs'!$E:$R,MATCH($C39,'OAR 340-245 Table 2 RBCs'!$A:$A,0),4)),"")</f>
        <v>0.15</v>
      </c>
      <c r="H39" s="136" t="str">
        <f>_xlfn.IFNA(IF(INDEX('OAR 340-245 Table 2 RBCs'!$E:$R,MATCH($C39,'OAR 340-245 Table 2 RBCs'!$A:$A,0),6)="--","",INDEX('OAR 340-245 Table 2 RBCs'!$E:$R,MATCH($C39,'OAR 340-245 Table 2 RBCs'!$A:$A,0),6)),"")</f>
        <v/>
      </c>
      <c r="I39" s="136">
        <f>_xlfn.IFNA(IF(INDEX('OAR 340-245 Table 2 RBCs'!$E:$R,MATCH($C39,'OAR 340-245 Table 2 RBCs'!$A:$A,0),8)="--","",INDEX('OAR 340-245 Table 2 RBCs'!$E:$R,MATCH($C39,'OAR 340-245 Table 2 RBCs'!$A:$A,0),8)),"")</f>
        <v>0.66</v>
      </c>
      <c r="J39" s="136" t="str">
        <f>_xlfn.IFNA(IF(INDEX('OAR 340-245 Table 2 RBCs'!$E:$R,MATCH($C39,'OAR 340-245 Table 2 RBCs'!$A:$A,0),10)="--","",INDEX('OAR 340-245 Table 2 RBCs'!$E:$R,MATCH($C39,'OAR 340-245 Table 2 RBCs'!$A:$A,0),10)),"")</f>
        <v/>
      </c>
      <c r="K39" s="136">
        <f>_xlfn.IFNA(IF(INDEX('OAR 340-245 Table 2 RBCs'!$E:$R,MATCH($C39,'OAR 340-245 Table 2 RBCs'!$A:$A,0),12)="--","",INDEX('OAR 340-245 Table 2 RBCs'!$E:$R,MATCH($C39,'OAR 340-245 Table 2 RBCs'!$A:$A,0),12)),"")</f>
        <v>0.66</v>
      </c>
      <c r="L39" s="327">
        <f>_xlfn.IFNA(IF(INDEX('OAR 340-245 Table 2 RBCs'!$E:$R,MATCH($C39,'OAR 340-245 Table 2 RBCs'!$A:$A,0),14)="--","",INDEX('OAR 340-245 Table 2 RBCs'!$E:$R,MATCH($C39,'OAR 340-245 Table 2 RBCs'!$A:$A,0),14)),"")</f>
        <v>0.15</v>
      </c>
    </row>
    <row r="40" spans="2:12" x14ac:dyDescent="0.2">
      <c r="B40" s="133" t="s">
        <v>70</v>
      </c>
      <c r="C40" s="134" t="s">
        <v>71</v>
      </c>
      <c r="D40" s="325" t="str">
        <f>IF(ISERROR(MATCH(C40,'OAR 340-245 Table 2 RBCs'!$A:$A,0)),"No","Yes")</f>
        <v>Yes</v>
      </c>
      <c r="E40" s="321" t="str">
        <f>IF(D40="Yes",INDEX('OAR 340-245 Table 2 RBCs'!$D:$D,MATCH(C40,'OAR 340-245 Table 2 RBCs'!$A:$A,0)),"")</f>
        <v>HI3</v>
      </c>
      <c r="F40" s="326" t="str">
        <f>_xlfn.IFNA(IF(INDEX('OAR 340-245 Table 2 RBCs'!$E:$R,MATCH($C40,'OAR 340-245 Table 2 RBCs'!$A:$A,0),2)="--","",INDEX('OAR 340-245 Table 2 RBCs'!$E:$R,MATCH($C40,'OAR 340-245 Table 2 RBCs'!$A:$A,0),2)),"")</f>
        <v/>
      </c>
      <c r="G40" s="136">
        <f>_xlfn.IFNA(IF(INDEX('OAR 340-245 Table 2 RBCs'!$E:$R,MATCH($C40,'OAR 340-245 Table 2 RBCs'!$A:$A,0),4)="--","",INDEX('OAR 340-245 Table 2 RBCs'!$E:$R,MATCH($C40,'OAR 340-245 Table 2 RBCs'!$A:$A,0),4)),"")</f>
        <v>0.09</v>
      </c>
      <c r="H40" s="136" t="str">
        <f>_xlfn.IFNA(IF(INDEX('OAR 340-245 Table 2 RBCs'!$E:$R,MATCH($C40,'OAR 340-245 Table 2 RBCs'!$A:$A,0),6)="--","",INDEX('OAR 340-245 Table 2 RBCs'!$E:$R,MATCH($C40,'OAR 340-245 Table 2 RBCs'!$A:$A,0),6)),"")</f>
        <v/>
      </c>
      <c r="I40" s="136">
        <f>_xlfn.IFNA(IF(INDEX('OAR 340-245 Table 2 RBCs'!$E:$R,MATCH($C40,'OAR 340-245 Table 2 RBCs'!$A:$A,0),8)="--","",INDEX('OAR 340-245 Table 2 RBCs'!$E:$R,MATCH($C40,'OAR 340-245 Table 2 RBCs'!$A:$A,0),8)),"")</f>
        <v>0.4</v>
      </c>
      <c r="J40" s="136" t="str">
        <f>_xlfn.IFNA(IF(INDEX('OAR 340-245 Table 2 RBCs'!$E:$R,MATCH($C40,'OAR 340-245 Table 2 RBCs'!$A:$A,0),10)="--","",INDEX('OAR 340-245 Table 2 RBCs'!$E:$R,MATCH($C40,'OAR 340-245 Table 2 RBCs'!$A:$A,0),10)),"")</f>
        <v/>
      </c>
      <c r="K40" s="136">
        <f>_xlfn.IFNA(IF(INDEX('OAR 340-245 Table 2 RBCs'!$E:$R,MATCH($C40,'OAR 340-245 Table 2 RBCs'!$A:$A,0),12)="--","",INDEX('OAR 340-245 Table 2 RBCs'!$E:$R,MATCH($C40,'OAR 340-245 Table 2 RBCs'!$A:$A,0),12)),"")</f>
        <v>0.4</v>
      </c>
      <c r="L40" s="327">
        <f>_xlfn.IFNA(IF(INDEX('OAR 340-245 Table 2 RBCs'!$E:$R,MATCH($C40,'OAR 340-245 Table 2 RBCs'!$A:$A,0),14)="--","",INDEX('OAR 340-245 Table 2 RBCs'!$E:$R,MATCH($C40,'OAR 340-245 Table 2 RBCs'!$A:$A,0),14)),"")</f>
        <v>0.3</v>
      </c>
    </row>
    <row r="41" spans="2:12" x14ac:dyDescent="0.2">
      <c r="B41" s="133" t="s">
        <v>72</v>
      </c>
      <c r="C41" s="134" t="s">
        <v>73</v>
      </c>
      <c r="D41" s="325" t="str">
        <f>IF(ISERROR(MATCH(C41,'OAR 340-245 Table 2 RBCs'!$A:$A,0)),"No","Yes")</f>
        <v>Yes</v>
      </c>
      <c r="E41" s="321" t="str">
        <f>IF(D41="Yes",INDEX('OAR 340-245 Table 2 RBCs'!$D:$D,MATCH(C41,'OAR 340-245 Table 2 RBCs'!$A:$A,0)),"")</f>
        <v>HI3</v>
      </c>
      <c r="F41" s="326" t="str">
        <f>_xlfn.IFNA(IF(INDEX('OAR 340-245 Table 2 RBCs'!$E:$R,MATCH($C41,'OAR 340-245 Table 2 RBCs'!$A:$A,0),2)="--","",INDEX('OAR 340-245 Table 2 RBCs'!$E:$R,MATCH($C41,'OAR 340-245 Table 2 RBCs'!$A:$A,0),2)),"")</f>
        <v/>
      </c>
      <c r="G41" s="136">
        <f>_xlfn.IFNA(IF(INDEX('OAR 340-245 Table 2 RBCs'!$E:$R,MATCH($C41,'OAR 340-245 Table 2 RBCs'!$A:$A,0),4)="--","",INDEX('OAR 340-245 Table 2 RBCs'!$E:$R,MATCH($C41,'OAR 340-245 Table 2 RBCs'!$A:$A,0),4)),"")</f>
        <v>7.6999999999999999E-2</v>
      </c>
      <c r="H41" s="136" t="str">
        <f>_xlfn.IFNA(IF(INDEX('OAR 340-245 Table 2 RBCs'!$E:$R,MATCH($C41,'OAR 340-245 Table 2 RBCs'!$A:$A,0),6)="--","",INDEX('OAR 340-245 Table 2 RBCs'!$E:$R,MATCH($C41,'OAR 340-245 Table 2 RBCs'!$A:$A,0),6)),"")</f>
        <v/>
      </c>
      <c r="I41" s="136">
        <f>_xlfn.IFNA(IF(INDEX('OAR 340-245 Table 2 RBCs'!$E:$R,MATCH($C41,'OAR 340-245 Table 2 RBCs'!$A:$A,0),8)="--","",INDEX('OAR 340-245 Table 2 RBCs'!$E:$R,MATCH($C41,'OAR 340-245 Table 2 RBCs'!$A:$A,0),8)),"")</f>
        <v>0.63</v>
      </c>
      <c r="J41" s="136" t="str">
        <f>_xlfn.IFNA(IF(INDEX('OAR 340-245 Table 2 RBCs'!$E:$R,MATCH($C41,'OAR 340-245 Table 2 RBCs'!$A:$A,0),10)="--","",INDEX('OAR 340-245 Table 2 RBCs'!$E:$R,MATCH($C41,'OAR 340-245 Table 2 RBCs'!$A:$A,0),10)),"")</f>
        <v/>
      </c>
      <c r="K41" s="136">
        <f>_xlfn.IFNA(IF(INDEX('OAR 340-245 Table 2 RBCs'!$E:$R,MATCH($C41,'OAR 340-245 Table 2 RBCs'!$A:$A,0),12)="--","",INDEX('OAR 340-245 Table 2 RBCs'!$E:$R,MATCH($C41,'OAR 340-245 Table 2 RBCs'!$A:$A,0),12)),"")</f>
        <v>0.63</v>
      </c>
      <c r="L41" s="327">
        <f>_xlfn.IFNA(IF(INDEX('OAR 340-245 Table 2 RBCs'!$E:$R,MATCH($C41,'OAR 340-245 Table 2 RBCs'!$A:$A,0),14)="--","",INDEX('OAR 340-245 Table 2 RBCs'!$E:$R,MATCH($C41,'OAR 340-245 Table 2 RBCs'!$A:$A,0),14)),"")</f>
        <v>0.6</v>
      </c>
    </row>
    <row r="42" spans="2:12" x14ac:dyDescent="0.2">
      <c r="B42" s="133" t="s">
        <v>145</v>
      </c>
      <c r="C42" s="134" t="s">
        <v>75</v>
      </c>
      <c r="D42" s="325" t="str">
        <f>IF(ISERROR(MATCH(C42,'OAR 340-245 Table 2 RBCs'!$A:$A,0)),"No","Yes")</f>
        <v>No</v>
      </c>
      <c r="E42" s="321" t="str">
        <f>IF(D42="Yes",INDEX('OAR 340-245 Table 2 RBCs'!$D:$D,MATCH(C42,'OAR 340-245 Table 2 RBCs'!$A:$A,0)),"")</f>
        <v/>
      </c>
      <c r="F42" s="326" t="str">
        <f>_xlfn.IFNA(IF(INDEX('OAR 340-245 Table 2 RBCs'!$E:$R,MATCH($C42,'OAR 340-245 Table 2 RBCs'!$A:$A,0),2)="--","",INDEX('OAR 340-245 Table 2 RBCs'!$E:$R,MATCH($C42,'OAR 340-245 Table 2 RBCs'!$A:$A,0),2)),"")</f>
        <v/>
      </c>
      <c r="G42" s="136" t="str">
        <f>_xlfn.IFNA(IF(INDEX('OAR 340-245 Table 2 RBCs'!$E:$R,MATCH($C42,'OAR 340-245 Table 2 RBCs'!$A:$A,0),4)="--","",INDEX('OAR 340-245 Table 2 RBCs'!$E:$R,MATCH($C42,'OAR 340-245 Table 2 RBCs'!$A:$A,0),4)),"")</f>
        <v/>
      </c>
      <c r="H42" s="136" t="str">
        <f>_xlfn.IFNA(IF(INDEX('OAR 340-245 Table 2 RBCs'!$E:$R,MATCH($C42,'OAR 340-245 Table 2 RBCs'!$A:$A,0),6)="--","",INDEX('OAR 340-245 Table 2 RBCs'!$E:$R,MATCH($C42,'OAR 340-245 Table 2 RBCs'!$A:$A,0),6)),"")</f>
        <v/>
      </c>
      <c r="I42" s="136" t="str">
        <f>_xlfn.IFNA(IF(INDEX('OAR 340-245 Table 2 RBCs'!$E:$R,MATCH($C42,'OAR 340-245 Table 2 RBCs'!$A:$A,0),8)="--","",INDEX('OAR 340-245 Table 2 RBCs'!$E:$R,MATCH($C42,'OAR 340-245 Table 2 RBCs'!$A:$A,0),8)),"")</f>
        <v/>
      </c>
      <c r="J42" s="136" t="str">
        <f>_xlfn.IFNA(IF(INDEX('OAR 340-245 Table 2 RBCs'!$E:$R,MATCH($C42,'OAR 340-245 Table 2 RBCs'!$A:$A,0),10)="--","",INDEX('OAR 340-245 Table 2 RBCs'!$E:$R,MATCH($C42,'OAR 340-245 Table 2 RBCs'!$A:$A,0),10)),"")</f>
        <v/>
      </c>
      <c r="K42" s="136" t="str">
        <f>_xlfn.IFNA(IF(INDEX('OAR 340-245 Table 2 RBCs'!$E:$R,MATCH($C42,'OAR 340-245 Table 2 RBCs'!$A:$A,0),12)="--","",INDEX('OAR 340-245 Table 2 RBCs'!$E:$R,MATCH($C42,'OAR 340-245 Table 2 RBCs'!$A:$A,0),12)),"")</f>
        <v/>
      </c>
      <c r="L42" s="327" t="str">
        <f>_xlfn.IFNA(IF(INDEX('OAR 340-245 Table 2 RBCs'!$E:$R,MATCH($C42,'OAR 340-245 Table 2 RBCs'!$A:$A,0),14)="--","",INDEX('OAR 340-245 Table 2 RBCs'!$E:$R,MATCH($C42,'OAR 340-245 Table 2 RBCs'!$A:$A,0),14)),"")</f>
        <v/>
      </c>
    </row>
    <row r="43" spans="2:12" x14ac:dyDescent="0.2">
      <c r="B43" s="133" t="s">
        <v>146</v>
      </c>
      <c r="C43" s="134" t="s">
        <v>77</v>
      </c>
      <c r="D43" s="325" t="str">
        <f>IF(ISERROR(MATCH(C43,'OAR 340-245 Table 2 RBCs'!$A:$A,0)),"No","Yes")</f>
        <v>Yes</v>
      </c>
      <c r="E43" s="321" t="str">
        <f>IF(D43="Yes",INDEX('OAR 340-245 Table 2 RBCs'!$D:$D,MATCH(C43,'OAR 340-245 Table 2 RBCs'!$A:$A,0)),"")</f>
        <v>HI3</v>
      </c>
      <c r="F43" s="326">
        <f>_xlfn.IFNA(IF(INDEX('OAR 340-245 Table 2 RBCs'!$E:$R,MATCH($C43,'OAR 340-245 Table 2 RBCs'!$A:$A,0),2)="--","",INDEX('OAR 340-245 Table 2 RBCs'!$E:$R,MATCH($C43,'OAR 340-245 Table 2 RBCs'!$A:$A,0),2)),"")</f>
        <v>2.9000000000000001E-2</v>
      </c>
      <c r="G43" s="136">
        <f>_xlfn.IFNA(IF(INDEX('OAR 340-245 Table 2 RBCs'!$E:$R,MATCH($C43,'OAR 340-245 Table 2 RBCs'!$A:$A,0),4)="--","",INDEX('OAR 340-245 Table 2 RBCs'!$E:$R,MATCH($C43,'OAR 340-245 Table 2 RBCs'!$A:$A,0),4)),"")</f>
        <v>3.7</v>
      </c>
      <c r="H43" s="136">
        <f>_xlfn.IFNA(IF(INDEX('OAR 340-245 Table 2 RBCs'!$E:$R,MATCH($C43,'OAR 340-245 Table 2 RBCs'!$A:$A,0),6)="--","",INDEX('OAR 340-245 Table 2 RBCs'!$E:$R,MATCH($C43,'OAR 340-245 Table 2 RBCs'!$A:$A,0),6)),"")</f>
        <v>0.76</v>
      </c>
      <c r="I43" s="136">
        <f>_xlfn.IFNA(IF(INDEX('OAR 340-245 Table 2 RBCs'!$E:$R,MATCH($C43,'OAR 340-245 Table 2 RBCs'!$A:$A,0),8)="--","",INDEX('OAR 340-245 Table 2 RBCs'!$E:$R,MATCH($C43,'OAR 340-245 Table 2 RBCs'!$A:$A,0),8)),"")</f>
        <v>16</v>
      </c>
      <c r="J43" s="136">
        <f>_xlfn.IFNA(IF(INDEX('OAR 340-245 Table 2 RBCs'!$E:$R,MATCH($C43,'OAR 340-245 Table 2 RBCs'!$A:$A,0),10)="--","",INDEX('OAR 340-245 Table 2 RBCs'!$E:$R,MATCH($C43,'OAR 340-245 Table 2 RBCs'!$A:$A,0),10)),"")</f>
        <v>0.35</v>
      </c>
      <c r="K43" s="136">
        <f>_xlfn.IFNA(IF(INDEX('OAR 340-245 Table 2 RBCs'!$E:$R,MATCH($C43,'OAR 340-245 Table 2 RBCs'!$A:$A,0),12)="--","",INDEX('OAR 340-245 Table 2 RBCs'!$E:$R,MATCH($C43,'OAR 340-245 Table 2 RBCs'!$A:$A,0),12)),"")</f>
        <v>16</v>
      </c>
      <c r="L43" s="327">
        <f>_xlfn.IFNA(IF(INDEX('OAR 340-245 Table 2 RBCs'!$E:$R,MATCH($C43,'OAR 340-245 Table 2 RBCs'!$A:$A,0),14)="--","",INDEX('OAR 340-245 Table 2 RBCs'!$E:$R,MATCH($C43,'OAR 340-245 Table 2 RBCs'!$A:$A,0),14)),"")</f>
        <v>200</v>
      </c>
    </row>
    <row r="44" spans="2:12" x14ac:dyDescent="0.2">
      <c r="B44" s="133" t="s">
        <v>78</v>
      </c>
      <c r="C44" s="134">
        <v>365</v>
      </c>
      <c r="D44" s="325" t="str">
        <f>IF(ISERROR(MATCH(C44,'OAR 340-245 Table 2 RBCs'!$A:$A,0)),"No","Yes")</f>
        <v>Yes</v>
      </c>
      <c r="E44" s="321" t="str">
        <f>IF(D44="Yes",INDEX('OAR 340-245 Table 2 RBCs'!$D:$D,MATCH(C44,'OAR 340-245 Table 2 RBCs'!$A:$A,0)),"")</f>
        <v>HI3</v>
      </c>
      <c r="F44" s="326">
        <f>_xlfn.IFNA(IF(INDEX('OAR 340-245 Table 2 RBCs'!$E:$R,MATCH($C44,'OAR 340-245 Table 2 RBCs'!$A:$A,0),2)="--","",INDEX('OAR 340-245 Table 2 RBCs'!$E:$R,MATCH($C44,'OAR 340-245 Table 2 RBCs'!$A:$A,0),2)),"")</f>
        <v>3.8E-3</v>
      </c>
      <c r="G44" s="136">
        <f>_xlfn.IFNA(IF(INDEX('OAR 340-245 Table 2 RBCs'!$E:$R,MATCH($C44,'OAR 340-245 Table 2 RBCs'!$A:$A,0),4)="--","",INDEX('OAR 340-245 Table 2 RBCs'!$E:$R,MATCH($C44,'OAR 340-245 Table 2 RBCs'!$A:$A,0),4)),"")</f>
        <v>1.4E-2</v>
      </c>
      <c r="H44" s="136">
        <f>_xlfn.IFNA(IF(INDEX('OAR 340-245 Table 2 RBCs'!$E:$R,MATCH($C44,'OAR 340-245 Table 2 RBCs'!$A:$A,0),6)="--","",INDEX('OAR 340-245 Table 2 RBCs'!$E:$R,MATCH($C44,'OAR 340-245 Table 2 RBCs'!$A:$A,0),6)),"")</f>
        <v>0.1</v>
      </c>
      <c r="I44" s="136">
        <f>_xlfn.IFNA(IF(INDEX('OAR 340-245 Table 2 RBCs'!$E:$R,MATCH($C44,'OAR 340-245 Table 2 RBCs'!$A:$A,0),8)="--","",INDEX('OAR 340-245 Table 2 RBCs'!$E:$R,MATCH($C44,'OAR 340-245 Table 2 RBCs'!$A:$A,0),8)),"")</f>
        <v>6.2E-2</v>
      </c>
      <c r="J44" s="136">
        <f>_xlfn.IFNA(IF(INDEX('OAR 340-245 Table 2 RBCs'!$E:$R,MATCH($C44,'OAR 340-245 Table 2 RBCs'!$A:$A,0),10)="--","",INDEX('OAR 340-245 Table 2 RBCs'!$E:$R,MATCH($C44,'OAR 340-245 Table 2 RBCs'!$A:$A,0),10)),"")</f>
        <v>4.5999999999999999E-2</v>
      </c>
      <c r="K44" s="136">
        <f>_xlfn.IFNA(IF(INDEX('OAR 340-245 Table 2 RBCs'!$E:$R,MATCH($C44,'OAR 340-245 Table 2 RBCs'!$A:$A,0),12)="--","",INDEX('OAR 340-245 Table 2 RBCs'!$E:$R,MATCH($C44,'OAR 340-245 Table 2 RBCs'!$A:$A,0),12)),"")</f>
        <v>6.2E-2</v>
      </c>
      <c r="L44" s="327">
        <f>_xlfn.IFNA(IF(INDEX('OAR 340-245 Table 2 RBCs'!$E:$R,MATCH($C44,'OAR 340-245 Table 2 RBCs'!$A:$A,0),14)="--","",INDEX('OAR 340-245 Table 2 RBCs'!$E:$R,MATCH($C44,'OAR 340-245 Table 2 RBCs'!$A:$A,0),14)),"")</f>
        <v>0.2</v>
      </c>
    </row>
    <row r="45" spans="2:12" x14ac:dyDescent="0.2">
      <c r="B45" s="133" t="s">
        <v>147</v>
      </c>
      <c r="C45" s="134" t="s">
        <v>80</v>
      </c>
      <c r="D45" s="325" t="str">
        <f>IF(ISERROR(MATCH(C45,'OAR 340-245 Table 2 RBCs'!$A:$A,0)),"No","Yes")</f>
        <v>No</v>
      </c>
      <c r="E45" s="321" t="str">
        <f>IF(D45="Yes",INDEX('OAR 340-245 Table 2 RBCs'!$D:$D,MATCH(C45,'OAR 340-245 Table 2 RBCs'!$A:$A,0)),"")</f>
        <v/>
      </c>
      <c r="F45" s="326" t="str">
        <f>_xlfn.IFNA(IF(INDEX('OAR 340-245 Table 2 RBCs'!$E:$R,MATCH($C45,'OAR 340-245 Table 2 RBCs'!$A:$A,0),2)="--","",INDEX('OAR 340-245 Table 2 RBCs'!$E:$R,MATCH($C45,'OAR 340-245 Table 2 RBCs'!$A:$A,0),2)),"")</f>
        <v/>
      </c>
      <c r="G45" s="136" t="str">
        <f>_xlfn.IFNA(IF(INDEX('OAR 340-245 Table 2 RBCs'!$E:$R,MATCH($C45,'OAR 340-245 Table 2 RBCs'!$A:$A,0),4)="--","",INDEX('OAR 340-245 Table 2 RBCs'!$E:$R,MATCH($C45,'OAR 340-245 Table 2 RBCs'!$A:$A,0),4)),"")</f>
        <v/>
      </c>
      <c r="H45" s="136" t="str">
        <f>_xlfn.IFNA(IF(INDEX('OAR 340-245 Table 2 RBCs'!$E:$R,MATCH($C45,'OAR 340-245 Table 2 RBCs'!$A:$A,0),6)="--","",INDEX('OAR 340-245 Table 2 RBCs'!$E:$R,MATCH($C45,'OAR 340-245 Table 2 RBCs'!$A:$A,0),6)),"")</f>
        <v/>
      </c>
      <c r="I45" s="136" t="str">
        <f>_xlfn.IFNA(IF(INDEX('OAR 340-245 Table 2 RBCs'!$E:$R,MATCH($C45,'OAR 340-245 Table 2 RBCs'!$A:$A,0),8)="--","",INDEX('OAR 340-245 Table 2 RBCs'!$E:$R,MATCH($C45,'OAR 340-245 Table 2 RBCs'!$A:$A,0),8)),"")</f>
        <v/>
      </c>
      <c r="J45" s="136" t="str">
        <f>_xlfn.IFNA(IF(INDEX('OAR 340-245 Table 2 RBCs'!$E:$R,MATCH($C45,'OAR 340-245 Table 2 RBCs'!$A:$A,0),10)="--","",INDEX('OAR 340-245 Table 2 RBCs'!$E:$R,MATCH($C45,'OAR 340-245 Table 2 RBCs'!$A:$A,0),10)),"")</f>
        <v/>
      </c>
      <c r="K45" s="136" t="str">
        <f>_xlfn.IFNA(IF(INDEX('OAR 340-245 Table 2 RBCs'!$E:$R,MATCH($C45,'OAR 340-245 Table 2 RBCs'!$A:$A,0),12)="--","",INDEX('OAR 340-245 Table 2 RBCs'!$E:$R,MATCH($C45,'OAR 340-245 Table 2 RBCs'!$A:$A,0),12)),"")</f>
        <v/>
      </c>
      <c r="L45" s="327" t="str">
        <f>_xlfn.IFNA(IF(INDEX('OAR 340-245 Table 2 RBCs'!$E:$R,MATCH($C45,'OAR 340-245 Table 2 RBCs'!$A:$A,0),14)="--","",INDEX('OAR 340-245 Table 2 RBCs'!$E:$R,MATCH($C45,'OAR 340-245 Table 2 RBCs'!$A:$A,0),14)),"")</f>
        <v/>
      </c>
    </row>
    <row r="46" spans="2:12" x14ac:dyDescent="0.2">
      <c r="B46" s="133" t="s">
        <v>148</v>
      </c>
      <c r="C46" s="134" t="s">
        <v>82</v>
      </c>
      <c r="D46" s="325" t="str">
        <f>IF(ISERROR(MATCH(C46,'OAR 340-245 Table 2 RBCs'!$A:$A,0)),"No","Yes")</f>
        <v>No</v>
      </c>
      <c r="E46" s="321" t="str">
        <f>IF(D46="Yes",INDEX('OAR 340-245 Table 2 RBCs'!$D:$D,MATCH(C46,'OAR 340-245 Table 2 RBCs'!$A:$A,0)),"")</f>
        <v/>
      </c>
      <c r="F46" s="326" t="str">
        <f>_xlfn.IFNA(IF(INDEX('OAR 340-245 Table 2 RBCs'!$E:$R,MATCH($C46,'OAR 340-245 Table 2 RBCs'!$A:$A,0),2)="--","",INDEX('OAR 340-245 Table 2 RBCs'!$E:$R,MATCH($C46,'OAR 340-245 Table 2 RBCs'!$A:$A,0),2)),"")</f>
        <v/>
      </c>
      <c r="G46" s="136" t="str">
        <f>_xlfn.IFNA(IF(INDEX('OAR 340-245 Table 2 RBCs'!$E:$R,MATCH($C46,'OAR 340-245 Table 2 RBCs'!$A:$A,0),4)="--","",INDEX('OAR 340-245 Table 2 RBCs'!$E:$R,MATCH($C46,'OAR 340-245 Table 2 RBCs'!$A:$A,0),4)),"")</f>
        <v/>
      </c>
      <c r="H46" s="136" t="str">
        <f>_xlfn.IFNA(IF(INDEX('OAR 340-245 Table 2 RBCs'!$E:$R,MATCH($C46,'OAR 340-245 Table 2 RBCs'!$A:$A,0),6)="--","",INDEX('OAR 340-245 Table 2 RBCs'!$E:$R,MATCH($C46,'OAR 340-245 Table 2 RBCs'!$A:$A,0),6)),"")</f>
        <v/>
      </c>
      <c r="I46" s="136" t="str">
        <f>_xlfn.IFNA(IF(INDEX('OAR 340-245 Table 2 RBCs'!$E:$R,MATCH($C46,'OAR 340-245 Table 2 RBCs'!$A:$A,0),8)="--","",INDEX('OAR 340-245 Table 2 RBCs'!$E:$R,MATCH($C46,'OAR 340-245 Table 2 RBCs'!$A:$A,0),8)),"")</f>
        <v/>
      </c>
      <c r="J46" s="136" t="str">
        <f>_xlfn.IFNA(IF(INDEX('OAR 340-245 Table 2 RBCs'!$E:$R,MATCH($C46,'OAR 340-245 Table 2 RBCs'!$A:$A,0),10)="--","",INDEX('OAR 340-245 Table 2 RBCs'!$E:$R,MATCH($C46,'OAR 340-245 Table 2 RBCs'!$A:$A,0),10)),"")</f>
        <v/>
      </c>
      <c r="K46" s="136" t="str">
        <f>_xlfn.IFNA(IF(INDEX('OAR 340-245 Table 2 RBCs'!$E:$R,MATCH($C46,'OAR 340-245 Table 2 RBCs'!$A:$A,0),12)="--","",INDEX('OAR 340-245 Table 2 RBCs'!$E:$R,MATCH($C46,'OAR 340-245 Table 2 RBCs'!$A:$A,0),12)),"")</f>
        <v/>
      </c>
      <c r="L46" s="327" t="str">
        <f>_xlfn.IFNA(IF(INDEX('OAR 340-245 Table 2 RBCs'!$E:$R,MATCH($C46,'OAR 340-245 Table 2 RBCs'!$A:$A,0),14)="--","",INDEX('OAR 340-245 Table 2 RBCs'!$E:$R,MATCH($C46,'OAR 340-245 Table 2 RBCs'!$A:$A,0),14)),"")</f>
        <v/>
      </c>
    </row>
    <row r="47" spans="2:12" x14ac:dyDescent="0.2">
      <c r="B47" s="133" t="s">
        <v>83</v>
      </c>
      <c r="C47" s="134">
        <v>504</v>
      </c>
      <c r="D47" s="325" t="str">
        <f>IF(ISERROR(MATCH(C47,'OAR 340-245 Table 2 RBCs'!$A:$A,0)),"No","Yes")</f>
        <v>No</v>
      </c>
      <c r="E47" s="321" t="str">
        <f>IF(D47="Yes",INDEX('OAR 340-245 Table 2 RBCs'!$D:$D,MATCH(C47,'OAR 340-245 Table 2 RBCs'!$A:$A,0)),"")</f>
        <v/>
      </c>
      <c r="F47" s="326" t="str">
        <f>_xlfn.IFNA(IF(INDEX('OAR 340-245 Table 2 RBCs'!$E:$R,MATCH($C47,'OAR 340-245 Table 2 RBCs'!$A:$A,0),2)="--","",INDEX('OAR 340-245 Table 2 RBCs'!$E:$R,MATCH($C47,'OAR 340-245 Table 2 RBCs'!$A:$A,0),2)),"")</f>
        <v/>
      </c>
      <c r="G47" s="136" t="str">
        <f>_xlfn.IFNA(IF(INDEX('OAR 340-245 Table 2 RBCs'!$E:$R,MATCH($C47,'OAR 340-245 Table 2 RBCs'!$A:$A,0),4)="--","",INDEX('OAR 340-245 Table 2 RBCs'!$E:$R,MATCH($C47,'OAR 340-245 Table 2 RBCs'!$A:$A,0),4)),"")</f>
        <v/>
      </c>
      <c r="H47" s="136" t="str">
        <f>_xlfn.IFNA(IF(INDEX('OAR 340-245 Table 2 RBCs'!$E:$R,MATCH($C47,'OAR 340-245 Table 2 RBCs'!$A:$A,0),6)="--","",INDEX('OAR 340-245 Table 2 RBCs'!$E:$R,MATCH($C47,'OAR 340-245 Table 2 RBCs'!$A:$A,0),6)),"")</f>
        <v/>
      </c>
      <c r="I47" s="136" t="str">
        <f>_xlfn.IFNA(IF(INDEX('OAR 340-245 Table 2 RBCs'!$E:$R,MATCH($C47,'OAR 340-245 Table 2 RBCs'!$A:$A,0),8)="--","",INDEX('OAR 340-245 Table 2 RBCs'!$E:$R,MATCH($C47,'OAR 340-245 Table 2 RBCs'!$A:$A,0),8)),"")</f>
        <v/>
      </c>
      <c r="J47" s="136" t="str">
        <f>_xlfn.IFNA(IF(INDEX('OAR 340-245 Table 2 RBCs'!$E:$R,MATCH($C47,'OAR 340-245 Table 2 RBCs'!$A:$A,0),10)="--","",INDEX('OAR 340-245 Table 2 RBCs'!$E:$R,MATCH($C47,'OAR 340-245 Table 2 RBCs'!$A:$A,0),10)),"")</f>
        <v/>
      </c>
      <c r="K47" s="136" t="str">
        <f>_xlfn.IFNA(IF(INDEX('OAR 340-245 Table 2 RBCs'!$E:$R,MATCH($C47,'OAR 340-245 Table 2 RBCs'!$A:$A,0),12)="--","",INDEX('OAR 340-245 Table 2 RBCs'!$E:$R,MATCH($C47,'OAR 340-245 Table 2 RBCs'!$A:$A,0),12)),"")</f>
        <v/>
      </c>
      <c r="L47" s="327" t="str">
        <f>_xlfn.IFNA(IF(INDEX('OAR 340-245 Table 2 RBCs'!$E:$R,MATCH($C47,'OAR 340-245 Table 2 RBCs'!$A:$A,0),14)="--","",INDEX('OAR 340-245 Table 2 RBCs'!$E:$R,MATCH($C47,'OAR 340-245 Table 2 RBCs'!$A:$A,0),14)),"")</f>
        <v/>
      </c>
    </row>
    <row r="48" spans="2:12" x14ac:dyDescent="0.2">
      <c r="B48" s="133" t="s">
        <v>84</v>
      </c>
      <c r="C48" s="134" t="s">
        <v>85</v>
      </c>
      <c r="D48" s="325" t="str">
        <f>IF(ISERROR(MATCH(C48,'OAR 340-245 Table 2 RBCs'!$A:$A,0)),"No","Yes")</f>
        <v>Yes</v>
      </c>
      <c r="E48" s="321" t="str">
        <f>IF(D48="Yes",INDEX('OAR 340-245 Table 2 RBCs'!$D:$D,MATCH(C48,'OAR 340-245 Table 2 RBCs'!$A:$A,0)),"")</f>
        <v>HI5</v>
      </c>
      <c r="F48" s="326" t="str">
        <f>_xlfn.IFNA(IF(INDEX('OAR 340-245 Table 2 RBCs'!$E:$R,MATCH($C48,'OAR 340-245 Table 2 RBCs'!$A:$A,0),2)="--","",INDEX('OAR 340-245 Table 2 RBCs'!$E:$R,MATCH($C48,'OAR 340-245 Table 2 RBCs'!$A:$A,0),2)),"")</f>
        <v/>
      </c>
      <c r="G48" s="136">
        <f>_xlfn.IFNA(IF(INDEX('OAR 340-245 Table 2 RBCs'!$E:$R,MATCH($C48,'OAR 340-245 Table 2 RBCs'!$A:$A,0),4)="--","",INDEX('OAR 340-245 Table 2 RBCs'!$E:$R,MATCH($C48,'OAR 340-245 Table 2 RBCs'!$A:$A,0),4)),"")</f>
        <v>3000</v>
      </c>
      <c r="H48" s="136" t="str">
        <f>_xlfn.IFNA(IF(INDEX('OAR 340-245 Table 2 RBCs'!$E:$R,MATCH($C48,'OAR 340-245 Table 2 RBCs'!$A:$A,0),6)="--","",INDEX('OAR 340-245 Table 2 RBCs'!$E:$R,MATCH($C48,'OAR 340-245 Table 2 RBCs'!$A:$A,0),6)),"")</f>
        <v/>
      </c>
      <c r="I48" s="136">
        <f>_xlfn.IFNA(IF(INDEX('OAR 340-245 Table 2 RBCs'!$E:$R,MATCH($C48,'OAR 340-245 Table 2 RBCs'!$A:$A,0),8)="--","",INDEX('OAR 340-245 Table 2 RBCs'!$E:$R,MATCH($C48,'OAR 340-245 Table 2 RBCs'!$A:$A,0),8)),"")</f>
        <v>13000</v>
      </c>
      <c r="J48" s="136" t="str">
        <f>_xlfn.IFNA(IF(INDEX('OAR 340-245 Table 2 RBCs'!$E:$R,MATCH($C48,'OAR 340-245 Table 2 RBCs'!$A:$A,0),10)="--","",INDEX('OAR 340-245 Table 2 RBCs'!$E:$R,MATCH($C48,'OAR 340-245 Table 2 RBCs'!$A:$A,0),10)),"")</f>
        <v/>
      </c>
      <c r="K48" s="136">
        <f>_xlfn.IFNA(IF(INDEX('OAR 340-245 Table 2 RBCs'!$E:$R,MATCH($C48,'OAR 340-245 Table 2 RBCs'!$A:$A,0),12)="--","",INDEX('OAR 340-245 Table 2 RBCs'!$E:$R,MATCH($C48,'OAR 340-245 Table 2 RBCs'!$A:$A,0),12)),"")</f>
        <v>13000</v>
      </c>
      <c r="L48" s="327" t="str">
        <f>_xlfn.IFNA(IF(INDEX('OAR 340-245 Table 2 RBCs'!$E:$R,MATCH($C48,'OAR 340-245 Table 2 RBCs'!$A:$A,0),14)="--","",INDEX('OAR 340-245 Table 2 RBCs'!$E:$R,MATCH($C48,'OAR 340-245 Table 2 RBCs'!$A:$A,0),14)),"")</f>
        <v/>
      </c>
    </row>
    <row r="49" spans="1:12" x14ac:dyDescent="0.2">
      <c r="B49" s="133" t="s">
        <v>149</v>
      </c>
      <c r="C49" s="134" t="s">
        <v>87</v>
      </c>
      <c r="D49" s="325" t="str">
        <f>IF(ISERROR(MATCH(C49,'OAR 340-245 Table 2 RBCs'!$A:$A,0)),"No","Yes")</f>
        <v>No</v>
      </c>
      <c r="E49" s="321" t="str">
        <f>IF(D49="Yes",INDEX('OAR 340-245 Table 2 RBCs'!$D:$D,MATCH(C49,'OAR 340-245 Table 2 RBCs'!$A:$A,0)),"")</f>
        <v/>
      </c>
      <c r="F49" s="326" t="str">
        <f>_xlfn.IFNA(IF(INDEX('OAR 340-245 Table 2 RBCs'!$E:$R,MATCH($C49,'OAR 340-245 Table 2 RBCs'!$A:$A,0),2)="--","",INDEX('OAR 340-245 Table 2 RBCs'!$E:$R,MATCH($C49,'OAR 340-245 Table 2 RBCs'!$A:$A,0),2)),"")</f>
        <v/>
      </c>
      <c r="G49" s="136" t="str">
        <f>_xlfn.IFNA(IF(INDEX('OAR 340-245 Table 2 RBCs'!$E:$R,MATCH($C49,'OAR 340-245 Table 2 RBCs'!$A:$A,0),4)="--","",INDEX('OAR 340-245 Table 2 RBCs'!$E:$R,MATCH($C49,'OAR 340-245 Table 2 RBCs'!$A:$A,0),4)),"")</f>
        <v/>
      </c>
      <c r="H49" s="136" t="str">
        <f>_xlfn.IFNA(IF(INDEX('OAR 340-245 Table 2 RBCs'!$E:$R,MATCH($C49,'OAR 340-245 Table 2 RBCs'!$A:$A,0),6)="--","",INDEX('OAR 340-245 Table 2 RBCs'!$E:$R,MATCH($C49,'OAR 340-245 Table 2 RBCs'!$A:$A,0),6)),"")</f>
        <v/>
      </c>
      <c r="I49" s="136" t="str">
        <f>_xlfn.IFNA(IF(INDEX('OAR 340-245 Table 2 RBCs'!$E:$R,MATCH($C49,'OAR 340-245 Table 2 RBCs'!$A:$A,0),8)="--","",INDEX('OAR 340-245 Table 2 RBCs'!$E:$R,MATCH($C49,'OAR 340-245 Table 2 RBCs'!$A:$A,0),8)),"")</f>
        <v/>
      </c>
      <c r="J49" s="136" t="str">
        <f>_xlfn.IFNA(IF(INDEX('OAR 340-245 Table 2 RBCs'!$E:$R,MATCH($C49,'OAR 340-245 Table 2 RBCs'!$A:$A,0),10)="--","",INDEX('OAR 340-245 Table 2 RBCs'!$E:$R,MATCH($C49,'OAR 340-245 Table 2 RBCs'!$A:$A,0),10)),"")</f>
        <v/>
      </c>
      <c r="K49" s="136" t="str">
        <f>_xlfn.IFNA(IF(INDEX('OAR 340-245 Table 2 RBCs'!$E:$R,MATCH($C49,'OAR 340-245 Table 2 RBCs'!$A:$A,0),12)="--","",INDEX('OAR 340-245 Table 2 RBCs'!$E:$R,MATCH($C49,'OAR 340-245 Table 2 RBCs'!$A:$A,0),12)),"")</f>
        <v/>
      </c>
      <c r="L49" s="327" t="str">
        <f>_xlfn.IFNA(IF(INDEX('OAR 340-245 Table 2 RBCs'!$E:$R,MATCH($C49,'OAR 340-245 Table 2 RBCs'!$A:$A,0),14)="--","",INDEX('OAR 340-245 Table 2 RBCs'!$E:$R,MATCH($C49,'OAR 340-245 Table 2 RBCs'!$A:$A,0),14)),"")</f>
        <v/>
      </c>
    </row>
    <row r="50" spans="1:12" x14ac:dyDescent="0.2">
      <c r="B50" s="133" t="s">
        <v>150</v>
      </c>
      <c r="C50" s="134">
        <v>401</v>
      </c>
      <c r="D50" s="325" t="str">
        <f>IF(ISERROR(MATCH(C50,'OAR 340-245 Table 2 RBCs'!$A:$A,0)),"No","Yes")</f>
        <v>Yes</v>
      </c>
      <c r="E50" s="321" t="str">
        <f>IF(D50="Yes",INDEX('OAR 340-245 Table 2 RBCs'!$D:$D,MATCH(C50,'OAR 340-245 Table 2 RBCs'!$A:$A,0)),"")</f>
        <v>--</v>
      </c>
      <c r="F50" s="326">
        <f>_xlfn.IFNA(IF(INDEX('OAR 340-245 Table 2 RBCs'!$E:$R,MATCH($C50,'OAR 340-245 Table 2 RBCs'!$A:$A,0),2)="--","",INDEX('OAR 340-245 Table 2 RBCs'!$E:$R,MATCH($C50,'OAR 340-245 Table 2 RBCs'!$A:$A,0),2)),"")</f>
        <v>4.3000000000000002E-5</v>
      </c>
      <c r="G50" s="136" t="str">
        <f>_xlfn.IFNA(IF(INDEX('OAR 340-245 Table 2 RBCs'!$E:$R,MATCH($C50,'OAR 340-245 Table 2 RBCs'!$A:$A,0),4)="--","",INDEX('OAR 340-245 Table 2 RBCs'!$E:$R,MATCH($C50,'OAR 340-245 Table 2 RBCs'!$A:$A,0),4)),"")</f>
        <v/>
      </c>
      <c r="H50" s="136">
        <f>_xlfn.IFNA(IF(INDEX('OAR 340-245 Table 2 RBCs'!$E:$R,MATCH($C50,'OAR 340-245 Table 2 RBCs'!$A:$A,0),6)="--","",INDEX('OAR 340-245 Table 2 RBCs'!$E:$R,MATCH($C50,'OAR 340-245 Table 2 RBCs'!$A:$A,0),6)),"")</f>
        <v>1.6000000000000001E-3</v>
      </c>
      <c r="I50" s="136" t="str">
        <f>_xlfn.IFNA(IF(INDEX('OAR 340-245 Table 2 RBCs'!$E:$R,MATCH($C50,'OAR 340-245 Table 2 RBCs'!$A:$A,0),8)="--","",INDEX('OAR 340-245 Table 2 RBCs'!$E:$R,MATCH($C50,'OAR 340-245 Table 2 RBCs'!$A:$A,0),8)),"")</f>
        <v/>
      </c>
      <c r="J50" s="136">
        <f>_xlfn.IFNA(IF(INDEX('OAR 340-245 Table 2 RBCs'!$E:$R,MATCH($C50,'OAR 340-245 Table 2 RBCs'!$A:$A,0),10)="--","",INDEX('OAR 340-245 Table 2 RBCs'!$E:$R,MATCH($C50,'OAR 340-245 Table 2 RBCs'!$A:$A,0),10)),"")</f>
        <v>3.0000000000000001E-3</v>
      </c>
      <c r="K50" s="136" t="str">
        <f>_xlfn.IFNA(IF(INDEX('OAR 340-245 Table 2 RBCs'!$E:$R,MATCH($C50,'OAR 340-245 Table 2 RBCs'!$A:$A,0),12)="--","",INDEX('OAR 340-245 Table 2 RBCs'!$E:$R,MATCH($C50,'OAR 340-245 Table 2 RBCs'!$A:$A,0),12)),"")</f>
        <v/>
      </c>
      <c r="L50" s="327" t="str">
        <f>_xlfn.IFNA(IF(INDEX('OAR 340-245 Table 2 RBCs'!$E:$R,MATCH($C50,'OAR 340-245 Table 2 RBCs'!$A:$A,0),14)="--","",INDEX('OAR 340-245 Table 2 RBCs'!$E:$R,MATCH($C50,'OAR 340-245 Table 2 RBCs'!$A:$A,0),14)),"")</f>
        <v/>
      </c>
    </row>
    <row r="51" spans="1:12" x14ac:dyDescent="0.2">
      <c r="B51" s="133" t="s">
        <v>89</v>
      </c>
      <c r="C51" s="134" t="s">
        <v>90</v>
      </c>
      <c r="D51" s="325" t="str">
        <f>IF(ISERROR(MATCH(C51,'OAR 340-245 Table 2 RBCs'!$A:$A,0)),"No","Yes")</f>
        <v>Yes</v>
      </c>
      <c r="E51" s="321" t="str">
        <f>IF(D51="Yes",INDEX('OAR 340-245 Table 2 RBCs'!$D:$D,MATCH(C51,'OAR 340-245 Table 2 RBCs'!$A:$A,0)),"")</f>
        <v>HI3</v>
      </c>
      <c r="F51" s="326" t="str">
        <f>_xlfn.IFNA(IF(INDEX('OAR 340-245 Table 2 RBCs'!$E:$R,MATCH($C51,'OAR 340-245 Table 2 RBCs'!$A:$A,0),2)="--","",INDEX('OAR 340-245 Table 2 RBCs'!$E:$R,MATCH($C51,'OAR 340-245 Table 2 RBCs'!$A:$A,0),2)),"")</f>
        <v/>
      </c>
      <c r="G51" s="136" t="str">
        <f>_xlfn.IFNA(IF(INDEX('OAR 340-245 Table 2 RBCs'!$E:$R,MATCH($C51,'OAR 340-245 Table 2 RBCs'!$A:$A,0),4)="--","",INDEX('OAR 340-245 Table 2 RBCs'!$E:$R,MATCH($C51,'OAR 340-245 Table 2 RBCs'!$A:$A,0),4)),"")</f>
        <v/>
      </c>
      <c r="H51" s="136" t="str">
        <f>_xlfn.IFNA(IF(INDEX('OAR 340-245 Table 2 RBCs'!$E:$R,MATCH($C51,'OAR 340-245 Table 2 RBCs'!$A:$A,0),6)="--","",INDEX('OAR 340-245 Table 2 RBCs'!$E:$R,MATCH($C51,'OAR 340-245 Table 2 RBCs'!$A:$A,0),6)),"")</f>
        <v/>
      </c>
      <c r="I51" s="136" t="str">
        <f>_xlfn.IFNA(IF(INDEX('OAR 340-245 Table 2 RBCs'!$E:$R,MATCH($C51,'OAR 340-245 Table 2 RBCs'!$A:$A,0),8)="--","",INDEX('OAR 340-245 Table 2 RBCs'!$E:$R,MATCH($C51,'OAR 340-245 Table 2 RBCs'!$A:$A,0),8)),"")</f>
        <v/>
      </c>
      <c r="J51" s="136" t="str">
        <f>_xlfn.IFNA(IF(INDEX('OAR 340-245 Table 2 RBCs'!$E:$R,MATCH($C51,'OAR 340-245 Table 2 RBCs'!$A:$A,0),10)="--","",INDEX('OAR 340-245 Table 2 RBCs'!$E:$R,MATCH($C51,'OAR 340-245 Table 2 RBCs'!$A:$A,0),10)),"")</f>
        <v/>
      </c>
      <c r="K51" s="136" t="str">
        <f>_xlfn.IFNA(IF(INDEX('OAR 340-245 Table 2 RBCs'!$E:$R,MATCH($C51,'OAR 340-245 Table 2 RBCs'!$A:$A,0),12)="--","",INDEX('OAR 340-245 Table 2 RBCs'!$E:$R,MATCH($C51,'OAR 340-245 Table 2 RBCs'!$A:$A,0),12)),"")</f>
        <v/>
      </c>
      <c r="L51" s="327">
        <f>_xlfn.IFNA(IF(INDEX('OAR 340-245 Table 2 RBCs'!$E:$R,MATCH($C51,'OAR 340-245 Table 2 RBCs'!$A:$A,0),14)="--","",INDEX('OAR 340-245 Table 2 RBCs'!$E:$R,MATCH($C51,'OAR 340-245 Table 2 RBCs'!$A:$A,0),14)),"")</f>
        <v>2</v>
      </c>
    </row>
    <row r="52" spans="1:12" x14ac:dyDescent="0.2">
      <c r="B52" s="133" t="s">
        <v>91</v>
      </c>
      <c r="C52" s="134" t="s">
        <v>92</v>
      </c>
      <c r="D52" s="325" t="str">
        <f>IF(ISERROR(MATCH(C52,'OAR 340-245 Table 2 RBCs'!$A:$A,0)),"No","Yes")</f>
        <v>No</v>
      </c>
      <c r="E52" s="321" t="str">
        <f>IF(D52="Yes",INDEX('OAR 340-245 Table 2 RBCs'!$D:$D,MATCH(C52,'OAR 340-245 Table 2 RBCs'!$A:$A,0)),"")</f>
        <v/>
      </c>
      <c r="F52" s="326" t="str">
        <f>_xlfn.IFNA(IF(INDEX('OAR 340-245 Table 2 RBCs'!$E:$R,MATCH($C52,'OAR 340-245 Table 2 RBCs'!$A:$A,0),2)="--","",INDEX('OAR 340-245 Table 2 RBCs'!$E:$R,MATCH($C52,'OAR 340-245 Table 2 RBCs'!$A:$A,0),2)),"")</f>
        <v/>
      </c>
      <c r="G52" s="136" t="str">
        <f>_xlfn.IFNA(IF(INDEX('OAR 340-245 Table 2 RBCs'!$E:$R,MATCH($C52,'OAR 340-245 Table 2 RBCs'!$A:$A,0),4)="--","",INDEX('OAR 340-245 Table 2 RBCs'!$E:$R,MATCH($C52,'OAR 340-245 Table 2 RBCs'!$A:$A,0),4)),"")</f>
        <v/>
      </c>
      <c r="H52" s="136" t="str">
        <f>_xlfn.IFNA(IF(INDEX('OAR 340-245 Table 2 RBCs'!$E:$R,MATCH($C52,'OAR 340-245 Table 2 RBCs'!$A:$A,0),6)="--","",INDEX('OAR 340-245 Table 2 RBCs'!$E:$R,MATCH($C52,'OAR 340-245 Table 2 RBCs'!$A:$A,0),6)),"")</f>
        <v/>
      </c>
      <c r="I52" s="136" t="str">
        <f>_xlfn.IFNA(IF(INDEX('OAR 340-245 Table 2 RBCs'!$E:$R,MATCH($C52,'OAR 340-245 Table 2 RBCs'!$A:$A,0),8)="--","",INDEX('OAR 340-245 Table 2 RBCs'!$E:$R,MATCH($C52,'OAR 340-245 Table 2 RBCs'!$A:$A,0),8)),"")</f>
        <v/>
      </c>
      <c r="J52" s="136" t="str">
        <f>_xlfn.IFNA(IF(INDEX('OAR 340-245 Table 2 RBCs'!$E:$R,MATCH($C52,'OAR 340-245 Table 2 RBCs'!$A:$A,0),10)="--","",INDEX('OAR 340-245 Table 2 RBCs'!$E:$R,MATCH($C52,'OAR 340-245 Table 2 RBCs'!$A:$A,0),10)),"")</f>
        <v/>
      </c>
      <c r="K52" s="136" t="str">
        <f>_xlfn.IFNA(IF(INDEX('OAR 340-245 Table 2 RBCs'!$E:$R,MATCH($C52,'OAR 340-245 Table 2 RBCs'!$A:$A,0),12)="--","",INDEX('OAR 340-245 Table 2 RBCs'!$E:$R,MATCH($C52,'OAR 340-245 Table 2 RBCs'!$A:$A,0),12)),"")</f>
        <v/>
      </c>
      <c r="L52" s="327" t="str">
        <f>_xlfn.IFNA(IF(INDEX('OAR 340-245 Table 2 RBCs'!$E:$R,MATCH($C52,'OAR 340-245 Table 2 RBCs'!$A:$A,0),14)="--","",INDEX('OAR 340-245 Table 2 RBCs'!$E:$R,MATCH($C52,'OAR 340-245 Table 2 RBCs'!$A:$A,0),14)),"")</f>
        <v/>
      </c>
    </row>
    <row r="53" spans="1:12" x14ac:dyDescent="0.2">
      <c r="B53" s="133" t="s">
        <v>93</v>
      </c>
      <c r="C53" s="134" t="s">
        <v>94</v>
      </c>
      <c r="D53" s="325" t="str">
        <f>IF(ISERROR(MATCH(C53,'OAR 340-245 Table 2 RBCs'!$A:$A,0)),"No","Yes")</f>
        <v>No</v>
      </c>
      <c r="E53" s="321" t="str">
        <f>IF(D53="Yes",INDEX('OAR 340-245 Table 2 RBCs'!$D:$D,MATCH(C53,'OAR 340-245 Table 2 RBCs'!$A:$A,0)),"")</f>
        <v/>
      </c>
      <c r="F53" s="326" t="str">
        <f>_xlfn.IFNA(IF(INDEX('OAR 340-245 Table 2 RBCs'!$E:$R,MATCH($C53,'OAR 340-245 Table 2 RBCs'!$A:$A,0),2)="--","",INDEX('OAR 340-245 Table 2 RBCs'!$E:$R,MATCH($C53,'OAR 340-245 Table 2 RBCs'!$A:$A,0),2)),"")</f>
        <v/>
      </c>
      <c r="G53" s="136" t="str">
        <f>_xlfn.IFNA(IF(INDEX('OAR 340-245 Table 2 RBCs'!$E:$R,MATCH($C53,'OAR 340-245 Table 2 RBCs'!$A:$A,0),4)="--","",INDEX('OAR 340-245 Table 2 RBCs'!$E:$R,MATCH($C53,'OAR 340-245 Table 2 RBCs'!$A:$A,0),4)),"")</f>
        <v/>
      </c>
      <c r="H53" s="136" t="str">
        <f>_xlfn.IFNA(IF(INDEX('OAR 340-245 Table 2 RBCs'!$E:$R,MATCH($C53,'OAR 340-245 Table 2 RBCs'!$A:$A,0),6)="--","",INDEX('OAR 340-245 Table 2 RBCs'!$E:$R,MATCH($C53,'OAR 340-245 Table 2 RBCs'!$A:$A,0),6)),"")</f>
        <v/>
      </c>
      <c r="I53" s="136" t="str">
        <f>_xlfn.IFNA(IF(INDEX('OAR 340-245 Table 2 RBCs'!$E:$R,MATCH($C53,'OAR 340-245 Table 2 RBCs'!$A:$A,0),8)="--","",INDEX('OAR 340-245 Table 2 RBCs'!$E:$R,MATCH($C53,'OAR 340-245 Table 2 RBCs'!$A:$A,0),8)),"")</f>
        <v/>
      </c>
      <c r="J53" s="136" t="str">
        <f>_xlfn.IFNA(IF(INDEX('OAR 340-245 Table 2 RBCs'!$E:$R,MATCH($C53,'OAR 340-245 Table 2 RBCs'!$A:$A,0),10)="--","",INDEX('OAR 340-245 Table 2 RBCs'!$E:$R,MATCH($C53,'OAR 340-245 Table 2 RBCs'!$A:$A,0),10)),"")</f>
        <v/>
      </c>
      <c r="K53" s="136" t="str">
        <f>_xlfn.IFNA(IF(INDEX('OAR 340-245 Table 2 RBCs'!$E:$R,MATCH($C53,'OAR 340-245 Table 2 RBCs'!$A:$A,0),12)="--","",INDEX('OAR 340-245 Table 2 RBCs'!$E:$R,MATCH($C53,'OAR 340-245 Table 2 RBCs'!$A:$A,0),12)),"")</f>
        <v/>
      </c>
      <c r="L53" s="327" t="str">
        <f>_xlfn.IFNA(IF(INDEX('OAR 340-245 Table 2 RBCs'!$E:$R,MATCH($C53,'OAR 340-245 Table 2 RBCs'!$A:$A,0),14)="--","",INDEX('OAR 340-245 Table 2 RBCs'!$E:$R,MATCH($C53,'OAR 340-245 Table 2 RBCs'!$A:$A,0),14)),"")</f>
        <v/>
      </c>
    </row>
    <row r="54" spans="1:12" x14ac:dyDescent="0.2">
      <c r="B54" s="133" t="s">
        <v>95</v>
      </c>
      <c r="C54" s="134" t="s">
        <v>96</v>
      </c>
      <c r="D54" s="325" t="str">
        <f>IF(ISERROR(MATCH(C54,'OAR 340-245 Table 2 RBCs'!$A:$A,0)),"No","Yes")</f>
        <v>Yes</v>
      </c>
      <c r="E54" s="321" t="str">
        <f>IF(D54="Yes",INDEX('OAR 340-245 Table 2 RBCs'!$D:$D,MATCH(C54,'OAR 340-245 Table 2 RBCs'!$A:$A,0)),"")</f>
        <v>HI3</v>
      </c>
      <c r="F54" s="326" t="str">
        <f>_xlfn.IFNA(IF(INDEX('OAR 340-245 Table 2 RBCs'!$E:$R,MATCH($C54,'OAR 340-245 Table 2 RBCs'!$A:$A,0),2)="--","",INDEX('OAR 340-245 Table 2 RBCs'!$E:$R,MATCH($C54,'OAR 340-245 Table 2 RBCs'!$A:$A,0),2)),"")</f>
        <v/>
      </c>
      <c r="G54" s="136">
        <f>_xlfn.IFNA(IF(INDEX('OAR 340-245 Table 2 RBCs'!$E:$R,MATCH($C54,'OAR 340-245 Table 2 RBCs'!$A:$A,0),4)="--","",INDEX('OAR 340-245 Table 2 RBCs'!$E:$R,MATCH($C54,'OAR 340-245 Table 2 RBCs'!$A:$A,0),4)),"")</f>
        <v>5000</v>
      </c>
      <c r="H54" s="136" t="str">
        <f>_xlfn.IFNA(IF(INDEX('OAR 340-245 Table 2 RBCs'!$E:$R,MATCH($C54,'OAR 340-245 Table 2 RBCs'!$A:$A,0),6)="--","",INDEX('OAR 340-245 Table 2 RBCs'!$E:$R,MATCH($C54,'OAR 340-245 Table 2 RBCs'!$A:$A,0),6)),"")</f>
        <v/>
      </c>
      <c r="I54" s="136">
        <f>_xlfn.IFNA(IF(INDEX('OAR 340-245 Table 2 RBCs'!$E:$R,MATCH($C54,'OAR 340-245 Table 2 RBCs'!$A:$A,0),8)="--","",INDEX('OAR 340-245 Table 2 RBCs'!$E:$R,MATCH($C54,'OAR 340-245 Table 2 RBCs'!$A:$A,0),8)),"")</f>
        <v>22000</v>
      </c>
      <c r="J54" s="136" t="str">
        <f>_xlfn.IFNA(IF(INDEX('OAR 340-245 Table 2 RBCs'!$E:$R,MATCH($C54,'OAR 340-245 Table 2 RBCs'!$A:$A,0),10)="--","",INDEX('OAR 340-245 Table 2 RBCs'!$E:$R,MATCH($C54,'OAR 340-245 Table 2 RBCs'!$A:$A,0),10)),"")</f>
        <v/>
      </c>
      <c r="K54" s="136">
        <f>_xlfn.IFNA(IF(INDEX('OAR 340-245 Table 2 RBCs'!$E:$R,MATCH($C54,'OAR 340-245 Table 2 RBCs'!$A:$A,0),12)="--","",INDEX('OAR 340-245 Table 2 RBCs'!$E:$R,MATCH($C54,'OAR 340-245 Table 2 RBCs'!$A:$A,0),12)),"")</f>
        <v>22000</v>
      </c>
      <c r="L54" s="327">
        <f>_xlfn.IFNA(IF(INDEX('OAR 340-245 Table 2 RBCs'!$E:$R,MATCH($C54,'OAR 340-245 Table 2 RBCs'!$A:$A,0),14)="--","",INDEX('OAR 340-245 Table 2 RBCs'!$E:$R,MATCH($C54,'OAR 340-245 Table 2 RBCs'!$A:$A,0),14)),"")</f>
        <v>7500</v>
      </c>
    </row>
    <row r="55" spans="1:12" x14ac:dyDescent="0.2">
      <c r="B55" s="133" t="s">
        <v>97</v>
      </c>
      <c r="C55" s="134" t="s">
        <v>98</v>
      </c>
      <c r="D55" s="325" t="str">
        <f>IF(ISERROR(MATCH(C55,'OAR 340-245 Table 2 RBCs'!$A:$A,0)),"No","Yes")</f>
        <v>Yes</v>
      </c>
      <c r="E55" s="321" t="str">
        <f>IF(D55="Yes",INDEX('OAR 340-245 Table 2 RBCs'!$D:$D,MATCH(C55,'OAR 340-245 Table 2 RBCs'!$A:$A,0)),"")</f>
        <v>HI3</v>
      </c>
      <c r="F55" s="326" t="str">
        <f>_xlfn.IFNA(IF(INDEX('OAR 340-245 Table 2 RBCs'!$E:$R,MATCH($C55,'OAR 340-245 Table 2 RBCs'!$A:$A,0),2)="--","",INDEX('OAR 340-245 Table 2 RBCs'!$E:$R,MATCH($C55,'OAR 340-245 Table 2 RBCs'!$A:$A,0),2)),"")</f>
        <v/>
      </c>
      <c r="G55" s="136">
        <f>_xlfn.IFNA(IF(INDEX('OAR 340-245 Table 2 RBCs'!$E:$R,MATCH($C55,'OAR 340-245 Table 2 RBCs'!$A:$A,0),4)="--","",INDEX('OAR 340-245 Table 2 RBCs'!$E:$R,MATCH($C55,'OAR 340-245 Table 2 RBCs'!$A:$A,0),4)),"")</f>
        <v>220</v>
      </c>
      <c r="H55" s="136" t="str">
        <f>_xlfn.IFNA(IF(INDEX('OAR 340-245 Table 2 RBCs'!$E:$R,MATCH($C55,'OAR 340-245 Table 2 RBCs'!$A:$A,0),6)="--","",INDEX('OAR 340-245 Table 2 RBCs'!$E:$R,MATCH($C55,'OAR 340-245 Table 2 RBCs'!$A:$A,0),6)),"")</f>
        <v/>
      </c>
      <c r="I55" s="136">
        <f>_xlfn.IFNA(IF(INDEX('OAR 340-245 Table 2 RBCs'!$E:$R,MATCH($C55,'OAR 340-245 Table 2 RBCs'!$A:$A,0),8)="--","",INDEX('OAR 340-245 Table 2 RBCs'!$E:$R,MATCH($C55,'OAR 340-245 Table 2 RBCs'!$A:$A,0),8)),"")</f>
        <v>970</v>
      </c>
      <c r="J55" s="136" t="str">
        <f>_xlfn.IFNA(IF(INDEX('OAR 340-245 Table 2 RBCs'!$E:$R,MATCH($C55,'OAR 340-245 Table 2 RBCs'!$A:$A,0),10)="--","",INDEX('OAR 340-245 Table 2 RBCs'!$E:$R,MATCH($C55,'OAR 340-245 Table 2 RBCs'!$A:$A,0),10)),"")</f>
        <v/>
      </c>
      <c r="K55" s="136">
        <f>_xlfn.IFNA(IF(INDEX('OAR 340-245 Table 2 RBCs'!$E:$R,MATCH($C55,'OAR 340-245 Table 2 RBCs'!$A:$A,0),12)="--","",INDEX('OAR 340-245 Table 2 RBCs'!$E:$R,MATCH($C55,'OAR 340-245 Table 2 RBCs'!$A:$A,0),12)),"")</f>
        <v>970</v>
      </c>
      <c r="L55" s="327">
        <f>_xlfn.IFNA(IF(INDEX('OAR 340-245 Table 2 RBCs'!$E:$R,MATCH($C55,'OAR 340-245 Table 2 RBCs'!$A:$A,0),14)="--","",INDEX('OAR 340-245 Table 2 RBCs'!$E:$R,MATCH($C55,'OAR 340-245 Table 2 RBCs'!$A:$A,0),14)),"")</f>
        <v>8700</v>
      </c>
    </row>
    <row r="56" spans="1:12" ht="15.75" thickBot="1" x14ac:dyDescent="0.25">
      <c r="B56" s="139" t="s">
        <v>99</v>
      </c>
      <c r="C56" s="140" t="s">
        <v>100</v>
      </c>
      <c r="D56" s="328" t="str">
        <f>IF(ISERROR(MATCH(C56,'OAR 340-245 Table 2 RBCs'!$A:$A,0)),"No","Yes")</f>
        <v>No</v>
      </c>
      <c r="E56" s="329" t="str">
        <f>IF(D56="Yes",INDEX('OAR 340-245 Table 2 RBCs'!$D:$D,MATCH(C56,'OAR 340-245 Table 2 RBCs'!$A:$A,0)),"")</f>
        <v/>
      </c>
      <c r="F56" s="330" t="str">
        <f>_xlfn.IFNA(IF(INDEX('OAR 340-245 Table 2 RBCs'!$E:$R,MATCH($C56,'OAR 340-245 Table 2 RBCs'!$A:$A,0),2)="--","",INDEX('OAR 340-245 Table 2 RBCs'!$E:$R,MATCH($C56,'OAR 340-245 Table 2 RBCs'!$A:$A,0),2)),"")</f>
        <v/>
      </c>
      <c r="G56" s="140" t="str">
        <f>_xlfn.IFNA(IF(INDEX('OAR 340-245 Table 2 RBCs'!$E:$R,MATCH($C56,'OAR 340-245 Table 2 RBCs'!$A:$A,0),4)="--","",INDEX('OAR 340-245 Table 2 RBCs'!$E:$R,MATCH($C56,'OAR 340-245 Table 2 RBCs'!$A:$A,0),4)),"")</f>
        <v/>
      </c>
      <c r="H56" s="140" t="str">
        <f>_xlfn.IFNA(IF(INDEX('OAR 340-245 Table 2 RBCs'!$E:$R,MATCH($C56,'OAR 340-245 Table 2 RBCs'!$A:$A,0),6)="--","",INDEX('OAR 340-245 Table 2 RBCs'!$E:$R,MATCH($C56,'OAR 340-245 Table 2 RBCs'!$A:$A,0),6)),"")</f>
        <v/>
      </c>
      <c r="I56" s="140" t="str">
        <f>_xlfn.IFNA(IF(INDEX('OAR 340-245 Table 2 RBCs'!$E:$R,MATCH($C56,'OAR 340-245 Table 2 RBCs'!$A:$A,0),8)="--","",INDEX('OAR 340-245 Table 2 RBCs'!$E:$R,MATCH($C56,'OAR 340-245 Table 2 RBCs'!$A:$A,0),8)),"")</f>
        <v/>
      </c>
      <c r="J56" s="140" t="str">
        <f>_xlfn.IFNA(IF(INDEX('OAR 340-245 Table 2 RBCs'!$E:$R,MATCH($C56,'OAR 340-245 Table 2 RBCs'!$A:$A,0),10)="--","",INDEX('OAR 340-245 Table 2 RBCs'!$E:$R,MATCH($C56,'OAR 340-245 Table 2 RBCs'!$A:$A,0),10)),"")</f>
        <v/>
      </c>
      <c r="K56" s="140" t="str">
        <f>_xlfn.IFNA(IF(INDEX('OAR 340-245 Table 2 RBCs'!$E:$R,MATCH($C56,'OAR 340-245 Table 2 RBCs'!$A:$A,0),12)="--","",INDEX('OAR 340-245 Table 2 RBCs'!$E:$R,MATCH($C56,'OAR 340-245 Table 2 RBCs'!$A:$A,0),12)),"")</f>
        <v/>
      </c>
      <c r="L56" s="331" t="str">
        <f>_xlfn.IFNA(IF(INDEX('OAR 340-245 Table 2 RBCs'!$E:$R,MATCH($C56,'OAR 340-245 Table 2 RBCs'!$A:$A,0),14)="--","",INDEX('OAR 340-245 Table 2 RBCs'!$E:$R,MATCH($C56,'OAR 340-245 Table 2 RBCs'!$A:$A,0),14)),"")</f>
        <v/>
      </c>
    </row>
    <row r="57" spans="1:12" ht="15" customHeight="1" x14ac:dyDescent="0.25">
      <c r="A57" s="147">
        <v>1</v>
      </c>
      <c r="B57" s="141" t="s">
        <v>192</v>
      </c>
      <c r="C57" s="142"/>
      <c r="D57" s="142"/>
      <c r="E57" s="2"/>
      <c r="F57" s="142"/>
      <c r="G57" s="142"/>
      <c r="H57" s="142"/>
      <c r="I57" s="142"/>
      <c r="J57" s="142"/>
      <c r="K57" s="142"/>
    </row>
    <row r="58" spans="1:12" x14ac:dyDescent="0.25">
      <c r="A58" s="147">
        <v>2</v>
      </c>
      <c r="B58" s="141" t="s">
        <v>193</v>
      </c>
      <c r="C58" s="80"/>
      <c r="D58" s="80"/>
      <c r="E58" s="2"/>
      <c r="F58" s="80"/>
      <c r="G58" s="80"/>
      <c r="H58" s="80"/>
      <c r="I58" s="80"/>
      <c r="J58" s="80"/>
      <c r="K58" s="80"/>
    </row>
    <row r="59" spans="1:12" ht="13.5" x14ac:dyDescent="0.2">
      <c r="A59" s="147"/>
      <c r="B59" s="141"/>
      <c r="C59" s="80"/>
      <c r="D59" s="80"/>
      <c r="E59" s="80"/>
      <c r="F59" s="80"/>
      <c r="G59" s="80"/>
      <c r="H59" s="80"/>
      <c r="I59" s="80"/>
      <c r="J59" s="80"/>
      <c r="K59" s="80"/>
    </row>
    <row r="60" spans="1:12" ht="14.25" thickBot="1" x14ac:dyDescent="0.25">
      <c r="A60" s="147"/>
      <c r="B60" s="56" t="s">
        <v>194</v>
      </c>
      <c r="D60" s="81"/>
    </row>
    <row r="61" spans="1:12" ht="30.75" customHeight="1" x14ac:dyDescent="0.2">
      <c r="A61" s="147"/>
      <c r="B61" s="666" t="s">
        <v>1</v>
      </c>
      <c r="C61" s="681" t="s">
        <v>2</v>
      </c>
      <c r="D61" s="689" t="s">
        <v>195</v>
      </c>
      <c r="E61" s="692" t="s">
        <v>196</v>
      </c>
      <c r="F61" s="648" t="s">
        <v>1186</v>
      </c>
      <c r="G61" s="649"/>
      <c r="H61" s="649"/>
      <c r="I61" s="649"/>
      <c r="J61" s="649"/>
      <c r="K61" s="649"/>
      <c r="L61" s="650"/>
    </row>
    <row r="62" spans="1:12" ht="13.7" customHeight="1" x14ac:dyDescent="0.2">
      <c r="A62" s="147"/>
      <c r="B62" s="667"/>
      <c r="C62" s="682"/>
      <c r="D62" s="690"/>
      <c r="E62" s="693"/>
      <c r="F62" s="651" t="s">
        <v>181</v>
      </c>
      <c r="G62" s="652"/>
      <c r="H62" s="652" t="s">
        <v>182</v>
      </c>
      <c r="I62" s="652"/>
      <c r="J62" s="652"/>
      <c r="K62" s="652"/>
      <c r="L62" s="653" t="s">
        <v>183</v>
      </c>
    </row>
    <row r="63" spans="1:12" ht="27.75" thickBot="1" x14ac:dyDescent="0.25">
      <c r="A63" s="147"/>
      <c r="B63" s="668"/>
      <c r="C63" s="654"/>
      <c r="D63" s="691"/>
      <c r="E63" s="694"/>
      <c r="F63" s="148" t="s">
        <v>184</v>
      </c>
      <c r="G63" s="149" t="s">
        <v>185</v>
      </c>
      <c r="H63" s="149" t="s">
        <v>186</v>
      </c>
      <c r="I63" s="149" t="s">
        <v>187</v>
      </c>
      <c r="J63" s="149" t="s">
        <v>188</v>
      </c>
      <c r="K63" s="149" t="s">
        <v>189</v>
      </c>
      <c r="L63" s="654"/>
    </row>
    <row r="64" spans="1:12" ht="13.5" x14ac:dyDescent="0.2">
      <c r="A64" s="147"/>
      <c r="B64" s="130" t="s">
        <v>4</v>
      </c>
      <c r="C64" s="131" t="str">
        <f t="shared" ref="C64:C82" si="0">C6</f>
        <v>106-99-0</v>
      </c>
      <c r="D64" s="332">
        <f>CONVERT(INDEX('Screening Emission Calculations'!$E$4:$E$54,MATCH($C64,'Screening Emission Calculations'!$C$4:$C$54,0)),"lbm","g")/8760/3600</f>
        <v>1.7034117267243665E-5</v>
      </c>
      <c r="E64" s="86">
        <f>CONVERT(INDEX('Screening Emission Calculations'!$E$83:$E$133,MATCH($C64,'Screening Emission Calculations'!$C$83:$C$133,0)),"lbm","g")/24/3600</f>
        <v>1.4715385997843414E-3</v>
      </c>
      <c r="F64" s="84">
        <f t="shared" ref="F64:K73" si="1">IF(INDEX($B$6:$L$56,MATCH($C64,$C$6:$C$56,0),MATCH(F$63,$B$5:$L$5,0))="",0,$D64/INDEX($B$6:$L$56,MATCH($C64,$C$6:$C$56,0),MATCH(F$63,$B$5:$L$5,0)))</f>
        <v>5.1618537173465646E-4</v>
      </c>
      <c r="G64" s="85">
        <f t="shared" si="1"/>
        <v>8.5170586336218326E-6</v>
      </c>
      <c r="H64" s="85">
        <f t="shared" si="1"/>
        <v>1.9807113101446122E-5</v>
      </c>
      <c r="I64" s="85">
        <f t="shared" si="1"/>
        <v>1.9356951440049616E-6</v>
      </c>
      <c r="J64" s="85">
        <f t="shared" si="1"/>
        <v>4.258529316810916E-5</v>
      </c>
      <c r="K64" s="85">
        <f t="shared" si="1"/>
        <v>1.9356951440049616E-6</v>
      </c>
      <c r="L64" s="86">
        <f t="shared" ref="L64:L95" si="2">IF(INDEX($B$6:$L$56,MATCH($C64,$C$6:$C$56,0),MATCH(L$4,$B$4:$L$4,0))="",0,$E64/INDEX($B$6:$L$56,MATCH($C64,$C$6:$C$56,0),MATCH(L$4,$B$4:$L$4,0)))</f>
        <v>2.2296039390671839E-6</v>
      </c>
    </row>
    <row r="65" spans="1:12" ht="13.5" x14ac:dyDescent="0.2">
      <c r="A65" s="147"/>
      <c r="B65" s="132" t="s">
        <v>129</v>
      </c>
      <c r="C65" s="131" t="str">
        <f t="shared" si="0"/>
        <v>83-32-9</v>
      </c>
      <c r="D65" s="332">
        <f>CONVERT(INDEX('Screening Emission Calculations'!$E$4:$E$54,MATCH($C65,'Screening Emission Calculations'!$C$4:$C$54,0)),"lbm","g")/8760/3600</f>
        <v>5.7559826439930812E-8</v>
      </c>
      <c r="E65" s="86">
        <f>CONVERT(INDEX('Screening Emission Calculations'!$E$83:$E$133,MATCH($C65,'Screening Emission Calculations'!$C$83:$C$133,0)),"lbm","g")/24/3600</f>
        <v>4.9724623280670477E-6</v>
      </c>
      <c r="F65" s="84">
        <f t="shared" si="1"/>
        <v>0</v>
      </c>
      <c r="G65" s="85">
        <f t="shared" si="1"/>
        <v>0</v>
      </c>
      <c r="H65" s="85">
        <f t="shared" si="1"/>
        <v>0</v>
      </c>
      <c r="I65" s="85">
        <f t="shared" si="1"/>
        <v>0</v>
      </c>
      <c r="J65" s="85">
        <f t="shared" si="1"/>
        <v>0</v>
      </c>
      <c r="K65" s="85">
        <f t="shared" si="1"/>
        <v>0</v>
      </c>
      <c r="L65" s="86">
        <f t="shared" si="2"/>
        <v>0</v>
      </c>
    </row>
    <row r="66" spans="1:12" ht="13.5" x14ac:dyDescent="0.2">
      <c r="A66" s="147"/>
      <c r="B66" s="133" t="s">
        <v>130</v>
      </c>
      <c r="C66" s="131" t="str">
        <f t="shared" si="0"/>
        <v>208-96-8</v>
      </c>
      <c r="D66" s="332">
        <f>CONVERT(INDEX('Screening Emission Calculations'!$E$4:$E$54,MATCH($C66,'Screening Emission Calculations'!$C$4:$C$54,0)),"lbm","g")/8760/3600</f>
        <v>6.3452194402687318E-8</v>
      </c>
      <c r="E66" s="86">
        <f>CONVERT(INDEX('Screening Emission Calculations'!$E$83:$E$133,MATCH($C66,'Screening Emission Calculations'!$C$83:$C$133,0)),"lbm","g")/24/3600</f>
        <v>5.4814905779783425E-6</v>
      </c>
      <c r="F66" s="84">
        <f t="shared" si="1"/>
        <v>0</v>
      </c>
      <c r="G66" s="85">
        <f t="shared" si="1"/>
        <v>0</v>
      </c>
      <c r="H66" s="85">
        <f t="shared" si="1"/>
        <v>0</v>
      </c>
      <c r="I66" s="85">
        <f t="shared" si="1"/>
        <v>0</v>
      </c>
      <c r="J66" s="85">
        <f t="shared" si="1"/>
        <v>0</v>
      </c>
      <c r="K66" s="85">
        <f t="shared" si="1"/>
        <v>0</v>
      </c>
      <c r="L66" s="86">
        <f t="shared" si="2"/>
        <v>0</v>
      </c>
    </row>
    <row r="67" spans="1:12" ht="13.5" x14ac:dyDescent="0.2">
      <c r="A67" s="147"/>
      <c r="B67" s="133" t="s">
        <v>11</v>
      </c>
      <c r="C67" s="131" t="str">
        <f t="shared" si="0"/>
        <v>75-07-0</v>
      </c>
      <c r="D67" s="332">
        <f>CONVERT(INDEX('Screening Emission Calculations'!$E$4:$E$54,MATCH($C67,'Screening Emission Calculations'!$C$4:$C$54,0)),"lbm","g")/8760/3600</f>
        <v>6.137453567356006E-5</v>
      </c>
      <c r="E67" s="86">
        <f>CONVERT(INDEX('Screening Emission Calculations'!$E$83:$E$133,MATCH($C67,'Screening Emission Calculations'!$C$83:$C$133,0)),"lbm","g")/24/3600</f>
        <v>5.3020063717160735E-3</v>
      </c>
      <c r="F67" s="84">
        <f t="shared" si="1"/>
        <v>1.3638785705235567E-4</v>
      </c>
      <c r="G67" s="85">
        <f t="shared" si="1"/>
        <v>4.3838954052542901E-7</v>
      </c>
      <c r="H67" s="85">
        <f t="shared" si="1"/>
        <v>5.1145446394633386E-6</v>
      </c>
      <c r="I67" s="85">
        <f t="shared" si="1"/>
        <v>9.8991186570258158E-8</v>
      </c>
      <c r="J67" s="85">
        <f t="shared" si="1"/>
        <v>1.115900648610183E-5</v>
      </c>
      <c r="K67" s="85">
        <f t="shared" si="1"/>
        <v>9.8991186570258158E-8</v>
      </c>
      <c r="L67" s="86">
        <f t="shared" si="2"/>
        <v>1.1280864620672497E-5</v>
      </c>
    </row>
    <row r="68" spans="1:12" ht="13.5" x14ac:dyDescent="0.2">
      <c r="A68" s="147"/>
      <c r="B68" s="133" t="s">
        <v>13</v>
      </c>
      <c r="C68" s="131" t="str">
        <f t="shared" si="0"/>
        <v>107-02-8</v>
      </c>
      <c r="D68" s="332">
        <f>CONVERT(INDEX('Screening Emission Calculations'!$E$4:$E$54,MATCH($C68,'Screening Emission Calculations'!$C$4:$C$54,0)),"lbm","g")/8760/3600</f>
        <v>2.6561939988940214E-6</v>
      </c>
      <c r="E68" s="86">
        <f>CONVERT(INDEX('Screening Emission Calculations'!$E$83:$E$133,MATCH($C68,'Screening Emission Calculations'!$C$83:$C$133,0)),"lbm","g")/24/3600</f>
        <v>2.2946255074834021E-4</v>
      </c>
      <c r="F68" s="84">
        <f t="shared" si="1"/>
        <v>0</v>
      </c>
      <c r="G68" s="85">
        <f t="shared" si="1"/>
        <v>7.5891257111257756E-6</v>
      </c>
      <c r="H68" s="85">
        <f t="shared" si="1"/>
        <v>0</v>
      </c>
      <c r="I68" s="85">
        <f t="shared" si="1"/>
        <v>1.7707959992626808E-6</v>
      </c>
      <c r="J68" s="85">
        <f t="shared" si="1"/>
        <v>0</v>
      </c>
      <c r="K68" s="85">
        <f t="shared" si="1"/>
        <v>1.7707959992626808E-6</v>
      </c>
      <c r="L68" s="86">
        <f t="shared" si="2"/>
        <v>3.3255442137440611E-5</v>
      </c>
    </row>
    <row r="69" spans="1:12" ht="13.5" x14ac:dyDescent="0.2">
      <c r="A69" s="147"/>
      <c r="B69" s="133" t="s">
        <v>15</v>
      </c>
      <c r="C69" s="131" t="str">
        <f t="shared" si="0"/>
        <v>7664-41-7</v>
      </c>
      <c r="D69" s="332">
        <f>CONVERT(INDEX('Screening Emission Calculations'!$E$4:$E$54,MATCH($C69,'Screening Emission Calculations'!$C$4:$C$54,0)),"lbm","g")/8760/3600</f>
        <v>6.1675674865550496E-5</v>
      </c>
      <c r="E69" s="86">
        <f>CONVERT(INDEX('Screening Emission Calculations'!$E$83:$E$133,MATCH($C69,'Screening Emission Calculations'!$C$83:$C$133,0)),"lbm","g")/24/3600</f>
        <v>5.4027891182222227E-3</v>
      </c>
      <c r="F69" s="84">
        <f t="shared" si="1"/>
        <v>0</v>
      </c>
      <c r="G69" s="85">
        <f t="shared" si="1"/>
        <v>1.23351349731101E-7</v>
      </c>
      <c r="H69" s="85">
        <f t="shared" si="1"/>
        <v>0</v>
      </c>
      <c r="I69" s="85">
        <f t="shared" si="1"/>
        <v>2.8034397666159317E-8</v>
      </c>
      <c r="J69" s="85">
        <f t="shared" si="1"/>
        <v>0</v>
      </c>
      <c r="K69" s="85">
        <f t="shared" si="1"/>
        <v>2.8034397666159317E-8</v>
      </c>
      <c r="L69" s="86">
        <f t="shared" si="2"/>
        <v>4.5023242651851854E-6</v>
      </c>
    </row>
    <row r="70" spans="1:12" ht="13.5" x14ac:dyDescent="0.2">
      <c r="A70" s="147"/>
      <c r="B70" s="133" t="s">
        <v>132</v>
      </c>
      <c r="C70" s="131" t="str">
        <f t="shared" si="0"/>
        <v>120-12-7</v>
      </c>
      <c r="D70" s="332">
        <f>CONVERT(INDEX('Screening Emission Calculations'!$E$4:$E$54,MATCH($C70,'Screening Emission Calculations'!$C$4:$C$54,0)),"lbm","g")/8760/3600</f>
        <v>3.5422972561977743E-8</v>
      </c>
      <c r="E70" s="86">
        <f>CONVERT(INDEX('Screening Emission Calculations'!$E$83:$E$133,MATCH($C70,'Screening Emission Calculations'!$C$83:$C$133,0)),"lbm","g")/24/3600</f>
        <v>3.0601099326872598E-6</v>
      </c>
      <c r="F70" s="84">
        <f t="shared" si="1"/>
        <v>0</v>
      </c>
      <c r="G70" s="85">
        <f t="shared" si="1"/>
        <v>0</v>
      </c>
      <c r="H70" s="85">
        <f t="shared" si="1"/>
        <v>0</v>
      </c>
      <c r="I70" s="85">
        <f t="shared" si="1"/>
        <v>0</v>
      </c>
      <c r="J70" s="85">
        <f t="shared" si="1"/>
        <v>0</v>
      </c>
      <c r="K70" s="85">
        <f t="shared" si="1"/>
        <v>0</v>
      </c>
      <c r="L70" s="86">
        <f t="shared" si="2"/>
        <v>0</v>
      </c>
    </row>
    <row r="71" spans="1:12" ht="13.5" x14ac:dyDescent="0.2">
      <c r="A71" s="147"/>
      <c r="B71" s="133" t="s">
        <v>19</v>
      </c>
      <c r="C71" s="131" t="str">
        <f t="shared" si="0"/>
        <v>7440-36-0</v>
      </c>
      <c r="D71" s="332">
        <f>CONVERT(INDEX('Screening Emission Calculations'!$E$4:$E$54,MATCH($C71,'Screening Emission Calculations'!$C$4:$C$54,0)),"lbm","g")/8760/3600</f>
        <v>2.4530518498623476E-8</v>
      </c>
      <c r="E71" s="86">
        <f>CONVERT(INDEX('Screening Emission Calculations'!$E$83:$E$133,MATCH($C71,'Screening Emission Calculations'!$C$83:$C$133,0)),"lbm","g")/24/3600</f>
        <v>2.1488734204794169E-6</v>
      </c>
      <c r="F71" s="84">
        <f t="shared" si="1"/>
        <v>0</v>
      </c>
      <c r="G71" s="85">
        <f t="shared" si="1"/>
        <v>8.1768394995411594E-8</v>
      </c>
      <c r="H71" s="85">
        <f t="shared" si="1"/>
        <v>0</v>
      </c>
      <c r="I71" s="85">
        <f t="shared" si="1"/>
        <v>1.886962961432575E-8</v>
      </c>
      <c r="J71" s="85">
        <f t="shared" si="1"/>
        <v>0</v>
      </c>
      <c r="K71" s="85">
        <f t="shared" si="1"/>
        <v>1.886962961432575E-8</v>
      </c>
      <c r="L71" s="86">
        <f t="shared" si="2"/>
        <v>2.1488734204794169E-6</v>
      </c>
    </row>
    <row r="72" spans="1:12" ht="13.5" x14ac:dyDescent="0.2">
      <c r="A72" s="147"/>
      <c r="B72" s="133" t="s">
        <v>21</v>
      </c>
      <c r="C72" s="131" t="str">
        <f t="shared" si="0"/>
        <v>7440-38-2</v>
      </c>
      <c r="D72" s="332">
        <f>CONVERT(INDEX('Screening Emission Calculations'!$E$4:$E$54,MATCH($C72,'Screening Emission Calculations'!$C$4:$C$54,0)),"lbm","g")/8760/3600</f>
        <v>2.1343844721984701E-8</v>
      </c>
      <c r="E72" s="86">
        <f>CONVERT(INDEX('Screening Emission Calculations'!$E$83:$E$133,MATCH($C72,'Screening Emission Calculations'!$C$83:$C$133,0)),"lbm","g")/24/3600</f>
        <v>1.8697207976458599E-6</v>
      </c>
      <c r="F72" s="84">
        <f t="shared" si="1"/>
        <v>8.8932686341602917E-4</v>
      </c>
      <c r="G72" s="85">
        <f t="shared" si="1"/>
        <v>1.2555202777638058E-4</v>
      </c>
      <c r="H72" s="85">
        <f t="shared" si="1"/>
        <v>1.6418342093834388E-5</v>
      </c>
      <c r="I72" s="85">
        <f t="shared" si="1"/>
        <v>8.8932686341602938E-6</v>
      </c>
      <c r="J72" s="85">
        <f t="shared" si="1"/>
        <v>3.4425556003201131E-5</v>
      </c>
      <c r="K72" s="85">
        <f t="shared" si="1"/>
        <v>8.8932686341602938E-6</v>
      </c>
      <c r="L72" s="86">
        <f t="shared" si="2"/>
        <v>9.3486039882292997E-6</v>
      </c>
    </row>
    <row r="73" spans="1:12" ht="13.5" x14ac:dyDescent="0.2">
      <c r="A73" s="147"/>
      <c r="B73" s="133" t="s">
        <v>23</v>
      </c>
      <c r="C73" s="131" t="str">
        <f t="shared" si="0"/>
        <v>7440-39-3</v>
      </c>
      <c r="D73" s="332">
        <f>CONVERT(INDEX('Screening Emission Calculations'!$E$4:$E$54,MATCH($C73,'Screening Emission Calculations'!$C$4:$C$54,0)),"lbm","g")/8760/3600</f>
        <v>2.8825155814254296E-8</v>
      </c>
      <c r="E73" s="86">
        <f>CONVERT(INDEX('Screening Emission Calculations'!$E$83:$E$133,MATCH($C73,'Screening Emission Calculations'!$C$83:$C$133,0)),"lbm","g")/24/3600</f>
        <v>2.5250836493286764E-6</v>
      </c>
      <c r="F73" s="84">
        <f t="shared" si="1"/>
        <v>0</v>
      </c>
      <c r="G73" s="85">
        <f t="shared" si="1"/>
        <v>0</v>
      </c>
      <c r="H73" s="85">
        <f t="shared" si="1"/>
        <v>0</v>
      </c>
      <c r="I73" s="85">
        <f t="shared" si="1"/>
        <v>0</v>
      </c>
      <c r="J73" s="85">
        <f t="shared" si="1"/>
        <v>0</v>
      </c>
      <c r="K73" s="85">
        <f t="shared" si="1"/>
        <v>0</v>
      </c>
      <c r="L73" s="86">
        <f t="shared" si="2"/>
        <v>0</v>
      </c>
    </row>
    <row r="74" spans="1:12" ht="13.5" x14ac:dyDescent="0.2">
      <c r="A74" s="147"/>
      <c r="B74" s="133" t="s">
        <v>133</v>
      </c>
      <c r="C74" s="131" t="str">
        <f t="shared" si="0"/>
        <v>56-55-3</v>
      </c>
      <c r="D74" s="332">
        <f>CONVERT(INDEX('Screening Emission Calculations'!$E$4:$E$54,MATCH($C74,'Screening Emission Calculations'!$C$4:$C$54,0)),"lbm","g")/8760/3600</f>
        <v>3.8033974252094569E-9</v>
      </c>
      <c r="E74" s="86">
        <f>CONVERT(INDEX('Screening Emission Calculations'!$E$83:$E$133,MATCH($C74,'Screening Emission Calculations'!$C$83:$C$133,0)),"lbm","g")/24/3600</f>
        <v>3.2856684227944942E-7</v>
      </c>
      <c r="F74" s="84">
        <f t="shared" ref="F74:K83" si="3">IF(INDEX($B$6:$L$56,MATCH($C74,$C$6:$C$56,0),MATCH(F$63,$B$5:$L$5,0))="",0,$D74/INDEX($B$6:$L$56,MATCH($C74,$C$6:$C$56,0),MATCH(F$63,$B$5:$L$5,0)))</f>
        <v>1.8111416310521223E-5</v>
      </c>
      <c r="G74" s="85">
        <f t="shared" si="3"/>
        <v>0</v>
      </c>
      <c r="H74" s="85">
        <f t="shared" si="3"/>
        <v>4.8761505451403293E-7</v>
      </c>
      <c r="I74" s="85">
        <f t="shared" si="3"/>
        <v>0</v>
      </c>
      <c r="J74" s="85">
        <f t="shared" si="3"/>
        <v>2.5355982834729713E-7</v>
      </c>
      <c r="K74" s="85">
        <f t="shared" si="3"/>
        <v>0</v>
      </c>
      <c r="L74" s="86">
        <f t="shared" si="2"/>
        <v>0</v>
      </c>
    </row>
    <row r="75" spans="1:12" ht="13.5" x14ac:dyDescent="0.2">
      <c r="A75" s="147"/>
      <c r="B75" s="133" t="s">
        <v>27</v>
      </c>
      <c r="C75" s="131" t="str">
        <f t="shared" si="0"/>
        <v>71-43-2</v>
      </c>
      <c r="D75" s="332">
        <f>CONVERT(INDEX('Screening Emission Calculations'!$E$4:$E$54,MATCH($C75,'Screening Emission Calculations'!$C$4:$C$54,0)),"lbm","g")/8760/3600</f>
        <v>1.4597313923125548E-5</v>
      </c>
      <c r="E75" s="86">
        <f>CONVERT(INDEX('Screening Emission Calculations'!$E$83:$E$133,MATCH($C75,'Screening Emission Calculations'!$C$83:$C$133,0)),"lbm","g")/24/3600</f>
        <v>1.2610287080948612E-3</v>
      </c>
      <c r="F75" s="84">
        <f t="shared" si="3"/>
        <v>1.1228703017788882E-4</v>
      </c>
      <c r="G75" s="85">
        <f t="shared" si="3"/>
        <v>4.8657713077085162E-6</v>
      </c>
      <c r="H75" s="85">
        <f t="shared" si="3"/>
        <v>4.4234284615531969E-6</v>
      </c>
      <c r="I75" s="85">
        <f t="shared" si="3"/>
        <v>1.1228703017788883E-6</v>
      </c>
      <c r="J75" s="85">
        <f t="shared" si="3"/>
        <v>9.7315426154170325E-6</v>
      </c>
      <c r="K75" s="85">
        <f t="shared" si="3"/>
        <v>1.1228703017788883E-6</v>
      </c>
      <c r="L75" s="86">
        <f t="shared" si="2"/>
        <v>4.3483748554995214E-5</v>
      </c>
    </row>
    <row r="76" spans="1:12" x14ac:dyDescent="0.2">
      <c r="A76" s="147"/>
      <c r="B76" s="133" t="s">
        <v>190</v>
      </c>
      <c r="C76" s="131" t="str">
        <f t="shared" si="0"/>
        <v>50-32-8</v>
      </c>
      <c r="D76" s="332">
        <f>CONVERT(INDEX('Screening Emission Calculations'!$E$4:$E$54,MATCH($C76,'Screening Emission Calculations'!$C$4:$C$54,0)),"lbm","g")/8760/3600</f>
        <v>1.1271380865569706E-9</v>
      </c>
      <c r="E76" s="86">
        <f>CONVERT(INDEX('Screening Emission Calculations'!$E$83:$E$133,MATCH($C76,'Screening Emission Calculations'!$C$83:$C$133,0)),"lbm","g")/24/3600</f>
        <v>9.7370892523157655E-8</v>
      </c>
      <c r="F76" s="84">
        <f t="shared" si="3"/>
        <v>2.621251364085978E-5</v>
      </c>
      <c r="G76" s="85">
        <f t="shared" si="3"/>
        <v>5.635690432784853E-7</v>
      </c>
      <c r="H76" s="85">
        <f t="shared" si="3"/>
        <v>7.0446130409810655E-7</v>
      </c>
      <c r="I76" s="85">
        <f t="shared" si="3"/>
        <v>1.2808387347238301E-7</v>
      </c>
      <c r="J76" s="85">
        <f t="shared" si="3"/>
        <v>3.7571269551899017E-7</v>
      </c>
      <c r="K76" s="85">
        <f t="shared" si="3"/>
        <v>1.2808387347238301E-7</v>
      </c>
      <c r="L76" s="86">
        <f t="shared" si="2"/>
        <v>4.868544626157883E-5</v>
      </c>
    </row>
    <row r="77" spans="1:12" ht="13.5" x14ac:dyDescent="0.2">
      <c r="A77" s="147"/>
      <c r="B77" s="133" t="s">
        <v>135</v>
      </c>
      <c r="C77" s="131" t="str">
        <f t="shared" si="0"/>
        <v>205-99-2</v>
      </c>
      <c r="D77" s="332">
        <f>CONVERT(INDEX('Screening Emission Calculations'!$E$4:$E$54,MATCH($C77,'Screening Emission Calculations'!$C$4:$C$54,0)),"lbm","g")/8760/3600</f>
        <v>3.4752716246067631E-9</v>
      </c>
      <c r="E77" s="86">
        <f>CONVERT(INDEX('Screening Emission Calculations'!$E$83:$E$133,MATCH($C77,'Screening Emission Calculations'!$C$83:$C$133,0)),"lbm","g")/24/3600</f>
        <v>3.0022080158965576E-7</v>
      </c>
      <c r="F77" s="84">
        <f t="shared" si="3"/>
        <v>6.5571162728429486E-5</v>
      </c>
      <c r="G77" s="85">
        <f t="shared" si="3"/>
        <v>0</v>
      </c>
      <c r="H77" s="85">
        <f t="shared" si="3"/>
        <v>1.7376358123033816E-6</v>
      </c>
      <c r="I77" s="85">
        <f t="shared" si="3"/>
        <v>0</v>
      </c>
      <c r="J77" s="85">
        <f t="shared" si="3"/>
        <v>9.1454516437020086E-7</v>
      </c>
      <c r="K77" s="85">
        <f t="shared" si="3"/>
        <v>0</v>
      </c>
      <c r="L77" s="86">
        <f t="shared" si="2"/>
        <v>0</v>
      </c>
    </row>
    <row r="78" spans="1:12" ht="13.5" x14ac:dyDescent="0.2">
      <c r="A78" s="147"/>
      <c r="B78" s="133" t="s">
        <v>136</v>
      </c>
      <c r="C78" s="131" t="str">
        <f t="shared" si="0"/>
        <v>192-97-2</v>
      </c>
      <c r="D78" s="332">
        <f>CONVERT(INDEX('Screening Emission Calculations'!$E$4:$E$54,MATCH($C78,'Screening Emission Calculations'!$C$4:$C$54,0)),"lbm","g")/8760/3600</f>
        <v>2.5753559405743051E-9</v>
      </c>
      <c r="E78" s="86">
        <f>CONVERT(INDEX('Screening Emission Calculations'!$E$83:$E$133,MATCH($C78,'Screening Emission Calculations'!$C$83:$C$133,0)),"lbm","g")/24/3600</f>
        <v>2.2247913497851742E-7</v>
      </c>
      <c r="F78" s="84">
        <f t="shared" si="3"/>
        <v>0</v>
      </c>
      <c r="G78" s="85">
        <f t="shared" si="3"/>
        <v>0</v>
      </c>
      <c r="H78" s="85">
        <f t="shared" si="3"/>
        <v>0</v>
      </c>
      <c r="I78" s="85">
        <f t="shared" si="3"/>
        <v>0</v>
      </c>
      <c r="J78" s="85">
        <f t="shared" si="3"/>
        <v>0</v>
      </c>
      <c r="K78" s="85">
        <f t="shared" si="3"/>
        <v>0</v>
      </c>
      <c r="L78" s="86">
        <f t="shared" si="2"/>
        <v>0</v>
      </c>
    </row>
    <row r="79" spans="1:12" ht="13.5" x14ac:dyDescent="0.2">
      <c r="A79" s="147"/>
      <c r="B79" s="133" t="s">
        <v>137</v>
      </c>
      <c r="C79" s="131" t="str">
        <f t="shared" si="0"/>
        <v>191-24-2</v>
      </c>
      <c r="D79" s="332">
        <f>CONVERT(INDEX('Screening Emission Calculations'!$E$4:$E$54,MATCH($C79,'Screening Emission Calculations'!$C$4:$C$54,0)),"lbm","g")/8760/3600</f>
        <v>1.7139345414068523E-9</v>
      </c>
      <c r="E79" s="86">
        <f>CONVERT(INDEX('Screening Emission Calculations'!$E$83:$E$133,MATCH($C79,'Screening Emission Calculations'!$C$83:$C$133,0)),"lbm","g")/24/3600</f>
        <v>1.4806290197578101E-7</v>
      </c>
      <c r="F79" s="84">
        <f t="shared" si="3"/>
        <v>3.6466692370358559E-7</v>
      </c>
      <c r="G79" s="85">
        <f t="shared" si="3"/>
        <v>0</v>
      </c>
      <c r="H79" s="85">
        <f t="shared" si="3"/>
        <v>1.0081967890628542E-8</v>
      </c>
      <c r="I79" s="85">
        <f t="shared" si="3"/>
        <v>0</v>
      </c>
      <c r="J79" s="85">
        <f t="shared" si="3"/>
        <v>5.0409839453142709E-9</v>
      </c>
      <c r="K79" s="85">
        <f t="shared" si="3"/>
        <v>0</v>
      </c>
      <c r="L79" s="86">
        <f t="shared" si="2"/>
        <v>0</v>
      </c>
    </row>
    <row r="80" spans="1:12" ht="13.5" x14ac:dyDescent="0.2">
      <c r="A80" s="147"/>
      <c r="B80" s="133" t="s">
        <v>138</v>
      </c>
      <c r="C80" s="131" t="str">
        <f t="shared" si="0"/>
        <v>207-08-9</v>
      </c>
      <c r="D80" s="332">
        <f>CONVERT(INDEX('Screening Emission Calculations'!$E$4:$E$54,MATCH($C80,'Screening Emission Calculations'!$C$4:$C$54,0)),"lbm","g")/8760/3600</f>
        <v>1.0228587005805173E-9</v>
      </c>
      <c r="E80" s="86">
        <f>CONVERT(INDEX('Screening Emission Calculations'!$E$83:$E$133,MATCH($C80,'Screening Emission Calculations'!$C$83:$C$133,0)),"lbm","g")/24/3600</f>
        <v>8.8362433838818001E-8</v>
      </c>
      <c r="F80" s="84">
        <f t="shared" si="3"/>
        <v>7.3061335755751243E-7</v>
      </c>
      <c r="G80" s="85">
        <f t="shared" si="3"/>
        <v>0</v>
      </c>
      <c r="H80" s="85">
        <f t="shared" si="3"/>
        <v>1.967035962654841E-8</v>
      </c>
      <c r="I80" s="85">
        <f t="shared" si="3"/>
        <v>0</v>
      </c>
      <c r="J80" s="85">
        <f t="shared" si="3"/>
        <v>1.0228587005805173E-8</v>
      </c>
      <c r="K80" s="85">
        <f t="shared" si="3"/>
        <v>0</v>
      </c>
      <c r="L80" s="86">
        <f t="shared" si="2"/>
        <v>0</v>
      </c>
    </row>
    <row r="81" spans="1:12" ht="13.5" x14ac:dyDescent="0.2">
      <c r="A81" s="147"/>
      <c r="B81" s="133" t="s">
        <v>39</v>
      </c>
      <c r="C81" s="131" t="str">
        <f t="shared" si="0"/>
        <v>7440-41-7</v>
      </c>
      <c r="D81" s="332">
        <f>CONVERT(INDEX('Screening Emission Calculations'!$E$4:$E$54,MATCH($C81,'Screening Emission Calculations'!$C$4:$C$54,0)),"lbm","g")/8760/3600</f>
        <v>3.6780645473996427E-10</v>
      </c>
      <c r="E81" s="86">
        <f>CONVERT(INDEX('Screening Emission Calculations'!$E$83:$E$133,MATCH($C81,'Screening Emission Calculations'!$C$83:$C$133,0)),"lbm","g")/24/3600</f>
        <v>3.2219845435220868E-8</v>
      </c>
      <c r="F81" s="84">
        <f t="shared" si="3"/>
        <v>8.7572965414277199E-7</v>
      </c>
      <c r="G81" s="85">
        <f t="shared" si="3"/>
        <v>5.2543779248566321E-8</v>
      </c>
      <c r="H81" s="85">
        <f t="shared" si="3"/>
        <v>3.3436950430905844E-8</v>
      </c>
      <c r="I81" s="85">
        <f t="shared" si="3"/>
        <v>1.186472434645046E-8</v>
      </c>
      <c r="J81" s="85">
        <f t="shared" si="3"/>
        <v>7.3561290947992855E-8</v>
      </c>
      <c r="K81" s="85">
        <f t="shared" si="3"/>
        <v>1.186472434645046E-8</v>
      </c>
      <c r="L81" s="86">
        <f t="shared" si="2"/>
        <v>1.6109922717610434E-6</v>
      </c>
    </row>
    <row r="82" spans="1:12" ht="13.5" x14ac:dyDescent="0.2">
      <c r="A82" s="147"/>
      <c r="B82" s="133" t="s">
        <v>41</v>
      </c>
      <c r="C82" s="131" t="str">
        <f t="shared" si="0"/>
        <v>7440-43-9</v>
      </c>
      <c r="D82" s="332">
        <f>CONVERT(INDEX('Screening Emission Calculations'!$E$4:$E$54,MATCH($C82,'Screening Emission Calculations'!$C$4:$C$54,0)),"lbm","g")/8760/3600</f>
        <v>6.2275698835201284E-9</v>
      </c>
      <c r="E82" s="86">
        <f>CONVERT(INDEX('Screening Emission Calculations'!$E$83:$E$133,MATCH($C82,'Screening Emission Calculations'!$C$83:$C$133,0)),"lbm","g")/24/3600</f>
        <v>5.4553512179636326E-7</v>
      </c>
      <c r="F82" s="84">
        <f t="shared" si="3"/>
        <v>1.1120660506285945E-5</v>
      </c>
      <c r="G82" s="85">
        <f t="shared" si="3"/>
        <v>1.2455139767040257E-6</v>
      </c>
      <c r="H82" s="85">
        <f t="shared" si="3"/>
        <v>4.4482642025143774E-7</v>
      </c>
      <c r="I82" s="85">
        <f t="shared" si="3"/>
        <v>1.6831269955459808E-7</v>
      </c>
      <c r="J82" s="85">
        <f t="shared" si="3"/>
        <v>9.2948804231643709E-7</v>
      </c>
      <c r="K82" s="85">
        <f t="shared" si="3"/>
        <v>1.6831269955459808E-7</v>
      </c>
      <c r="L82" s="86">
        <f t="shared" si="2"/>
        <v>1.8184504059878774E-5</v>
      </c>
    </row>
    <row r="83" spans="1:12" ht="13.5" x14ac:dyDescent="0.2">
      <c r="A83" s="147"/>
      <c r="B83" s="133" t="s">
        <v>43</v>
      </c>
      <c r="C83" s="134" t="s">
        <v>44</v>
      </c>
      <c r="D83" s="332">
        <f>CONVERT(INDEX('Screening Emission Calculations'!$E$4:$E$54,MATCH($C83,'Screening Emission Calculations'!$C$4:$C$54,0)),"lbm","g")/8760/3600</f>
        <v>1.5670761055421953E-8</v>
      </c>
      <c r="E83" s="86">
        <f>CONVERT(INDEX('Screening Emission Calculations'!$E$83:$E$133,MATCH($C83,'Screening Emission Calculations'!$C$83:$C$133,0)),"lbm","g")/24/3600</f>
        <v>1.3537613613471399E-6</v>
      </c>
      <c r="F83" s="84">
        <f t="shared" si="3"/>
        <v>0</v>
      </c>
      <c r="G83" s="85">
        <f t="shared" si="3"/>
        <v>3.1341522110843908E-10</v>
      </c>
      <c r="H83" s="85">
        <f t="shared" si="3"/>
        <v>0</v>
      </c>
      <c r="I83" s="85">
        <f t="shared" si="3"/>
        <v>7.1230732070099788E-11</v>
      </c>
      <c r="J83" s="85">
        <f t="shared" si="3"/>
        <v>0</v>
      </c>
      <c r="K83" s="85">
        <f t="shared" si="3"/>
        <v>7.1230732070099788E-11</v>
      </c>
      <c r="L83" s="86">
        <f t="shared" si="2"/>
        <v>0</v>
      </c>
    </row>
    <row r="84" spans="1:12" ht="13.5" x14ac:dyDescent="0.2">
      <c r="A84" s="147"/>
      <c r="B84" s="133" t="s">
        <v>139</v>
      </c>
      <c r="C84" s="131" t="str">
        <f t="shared" ref="C84:C105" si="4">C26</f>
        <v>218-01-9</v>
      </c>
      <c r="D84" s="332">
        <f>CONVERT(INDEX('Screening Emission Calculations'!$E$4:$E$54,MATCH($C84,'Screening Emission Calculations'!$C$4:$C$54,0)),"lbm","g")/8760/3600</f>
        <v>5.2496981491472293E-9</v>
      </c>
      <c r="E84" s="86">
        <f>CONVERT(INDEX('Screening Emission Calculations'!$E$83:$E$133,MATCH($C84,'Screening Emission Calculations'!$C$83:$C$133,0)),"lbm","g")/24/3600</f>
        <v>4.5350946823301915E-7</v>
      </c>
      <c r="F84" s="84">
        <f t="shared" ref="F84:K93" si="5">IF(INDEX($B$6:$L$56,MATCH($C84,$C$6:$C$56,0),MATCH(F$63,$B$5:$L$5,0))="",0,$D84/INDEX($B$6:$L$56,MATCH($C84,$C$6:$C$56,0),MATCH(F$63,$B$5:$L$5,0)))</f>
        <v>1.2208600346854022E-5</v>
      </c>
      <c r="G84" s="85">
        <f t="shared" si="5"/>
        <v>0</v>
      </c>
      <c r="H84" s="85">
        <f t="shared" si="5"/>
        <v>3.2810613432170184E-7</v>
      </c>
      <c r="I84" s="85">
        <f t="shared" si="5"/>
        <v>0</v>
      </c>
      <c r="J84" s="85">
        <f t="shared" si="5"/>
        <v>1.7498993830490766E-7</v>
      </c>
      <c r="K84" s="85">
        <f t="shared" si="5"/>
        <v>0</v>
      </c>
      <c r="L84" s="86">
        <f t="shared" si="2"/>
        <v>0</v>
      </c>
    </row>
    <row r="85" spans="1:12" ht="13.5" x14ac:dyDescent="0.2">
      <c r="A85" s="147"/>
      <c r="B85" s="133" t="s">
        <v>47</v>
      </c>
      <c r="C85" s="131" t="str">
        <f t="shared" si="4"/>
        <v>7440-48-4</v>
      </c>
      <c r="D85" s="332">
        <f>CONVERT(INDEX('Screening Emission Calculations'!$E$4:$E$54,MATCH($C85,'Screening Emission Calculations'!$C$4:$C$54,0)),"lbm","g")/8760/3600</f>
        <v>1.2143275657745801E-9</v>
      </c>
      <c r="E85" s="86">
        <f>CONVERT(INDEX('Screening Emission Calculations'!$E$83:$E$133,MATCH($C85,'Screening Emission Calculations'!$C$83:$C$133,0)),"lbm","g")/24/3600</f>
        <v>1.0637509476185322E-7</v>
      </c>
      <c r="F85" s="84">
        <f t="shared" si="5"/>
        <v>0</v>
      </c>
      <c r="G85" s="85">
        <f t="shared" si="5"/>
        <v>1.21432756577458E-8</v>
      </c>
      <c r="H85" s="85">
        <f t="shared" si="5"/>
        <v>0</v>
      </c>
      <c r="I85" s="85">
        <f t="shared" si="5"/>
        <v>2.7598353767604091E-9</v>
      </c>
      <c r="J85" s="85">
        <f t="shared" si="5"/>
        <v>0</v>
      </c>
      <c r="K85" s="85">
        <f t="shared" si="5"/>
        <v>2.7598353767604091E-9</v>
      </c>
      <c r="L85" s="86">
        <f t="shared" si="2"/>
        <v>0</v>
      </c>
    </row>
    <row r="86" spans="1:12" ht="13.5" x14ac:dyDescent="0.2">
      <c r="A86" s="147"/>
      <c r="B86" s="133" t="s">
        <v>49</v>
      </c>
      <c r="C86" s="131" t="str">
        <f t="shared" si="4"/>
        <v>7440-50-8</v>
      </c>
      <c r="D86" s="332">
        <f>CONVERT(INDEX('Screening Emission Calculations'!$E$4:$E$54,MATCH($C86,'Screening Emission Calculations'!$C$4:$C$54,0)),"lbm","g")/8760/3600</f>
        <v>3.8711909803642808E-8</v>
      </c>
      <c r="E86" s="86">
        <f>CONVERT(INDEX('Screening Emission Calculations'!$E$83:$E$133,MATCH($C86,'Screening Emission Calculations'!$C$83:$C$133,0)),"lbm","g")/24/3600</f>
        <v>3.3911632987991107E-6</v>
      </c>
      <c r="F86" s="84">
        <f t="shared" si="5"/>
        <v>0</v>
      </c>
      <c r="G86" s="85">
        <f t="shared" si="5"/>
        <v>0</v>
      </c>
      <c r="H86" s="85">
        <f t="shared" si="5"/>
        <v>0</v>
      </c>
      <c r="I86" s="85">
        <f t="shared" si="5"/>
        <v>0</v>
      </c>
      <c r="J86" s="85">
        <f t="shared" si="5"/>
        <v>0</v>
      </c>
      <c r="K86" s="85">
        <f t="shared" si="5"/>
        <v>0</v>
      </c>
      <c r="L86" s="86">
        <f t="shared" si="2"/>
        <v>3.3911632987991109E-8</v>
      </c>
    </row>
    <row r="87" spans="1:12" ht="13.5" x14ac:dyDescent="0.2">
      <c r="A87" s="147"/>
      <c r="B87" s="135" t="s">
        <v>140</v>
      </c>
      <c r="C87" s="131" t="str">
        <f t="shared" si="4"/>
        <v>53-70-3</v>
      </c>
      <c r="D87" s="332">
        <f>CONVERT(INDEX('Screening Emission Calculations'!$E$4:$E$54,MATCH($C87,'Screening Emission Calculations'!$C$4:$C$54,0)),"lbm","g")/8760/3600</f>
        <v>8.1251851456466845E-11</v>
      </c>
      <c r="E87" s="86">
        <f>CONVERT(INDEX('Screening Emission Calculations'!$E$83:$E$133,MATCH($C87,'Screening Emission Calculations'!$C$83:$C$133,0)),"lbm","g")/24/3600</f>
        <v>7.0191624165965199E-9</v>
      </c>
      <c r="F87" s="84">
        <f t="shared" si="5"/>
        <v>1.8895779408480658E-5</v>
      </c>
      <c r="G87" s="85">
        <f t="shared" si="5"/>
        <v>0</v>
      </c>
      <c r="H87" s="85">
        <f t="shared" si="5"/>
        <v>5.0782407160291774E-7</v>
      </c>
      <c r="I87" s="85">
        <f t="shared" si="5"/>
        <v>0</v>
      </c>
      <c r="J87" s="85">
        <f t="shared" si="5"/>
        <v>2.708395048548895E-7</v>
      </c>
      <c r="K87" s="85">
        <f t="shared" si="5"/>
        <v>0</v>
      </c>
      <c r="L87" s="86">
        <f t="shared" si="2"/>
        <v>0</v>
      </c>
    </row>
    <row r="88" spans="1:12" ht="13.5" x14ac:dyDescent="0.2">
      <c r="A88" s="147"/>
      <c r="B88" s="133" t="s">
        <v>191</v>
      </c>
      <c r="C88" s="131">
        <f t="shared" si="4"/>
        <v>200</v>
      </c>
      <c r="D88" s="332">
        <f>CONVERT(INDEX('Screening Emission Calculations'!$E$4:$E$54,MATCH($C88,'Screening Emission Calculations'!$C$4:$C$54,0)),"lbm","g")/8760/3600</f>
        <v>1.8319119673788262E-3</v>
      </c>
      <c r="E88" s="86">
        <f>CONVERT(INDEX('Screening Emission Calculations'!$E$83:$E$133,MATCH($C88,'Screening Emission Calculations'!$C$83:$C$133,0)),"lbm","g")/24/3600</f>
        <v>0.15825470314148071</v>
      </c>
      <c r="F88" s="84">
        <f t="shared" si="5"/>
        <v>1.831911967378826E-2</v>
      </c>
      <c r="G88" s="85">
        <f t="shared" si="5"/>
        <v>3.6638239347576527E-4</v>
      </c>
      <c r="H88" s="85">
        <f t="shared" si="5"/>
        <v>7.0458152591493315E-4</v>
      </c>
      <c r="I88" s="85">
        <f t="shared" si="5"/>
        <v>8.3268725789946646E-5</v>
      </c>
      <c r="J88" s="85">
        <f t="shared" si="5"/>
        <v>1.5265933061490218E-3</v>
      </c>
      <c r="K88" s="85">
        <f t="shared" si="5"/>
        <v>8.3268725789946646E-5</v>
      </c>
      <c r="L88" s="86">
        <f t="shared" si="2"/>
        <v>0</v>
      </c>
    </row>
    <row r="89" spans="1:12" ht="13.5" x14ac:dyDescent="0.2">
      <c r="A89" s="147"/>
      <c r="B89" s="133" t="s">
        <v>53</v>
      </c>
      <c r="C89" s="131" t="str">
        <f t="shared" si="4"/>
        <v>100-41-4</v>
      </c>
      <c r="D89" s="332">
        <f>CONVERT(INDEX('Screening Emission Calculations'!$E$4:$E$54,MATCH($C89,'Screening Emission Calculations'!$C$4:$C$54,0)),"lbm","g")/8760/3600</f>
        <v>8.5405647752049634E-7</v>
      </c>
      <c r="E89" s="86">
        <f>CONVERT(INDEX('Screening Emission Calculations'!$E$83:$E$133,MATCH($C89,'Screening Emission Calculations'!$C$83:$C$133,0)),"lbm","g")/24/3600</f>
        <v>7.3779994193419145E-5</v>
      </c>
      <c r="F89" s="84">
        <f t="shared" si="5"/>
        <v>2.1351411938012406E-6</v>
      </c>
      <c r="G89" s="85">
        <f t="shared" si="5"/>
        <v>3.2848326058480628E-9</v>
      </c>
      <c r="H89" s="85">
        <f t="shared" si="5"/>
        <v>8.5405647752049631E-8</v>
      </c>
      <c r="I89" s="85">
        <f t="shared" si="5"/>
        <v>7.7641497956408757E-10</v>
      </c>
      <c r="J89" s="85">
        <f t="shared" si="5"/>
        <v>1.7792843281677008E-7</v>
      </c>
      <c r="K89" s="85">
        <f t="shared" si="5"/>
        <v>7.7641497956408757E-10</v>
      </c>
      <c r="L89" s="86">
        <f t="shared" si="2"/>
        <v>3.3536360997008704E-9</v>
      </c>
    </row>
    <row r="90" spans="1:12" ht="13.5" x14ac:dyDescent="0.2">
      <c r="A90" s="147"/>
      <c r="B90" s="137" t="s">
        <v>141</v>
      </c>
      <c r="C90" s="131" t="str">
        <f t="shared" si="4"/>
        <v>206-44-0</v>
      </c>
      <c r="D90" s="332">
        <f>CONVERT(INDEX('Screening Emission Calculations'!$E$4:$E$54,MATCH($C90,'Screening Emission Calculations'!$C$4:$C$54,0)),"lbm","g")/8760/3600</f>
        <v>2.8987245610194504E-8</v>
      </c>
      <c r="E90" s="86">
        <f>CONVERT(INDEX('Screening Emission Calculations'!$E$83:$E$133,MATCH($C90,'Screening Emission Calculations'!$C$83:$C$133,0)),"lbm","g")/24/3600</f>
        <v>2.5041421370778598E-6</v>
      </c>
      <c r="F90" s="84">
        <f t="shared" si="5"/>
        <v>5.4692916245650007E-5</v>
      </c>
      <c r="G90" s="85">
        <f t="shared" si="5"/>
        <v>0</v>
      </c>
      <c r="H90" s="85">
        <f t="shared" si="5"/>
        <v>1.4493622805097252E-6</v>
      </c>
      <c r="I90" s="85">
        <f t="shared" si="5"/>
        <v>0</v>
      </c>
      <c r="J90" s="85">
        <f t="shared" si="5"/>
        <v>7.6282225289985537E-7</v>
      </c>
      <c r="K90" s="85">
        <f t="shared" si="5"/>
        <v>0</v>
      </c>
      <c r="L90" s="86">
        <f t="shared" si="2"/>
        <v>0</v>
      </c>
    </row>
    <row r="91" spans="1:12" ht="13.5" x14ac:dyDescent="0.2">
      <c r="A91" s="147"/>
      <c r="B91" s="137" t="s">
        <v>142</v>
      </c>
      <c r="C91" s="131" t="str">
        <f t="shared" si="4"/>
        <v>86-73-7</v>
      </c>
      <c r="D91" s="332">
        <f>CONVERT(INDEX('Screening Emission Calculations'!$E$4:$E$54,MATCH($C91,'Screening Emission Calculations'!$C$4:$C$54,0)),"lbm","g")/8760/3600</f>
        <v>1.7115583898632301E-7</v>
      </c>
      <c r="E91" s="86">
        <f>CONVERT(INDEX('Screening Emission Calculations'!$E$83:$E$133,MATCH($C91,'Screening Emission Calculations'!$C$83:$C$133,0)),"lbm","g")/24/3600</f>
        <v>1.4785763165501709E-5</v>
      </c>
      <c r="F91" s="84">
        <f t="shared" si="5"/>
        <v>0</v>
      </c>
      <c r="G91" s="85">
        <f t="shared" si="5"/>
        <v>0</v>
      </c>
      <c r="H91" s="85">
        <f t="shared" si="5"/>
        <v>0</v>
      </c>
      <c r="I91" s="85">
        <f t="shared" si="5"/>
        <v>0</v>
      </c>
      <c r="J91" s="85">
        <f t="shared" si="5"/>
        <v>0</v>
      </c>
      <c r="K91" s="85">
        <f t="shared" si="5"/>
        <v>0</v>
      </c>
      <c r="L91" s="86">
        <f t="shared" si="2"/>
        <v>0</v>
      </c>
    </row>
    <row r="92" spans="1:12" ht="13.5" x14ac:dyDescent="0.2">
      <c r="A92" s="147"/>
      <c r="B92" s="133" t="s">
        <v>59</v>
      </c>
      <c r="C92" s="131" t="str">
        <f t="shared" si="4"/>
        <v>50-00-0</v>
      </c>
      <c r="D92" s="332">
        <f>CONVERT(INDEX('Screening Emission Calculations'!$E$4:$E$54,MATCH($C92,'Screening Emission Calculations'!$C$4:$C$54,0)),"lbm","g")/8760/3600</f>
        <v>2.1317141863558733E-4</v>
      </c>
      <c r="E92" s="86">
        <f>CONVERT(INDEX('Screening Emission Calculations'!$E$83:$E$133,MATCH($C92,'Screening Emission Calculations'!$C$83:$C$133,0)),"lbm","g")/24/3600</f>
        <v>1.8371408009502155E-2</v>
      </c>
      <c r="F92" s="84">
        <f t="shared" si="5"/>
        <v>1.2539495213858077E-3</v>
      </c>
      <c r="G92" s="85">
        <f t="shared" si="5"/>
        <v>2.3685713181731927E-5</v>
      </c>
      <c r="H92" s="85">
        <f t="shared" si="5"/>
        <v>4.9574748519904035E-5</v>
      </c>
      <c r="I92" s="85">
        <f t="shared" si="5"/>
        <v>5.3292854658896837E-6</v>
      </c>
      <c r="J92" s="85">
        <f t="shared" si="5"/>
        <v>1.0658570931779367E-4</v>
      </c>
      <c r="K92" s="85">
        <f t="shared" si="5"/>
        <v>5.3292854658896837E-6</v>
      </c>
      <c r="L92" s="86">
        <f t="shared" si="2"/>
        <v>3.7492669407147253E-4</v>
      </c>
    </row>
    <row r="93" spans="1:12" ht="13.5" x14ac:dyDescent="0.2">
      <c r="A93" s="147"/>
      <c r="B93" s="133" t="s">
        <v>61</v>
      </c>
      <c r="C93" s="131" t="str">
        <f t="shared" si="4"/>
        <v>110-54-3</v>
      </c>
      <c r="D93" s="332">
        <f>CONVERT(INDEX('Screening Emission Calculations'!$E$4:$E$54,MATCH($C93,'Screening Emission Calculations'!$C$4:$C$54,0)),"lbm","g")/8760/3600</f>
        <v>2.1077173619542524E-6</v>
      </c>
      <c r="E93" s="86">
        <f>CONVERT(INDEX('Screening Emission Calculations'!$E$83:$E$133,MATCH($C93,'Screening Emission Calculations'!$C$83:$C$133,0)),"lbm","g")/24/3600</f>
        <v>1.8208090310119037E-4</v>
      </c>
      <c r="F93" s="84">
        <f t="shared" si="5"/>
        <v>0</v>
      </c>
      <c r="G93" s="85">
        <f t="shared" si="5"/>
        <v>3.0110248027917893E-9</v>
      </c>
      <c r="H93" s="85">
        <f t="shared" si="5"/>
        <v>0</v>
      </c>
      <c r="I93" s="85">
        <f t="shared" si="5"/>
        <v>6.7990882643685565E-10</v>
      </c>
      <c r="J93" s="85">
        <f t="shared" si="5"/>
        <v>0</v>
      </c>
      <c r="K93" s="85">
        <f t="shared" si="5"/>
        <v>6.7990882643685565E-10</v>
      </c>
      <c r="L93" s="86">
        <f t="shared" si="2"/>
        <v>0</v>
      </c>
    </row>
    <row r="94" spans="1:12" ht="13.5" x14ac:dyDescent="0.2">
      <c r="A94" s="147"/>
      <c r="B94" s="133" t="s">
        <v>143</v>
      </c>
      <c r="C94" s="131" t="str">
        <f t="shared" si="4"/>
        <v>18540-29-9</v>
      </c>
      <c r="D94" s="332">
        <f>CONVERT(INDEX('Screening Emission Calculations'!$E$4:$E$54,MATCH($C94,'Screening Emission Calculations'!$C$4:$C$54,0)),"lbm","g")/8760/3600</f>
        <v>4.8680964520134737E-9</v>
      </c>
      <c r="E94" s="86">
        <f>CONVERT(INDEX('Screening Emission Calculations'!$E$83:$E$133,MATCH($C94,'Screening Emission Calculations'!$C$83:$C$133,0)),"lbm","g")/24/3600</f>
        <v>4.2644524919638028E-7</v>
      </c>
      <c r="F94" s="84">
        <f t="shared" ref="F94:K103" si="6">IF(INDEX($B$6:$L$56,MATCH($C94,$C$6:$C$56,0),MATCH(F$63,$B$5:$L$5,0))="",0,$D94/INDEX($B$6:$L$56,MATCH($C94,$C$6:$C$56,0),MATCH(F$63,$B$5:$L$5,0)))</f>
        <v>1.5703536941978947E-4</v>
      </c>
      <c r="G94" s="85">
        <f t="shared" si="6"/>
        <v>5.8651764482090038E-8</v>
      </c>
      <c r="H94" s="85">
        <f t="shared" si="6"/>
        <v>9.3617239461797581E-6</v>
      </c>
      <c r="I94" s="85">
        <f t="shared" si="6"/>
        <v>5.5319277863789472E-9</v>
      </c>
      <c r="J94" s="85">
        <f t="shared" si="6"/>
        <v>4.8680964520134732E-6</v>
      </c>
      <c r="K94" s="85">
        <f t="shared" si="6"/>
        <v>5.5319277863789472E-9</v>
      </c>
      <c r="L94" s="86">
        <f t="shared" si="2"/>
        <v>1.4214841639879342E-6</v>
      </c>
    </row>
    <row r="95" spans="1:12" ht="13.5" x14ac:dyDescent="0.2">
      <c r="A95" s="147"/>
      <c r="B95" s="133" t="s">
        <v>64</v>
      </c>
      <c r="C95" s="131" t="str">
        <f t="shared" si="4"/>
        <v>7647-01-0</v>
      </c>
      <c r="D95" s="332">
        <f>CONVERT(INDEX('Screening Emission Calculations'!$E$4:$E$54,MATCH($C95,'Screening Emission Calculations'!$C$4:$C$54,0)),"lbm","g")/8760/3600</f>
        <v>1.4597313923125548E-5</v>
      </c>
      <c r="E95" s="86">
        <f>CONVERT(INDEX('Screening Emission Calculations'!$E$83:$E$133,MATCH($C95,'Screening Emission Calculations'!$C$83:$C$133,0)),"lbm","g")/24/3600</f>
        <v>1.2610287080948612E-3</v>
      </c>
      <c r="F95" s="84">
        <f t="shared" si="6"/>
        <v>0</v>
      </c>
      <c r="G95" s="85">
        <f t="shared" si="6"/>
        <v>7.2986569615627743E-7</v>
      </c>
      <c r="H95" s="85">
        <f t="shared" si="6"/>
        <v>0</v>
      </c>
      <c r="I95" s="85">
        <f t="shared" si="6"/>
        <v>1.6587856730824486E-7</v>
      </c>
      <c r="J95" s="85">
        <f t="shared" si="6"/>
        <v>0</v>
      </c>
      <c r="K95" s="85">
        <f t="shared" si="6"/>
        <v>1.6587856730824486E-7</v>
      </c>
      <c r="L95" s="86">
        <f t="shared" si="2"/>
        <v>6.0048986099755289E-7</v>
      </c>
    </row>
    <row r="96" spans="1:12" ht="13.5" x14ac:dyDescent="0.2">
      <c r="A96" s="147"/>
      <c r="B96" s="137" t="s">
        <v>144</v>
      </c>
      <c r="C96" s="131" t="str">
        <f t="shared" si="4"/>
        <v>193-39-5</v>
      </c>
      <c r="D96" s="332">
        <f>CONVERT(INDEX('Screening Emission Calculations'!$E$4:$E$54,MATCH($C96,'Screening Emission Calculations'!$C$4:$C$54,0)),"lbm","g")/8760/3600</f>
        <v>8.3924553589868731E-10</v>
      </c>
      <c r="E96" s="86">
        <f>CONVERT(INDEX('Screening Emission Calculations'!$E$83:$E$133,MATCH($C96,'Screening Emission Calculations'!$C$83:$C$133,0)),"lbm","g")/24/3600</f>
        <v>7.2500510674918543E-8</v>
      </c>
      <c r="F96" s="84">
        <f t="shared" si="6"/>
        <v>1.3758123539322744E-6</v>
      </c>
      <c r="G96" s="85">
        <f t="shared" si="6"/>
        <v>0</v>
      </c>
      <c r="H96" s="85">
        <f t="shared" si="6"/>
        <v>3.8147524359031246E-8</v>
      </c>
      <c r="I96" s="85">
        <f t="shared" si="6"/>
        <v>0</v>
      </c>
      <c r="J96" s="85">
        <f t="shared" si="6"/>
        <v>1.951733804415552E-8</v>
      </c>
      <c r="K96" s="85">
        <f t="shared" si="6"/>
        <v>0</v>
      </c>
      <c r="L96" s="86">
        <f t="shared" ref="L96:L114" si="7">IF(INDEX($B$6:$L$56,MATCH($C96,$C$6:$C$56,0),MATCH(L$4,$B$4:$L$4,0))="",0,$E96/INDEX($B$6:$L$56,MATCH($C96,$C$6:$C$56,0),MATCH(L$4,$B$4:$L$4,0)))</f>
        <v>0</v>
      </c>
    </row>
    <row r="97" spans="1:12" ht="13.5" x14ac:dyDescent="0.2">
      <c r="A97" s="147"/>
      <c r="B97" s="133" t="s">
        <v>68</v>
      </c>
      <c r="C97" s="131" t="str">
        <f t="shared" si="4"/>
        <v>7439-92-1</v>
      </c>
      <c r="D97" s="332">
        <f>CONVERT(INDEX('Screening Emission Calculations'!$E$4:$E$54,MATCH($C97,'Screening Emission Calculations'!$C$4:$C$54,0)),"lbm","g")/8760/3600</f>
        <v>2.8037108941024196E-8</v>
      </c>
      <c r="E97" s="86">
        <f>CONVERT(INDEX('Screening Emission Calculations'!$E$83:$E$133,MATCH($C97,'Screening Emission Calculations'!$C$83:$C$133,0)),"lbm","g")/24/3600</f>
        <v>2.4560507432337199E-6</v>
      </c>
      <c r="F97" s="84">
        <f t="shared" si="6"/>
        <v>0</v>
      </c>
      <c r="G97" s="85">
        <f t="shared" si="6"/>
        <v>1.8691405960682799E-7</v>
      </c>
      <c r="H97" s="85">
        <f t="shared" si="6"/>
        <v>0</v>
      </c>
      <c r="I97" s="85">
        <f t="shared" si="6"/>
        <v>4.2480468092460903E-8</v>
      </c>
      <c r="J97" s="85">
        <f t="shared" si="6"/>
        <v>0</v>
      </c>
      <c r="K97" s="85">
        <f t="shared" si="6"/>
        <v>4.2480468092460903E-8</v>
      </c>
      <c r="L97" s="86">
        <f t="shared" si="7"/>
        <v>1.6373671621558133E-5</v>
      </c>
    </row>
    <row r="98" spans="1:12" ht="13.5" x14ac:dyDescent="0.2">
      <c r="A98" s="147"/>
      <c r="B98" s="133" t="s">
        <v>70</v>
      </c>
      <c r="C98" s="131" t="str">
        <f t="shared" si="4"/>
        <v>7439-96-5</v>
      </c>
      <c r="D98" s="332">
        <f>CONVERT(INDEX('Screening Emission Calculations'!$E$4:$E$54,MATCH($C98,'Screening Emission Calculations'!$C$4:$C$54,0)),"lbm","g")/8760/3600</f>
        <v>3.2372995029184312E-8</v>
      </c>
      <c r="E98" s="86">
        <f>CONVERT(INDEX('Screening Emission Calculations'!$E$83:$E$133,MATCH($C98,'Screening Emission Calculations'!$C$83:$C$133,0)),"lbm","g")/24/3600</f>
        <v>2.8358743645565464E-6</v>
      </c>
      <c r="F98" s="84">
        <f t="shared" si="6"/>
        <v>0</v>
      </c>
      <c r="G98" s="85">
        <f t="shared" si="6"/>
        <v>3.5969994476871457E-7</v>
      </c>
      <c r="H98" s="85">
        <f t="shared" si="6"/>
        <v>0</v>
      </c>
      <c r="I98" s="85">
        <f t="shared" si="6"/>
        <v>8.0932487572960779E-8</v>
      </c>
      <c r="J98" s="85">
        <f t="shared" si="6"/>
        <v>0</v>
      </c>
      <c r="K98" s="85">
        <f t="shared" si="6"/>
        <v>8.0932487572960779E-8</v>
      </c>
      <c r="L98" s="86">
        <f t="shared" si="7"/>
        <v>9.4529145485218218E-6</v>
      </c>
    </row>
    <row r="99" spans="1:12" ht="13.5" x14ac:dyDescent="0.2">
      <c r="A99" s="147"/>
      <c r="B99" s="133" t="s">
        <v>72</v>
      </c>
      <c r="C99" s="131" t="str">
        <f t="shared" si="4"/>
        <v>7439-97-6</v>
      </c>
      <c r="D99" s="332">
        <f>CONVERT(INDEX('Screening Emission Calculations'!$E$4:$E$54,MATCH($C99,'Screening Emission Calculations'!$C$4:$C$54,0)),"lbm","g")/8760/3600</f>
        <v>1.1646939702175224E-9</v>
      </c>
      <c r="E99" s="86">
        <f>CONVERT(INDEX('Screening Emission Calculations'!$E$83:$E$133,MATCH($C99,'Screening Emission Calculations'!$C$83:$C$133,0)),"lbm","g")/24/3600</f>
        <v>1.0202719179105497E-7</v>
      </c>
      <c r="F99" s="84">
        <f t="shared" si="6"/>
        <v>0</v>
      </c>
      <c r="G99" s="85">
        <f t="shared" si="6"/>
        <v>1.5125895717110682E-8</v>
      </c>
      <c r="H99" s="85">
        <f t="shared" si="6"/>
        <v>0</v>
      </c>
      <c r="I99" s="85">
        <f t="shared" si="6"/>
        <v>1.8487205876468609E-9</v>
      </c>
      <c r="J99" s="85">
        <f t="shared" si="6"/>
        <v>0</v>
      </c>
      <c r="K99" s="85">
        <f t="shared" si="6"/>
        <v>1.8487205876468609E-9</v>
      </c>
      <c r="L99" s="86">
        <f t="shared" si="7"/>
        <v>1.7004531965175829E-7</v>
      </c>
    </row>
    <row r="100" spans="1:12" ht="13.5" x14ac:dyDescent="0.2">
      <c r="A100" s="147"/>
      <c r="B100" s="133" t="s">
        <v>145</v>
      </c>
      <c r="C100" s="131" t="str">
        <f t="shared" si="4"/>
        <v>91-57-6</v>
      </c>
      <c r="D100" s="332">
        <f>CONVERT(INDEX('Screening Emission Calculations'!$E$4:$E$54,MATCH($C100,'Screening Emission Calculations'!$C$4:$C$54,0)),"lbm","g")/8760/3600</f>
        <v>9.6358784287892831E-7</v>
      </c>
      <c r="E100" s="86">
        <f>CONVERT(INDEX('Screening Emission Calculations'!$E$83:$E$133,MATCH($C100,'Screening Emission Calculations'!$C$83:$C$133,0)),"lbm","g")/24/3600</f>
        <v>8.3242159416501159E-5</v>
      </c>
      <c r="F100" s="84">
        <f t="shared" si="6"/>
        <v>0</v>
      </c>
      <c r="G100" s="85">
        <f t="shared" si="6"/>
        <v>0</v>
      </c>
      <c r="H100" s="85">
        <f t="shared" si="6"/>
        <v>0</v>
      </c>
      <c r="I100" s="85">
        <f t="shared" si="6"/>
        <v>0</v>
      </c>
      <c r="J100" s="85">
        <f t="shared" si="6"/>
        <v>0</v>
      </c>
      <c r="K100" s="85">
        <f t="shared" si="6"/>
        <v>0</v>
      </c>
      <c r="L100" s="86">
        <f t="shared" si="7"/>
        <v>0</v>
      </c>
    </row>
    <row r="101" spans="1:12" ht="13.5" x14ac:dyDescent="0.2">
      <c r="A101" s="147"/>
      <c r="B101" s="133" t="s">
        <v>146</v>
      </c>
      <c r="C101" s="131" t="str">
        <f t="shared" si="4"/>
        <v>91-20-3</v>
      </c>
      <c r="D101" s="332">
        <f>CONVERT(INDEX('Screening Emission Calculations'!$E$4:$E$54,MATCH($C101,'Screening Emission Calculations'!$C$4:$C$54,0)),"lbm","g")/8760/3600</f>
        <v>2.0648101219324955E-6</v>
      </c>
      <c r="E101" s="86">
        <f>CONVERT(INDEX('Screening Emission Calculations'!$E$83:$E$133,MATCH($C101,'Screening Emission Calculations'!$C$83:$C$133,0)),"lbm","g")/24/3600</f>
        <v>1.7837424434619616E-4</v>
      </c>
      <c r="F101" s="84">
        <f t="shared" si="6"/>
        <v>7.1200349032155008E-5</v>
      </c>
      <c r="G101" s="85">
        <f t="shared" si="6"/>
        <v>5.5805678971148529E-7</v>
      </c>
      <c r="H101" s="85">
        <f t="shared" si="6"/>
        <v>2.7168554235953887E-6</v>
      </c>
      <c r="I101" s="85">
        <f t="shared" si="6"/>
        <v>1.2905063262078097E-7</v>
      </c>
      <c r="J101" s="85">
        <f t="shared" si="6"/>
        <v>5.8994574912357014E-6</v>
      </c>
      <c r="K101" s="85">
        <f t="shared" si="6"/>
        <v>1.2905063262078097E-7</v>
      </c>
      <c r="L101" s="86">
        <f t="shared" si="7"/>
        <v>8.9187122173098084E-7</v>
      </c>
    </row>
    <row r="102" spans="1:12" ht="13.5" x14ac:dyDescent="0.2">
      <c r="A102" s="147"/>
      <c r="B102" s="133" t="s">
        <v>78</v>
      </c>
      <c r="C102" s="131">
        <f t="shared" si="4"/>
        <v>365</v>
      </c>
      <c r="D102" s="332">
        <f>CONVERT(INDEX('Screening Emission Calculations'!$E$4:$E$54,MATCH($C102,'Screening Emission Calculations'!$C$4:$C$54,0)),"lbm","g")/8760/3600</f>
        <v>1.4048897008702685E-8</v>
      </c>
      <c r="E102" s="86">
        <f>CONVERT(INDEX('Screening Emission Calculations'!$E$83:$E$133,MATCH($C102,'Screening Emission Calculations'!$C$83:$C$133,0)),"lbm","g")/24/3600</f>
        <v>1.2306833779623553E-6</v>
      </c>
      <c r="F102" s="84">
        <f t="shared" si="6"/>
        <v>3.6970781601849172E-6</v>
      </c>
      <c r="G102" s="85">
        <f t="shared" si="6"/>
        <v>1.0034926434787632E-6</v>
      </c>
      <c r="H102" s="85">
        <f t="shared" si="6"/>
        <v>1.4048897008702684E-7</v>
      </c>
      <c r="I102" s="85">
        <f t="shared" si="6"/>
        <v>2.2659511304359169E-7</v>
      </c>
      <c r="J102" s="85">
        <f t="shared" si="6"/>
        <v>3.054108045370149E-7</v>
      </c>
      <c r="K102" s="85">
        <f t="shared" si="6"/>
        <v>2.2659511304359169E-7</v>
      </c>
      <c r="L102" s="86">
        <f t="shared" si="7"/>
        <v>6.153416889811776E-6</v>
      </c>
    </row>
    <row r="103" spans="1:12" ht="13.5" x14ac:dyDescent="0.2">
      <c r="A103" s="147"/>
      <c r="B103" s="133" t="s">
        <v>147</v>
      </c>
      <c r="C103" s="131" t="str">
        <f t="shared" si="4"/>
        <v>198-55-0</v>
      </c>
      <c r="D103" s="332">
        <f>CONVERT(INDEX('Screening Emission Calculations'!$E$4:$E$54,MATCH($C103,'Screening Emission Calculations'!$C$4:$C$54,0)),"lbm","g")/8760/3600</f>
        <v>9.2320101015496671E-11</v>
      </c>
      <c r="E103" s="86">
        <f>CONVERT(INDEX('Screening Emission Calculations'!$E$83:$E$133,MATCH($C103,'Screening Emission Calculations'!$C$83:$C$133,0)),"lbm","g")/24/3600</f>
        <v>7.975323290836757E-9</v>
      </c>
      <c r="F103" s="84">
        <f t="shared" si="6"/>
        <v>0</v>
      </c>
      <c r="G103" s="85">
        <f t="shared" si="6"/>
        <v>0</v>
      </c>
      <c r="H103" s="85">
        <f t="shared" si="6"/>
        <v>0</v>
      </c>
      <c r="I103" s="85">
        <f t="shared" si="6"/>
        <v>0</v>
      </c>
      <c r="J103" s="85">
        <f t="shared" si="6"/>
        <v>0</v>
      </c>
      <c r="K103" s="85">
        <f t="shared" si="6"/>
        <v>0</v>
      </c>
      <c r="L103" s="86">
        <f t="shared" si="7"/>
        <v>0</v>
      </c>
    </row>
    <row r="104" spans="1:12" ht="13.5" x14ac:dyDescent="0.2">
      <c r="A104" s="147"/>
      <c r="B104" s="133" t="s">
        <v>148</v>
      </c>
      <c r="C104" s="131" t="str">
        <f t="shared" si="4"/>
        <v>85-01-8</v>
      </c>
      <c r="D104" s="332">
        <f>CONVERT(INDEX('Screening Emission Calculations'!$E$4:$E$54,MATCH($C104,'Screening Emission Calculations'!$C$4:$C$54,0)),"lbm","g")/8760/3600</f>
        <v>3.5587879419831678E-7</v>
      </c>
      <c r="E104" s="86">
        <f>CONVERT(INDEX('Screening Emission Calculations'!$E$83:$E$133,MATCH($C104,'Screening Emission Calculations'!$C$83:$C$133,0)),"lbm","g")/24/3600</f>
        <v>3.0743558606032219E-5</v>
      </c>
      <c r="F104" s="84">
        <f t="shared" ref="F104:K114" si="8">IF(INDEX($B$6:$L$56,MATCH($C104,$C$6:$C$56,0),MATCH(F$63,$B$5:$L$5,0))="",0,$D104/INDEX($B$6:$L$56,MATCH($C104,$C$6:$C$56,0),MATCH(F$63,$B$5:$L$5,0)))</f>
        <v>0</v>
      </c>
      <c r="G104" s="85">
        <f t="shared" si="8"/>
        <v>0</v>
      </c>
      <c r="H104" s="85">
        <f t="shared" si="8"/>
        <v>0</v>
      </c>
      <c r="I104" s="85">
        <f t="shared" si="8"/>
        <v>0</v>
      </c>
      <c r="J104" s="85">
        <f t="shared" si="8"/>
        <v>0</v>
      </c>
      <c r="K104" s="85">
        <f t="shared" si="8"/>
        <v>0</v>
      </c>
      <c r="L104" s="86">
        <f t="shared" si="7"/>
        <v>0</v>
      </c>
    </row>
    <row r="105" spans="1:12" ht="13.5" x14ac:dyDescent="0.2">
      <c r="A105" s="147"/>
      <c r="B105" s="133" t="s">
        <v>83</v>
      </c>
      <c r="C105" s="131">
        <f t="shared" si="4"/>
        <v>504</v>
      </c>
      <c r="D105" s="332">
        <f>CONVERT(INDEX('Screening Emission Calculations'!$E$4:$E$54,MATCH($C105,'Screening Emission Calculations'!$C$4:$C$54,0)),"lbm","g")/8760/3600</f>
        <v>6.4790186441851152E-7</v>
      </c>
      <c r="E105" s="86">
        <f>CONVERT(INDEX('Screening Emission Calculations'!$E$83:$E$133,MATCH($C105,'Screening Emission Calculations'!$C$83:$C$133,0)),"lbm","g")/24/3600</f>
        <v>5.6756203323061617E-5</v>
      </c>
      <c r="F105" s="84">
        <f t="shared" si="8"/>
        <v>0</v>
      </c>
      <c r="G105" s="85">
        <f t="shared" si="8"/>
        <v>0</v>
      </c>
      <c r="H105" s="85">
        <f t="shared" si="8"/>
        <v>0</v>
      </c>
      <c r="I105" s="85">
        <f t="shared" si="8"/>
        <v>0</v>
      </c>
      <c r="J105" s="85">
        <f t="shared" si="8"/>
        <v>0</v>
      </c>
      <c r="K105" s="85">
        <f t="shared" si="8"/>
        <v>0</v>
      </c>
      <c r="L105" s="86">
        <f t="shared" si="7"/>
        <v>0</v>
      </c>
    </row>
    <row r="106" spans="1:12" ht="13.5" x14ac:dyDescent="0.2">
      <c r="A106" s="147"/>
      <c r="B106" s="133" t="s">
        <v>84</v>
      </c>
      <c r="C106" s="134" t="s">
        <v>85</v>
      </c>
      <c r="D106" s="332">
        <f>CONVERT(INDEX('Screening Emission Calculations'!$E$4:$E$54,MATCH($C106,'Screening Emission Calculations'!$C$4:$C$54,0)),"lbm","g")/8760/3600</f>
        <v>3.6826288480241583E-5</v>
      </c>
      <c r="E106" s="86">
        <f>CONVERT(INDEX('Screening Emission Calculations'!$E$83:$E$133,MATCH($C106,'Screening Emission Calculations'!$C$83:$C$133,0)),"lbm","g")/24/3600</f>
        <v>3.181339199165779E-3</v>
      </c>
      <c r="F106" s="84">
        <f t="shared" si="8"/>
        <v>0</v>
      </c>
      <c r="G106" s="85">
        <f t="shared" si="8"/>
        <v>1.2275429493413861E-8</v>
      </c>
      <c r="H106" s="85">
        <f t="shared" si="8"/>
        <v>0</v>
      </c>
      <c r="I106" s="85">
        <f t="shared" si="8"/>
        <v>2.8327914215570449E-9</v>
      </c>
      <c r="J106" s="85">
        <f t="shared" si="8"/>
        <v>0</v>
      </c>
      <c r="K106" s="85">
        <f t="shared" si="8"/>
        <v>2.8327914215570449E-9</v>
      </c>
      <c r="L106" s="86">
        <f t="shared" si="7"/>
        <v>0</v>
      </c>
    </row>
    <row r="107" spans="1:12" ht="13.5" x14ac:dyDescent="0.2">
      <c r="A107" s="147"/>
      <c r="B107" s="133" t="s">
        <v>149</v>
      </c>
      <c r="C107" s="134" t="s">
        <v>87</v>
      </c>
      <c r="D107" s="332">
        <f>CONVERT(INDEX('Screening Emission Calculations'!$E$4:$E$54,MATCH($C107,'Screening Emission Calculations'!$C$4:$C$54,0)),"lbm","g")/8760/3600</f>
        <v>9.7942256596387196E-8</v>
      </c>
      <c r="E107" s="86">
        <f>CONVERT(INDEX('Screening Emission Calculations'!$E$83:$E$133,MATCH($C107,'Screening Emission Calculations'!$C$83:$C$133,0)),"lbm","g")/24/3600</f>
        <v>8.4610085084196251E-6</v>
      </c>
      <c r="F107" s="84">
        <f t="shared" si="8"/>
        <v>0</v>
      </c>
      <c r="G107" s="85">
        <f t="shared" si="8"/>
        <v>0</v>
      </c>
      <c r="H107" s="85">
        <f t="shared" si="8"/>
        <v>0</v>
      </c>
      <c r="I107" s="85">
        <f t="shared" si="8"/>
        <v>0</v>
      </c>
      <c r="J107" s="85">
        <f t="shared" si="8"/>
        <v>0</v>
      </c>
      <c r="K107" s="85">
        <f t="shared" si="8"/>
        <v>0</v>
      </c>
      <c r="L107" s="86">
        <f t="shared" si="7"/>
        <v>0</v>
      </c>
    </row>
    <row r="108" spans="1:12" ht="13.5" x14ac:dyDescent="0.2">
      <c r="A108" s="147"/>
      <c r="B108" s="133" t="s">
        <v>150</v>
      </c>
      <c r="C108" s="131">
        <f t="shared" ref="C108:C114" si="9">C50</f>
        <v>401</v>
      </c>
      <c r="D108" s="332">
        <f>CONVERT(INDEX('Screening Emission Calculations'!$E$4:$E$54,MATCH($C108,'Screening Emission Calculations'!$C$4:$C$54,0)),"lbm","g")/8760/3600</f>
        <v>0</v>
      </c>
      <c r="E108" s="86">
        <f>CONVERT(INDEX('Screening Emission Calculations'!$E$83:$E$133,MATCH($C108,'Screening Emission Calculations'!$C$83:$C$133,0)),"lbm","g")/24/3600</f>
        <v>0</v>
      </c>
      <c r="F108" s="84">
        <f t="shared" si="8"/>
        <v>0</v>
      </c>
      <c r="G108" s="85">
        <f t="shared" si="8"/>
        <v>0</v>
      </c>
      <c r="H108" s="85">
        <f t="shared" si="8"/>
        <v>0</v>
      </c>
      <c r="I108" s="85">
        <f t="shared" si="8"/>
        <v>0</v>
      </c>
      <c r="J108" s="85">
        <f t="shared" si="8"/>
        <v>0</v>
      </c>
      <c r="K108" s="85">
        <f t="shared" si="8"/>
        <v>0</v>
      </c>
      <c r="L108" s="86">
        <f t="shared" si="7"/>
        <v>0</v>
      </c>
    </row>
    <row r="109" spans="1:12" ht="13.5" x14ac:dyDescent="0.2">
      <c r="A109" s="147"/>
      <c r="B109" s="133" t="s">
        <v>89</v>
      </c>
      <c r="C109" s="131" t="str">
        <f t="shared" si="9"/>
        <v>7782-49-2</v>
      </c>
      <c r="D109" s="332">
        <f>CONVERT(INDEX('Screening Emission Calculations'!$E$4:$E$54,MATCH($C109,'Screening Emission Calculations'!$C$4:$C$54,0)),"lbm","g")/8760/3600</f>
        <v>2.9017069712501335E-8</v>
      </c>
      <c r="E109" s="86">
        <f>CONVERT(INDEX('Screening Emission Calculations'!$E$83:$E$133,MATCH($C109,'Screening Emission Calculations'!$C$83:$C$133,0)),"lbm","g")/24/3600</f>
        <v>2.5418953068151175E-6</v>
      </c>
      <c r="F109" s="84">
        <f t="shared" si="8"/>
        <v>0</v>
      </c>
      <c r="G109" s="85">
        <f t="shared" si="8"/>
        <v>0</v>
      </c>
      <c r="H109" s="85">
        <f t="shared" si="8"/>
        <v>0</v>
      </c>
      <c r="I109" s="85">
        <f t="shared" si="8"/>
        <v>0</v>
      </c>
      <c r="J109" s="85">
        <f t="shared" si="8"/>
        <v>0</v>
      </c>
      <c r="K109" s="85">
        <f t="shared" si="8"/>
        <v>0</v>
      </c>
      <c r="L109" s="86">
        <f t="shared" si="7"/>
        <v>1.2709476534075587E-6</v>
      </c>
    </row>
    <row r="110" spans="1:12" ht="13.5" x14ac:dyDescent="0.2">
      <c r="A110" s="147"/>
      <c r="B110" s="133" t="s">
        <v>91</v>
      </c>
      <c r="C110" s="131" t="str">
        <f t="shared" si="9"/>
        <v>7440-22-4</v>
      </c>
      <c r="D110" s="332">
        <f>CONVERT(INDEX('Screening Emission Calculations'!$E$4:$E$54,MATCH($C110,'Screening Emission Calculations'!$C$4:$C$54,0)),"lbm","g")/8760/3600</f>
        <v>3.7015438177283698E-9</v>
      </c>
      <c r="E110" s="86">
        <f>CONVERT(INDEX('Screening Emission Calculations'!$E$83:$E$133,MATCH($C110,'Screening Emission Calculations'!$C$83:$C$133,0)),"lbm","g")/24/3600</f>
        <v>3.2425523843300515E-7</v>
      </c>
      <c r="F110" s="84">
        <f t="shared" si="8"/>
        <v>0</v>
      </c>
      <c r="G110" s="85">
        <f t="shared" si="8"/>
        <v>0</v>
      </c>
      <c r="H110" s="85">
        <f t="shared" si="8"/>
        <v>0</v>
      </c>
      <c r="I110" s="85">
        <f t="shared" si="8"/>
        <v>0</v>
      </c>
      <c r="J110" s="85">
        <f t="shared" si="8"/>
        <v>0</v>
      </c>
      <c r="K110" s="85">
        <f t="shared" si="8"/>
        <v>0</v>
      </c>
      <c r="L110" s="86">
        <f t="shared" si="7"/>
        <v>0</v>
      </c>
    </row>
    <row r="111" spans="1:12" ht="13.5" x14ac:dyDescent="0.2">
      <c r="A111" s="147"/>
      <c r="B111" s="133" t="s">
        <v>93</v>
      </c>
      <c r="C111" s="131" t="str">
        <f t="shared" si="9"/>
        <v>7440-28-0</v>
      </c>
      <c r="D111" s="332">
        <f>CONVERT(INDEX('Screening Emission Calculations'!$E$4:$E$54,MATCH($C111,'Screening Emission Calculations'!$C$4:$C$54,0)),"lbm","g")/8760/3600</f>
        <v>1.8509924791888039E-8</v>
      </c>
      <c r="E111" s="86">
        <f>CONVERT(INDEX('Screening Emission Calculations'!$E$83:$E$133,MATCH($C111,'Screening Emission Calculations'!$C$83:$C$133,0)),"lbm","g")/24/3600</f>
        <v>1.6214694117693928E-6</v>
      </c>
      <c r="F111" s="84">
        <f t="shared" si="8"/>
        <v>0</v>
      </c>
      <c r="G111" s="85">
        <f t="shared" si="8"/>
        <v>0</v>
      </c>
      <c r="H111" s="85">
        <f t="shared" si="8"/>
        <v>0</v>
      </c>
      <c r="I111" s="85">
        <f t="shared" si="8"/>
        <v>0</v>
      </c>
      <c r="J111" s="85">
        <f t="shared" si="8"/>
        <v>0</v>
      </c>
      <c r="K111" s="85">
        <f t="shared" si="8"/>
        <v>0</v>
      </c>
      <c r="L111" s="86">
        <f t="shared" si="7"/>
        <v>0</v>
      </c>
    </row>
    <row r="112" spans="1:12" ht="13.5" x14ac:dyDescent="0.2">
      <c r="A112" s="147"/>
      <c r="B112" s="133" t="s">
        <v>95</v>
      </c>
      <c r="C112" s="131" t="str">
        <f t="shared" si="9"/>
        <v>108-88-3</v>
      </c>
      <c r="D112" s="332">
        <f>CONVERT(INDEX('Screening Emission Calculations'!$E$4:$E$54,MATCH($C112,'Screening Emission Calculations'!$C$4:$C$54,0)),"lbm","g")/8760/3600</f>
        <v>8.2584910762073689E-6</v>
      </c>
      <c r="E112" s="86">
        <f>CONVERT(INDEX('Screening Emission Calculations'!$E$83:$E$133,MATCH($C112,'Screening Emission Calculations'!$C$83:$C$133,0)),"lbm","g")/24/3600</f>
        <v>7.1343223742994274E-4</v>
      </c>
      <c r="F112" s="84">
        <f t="shared" si="8"/>
        <v>0</v>
      </c>
      <c r="G112" s="85">
        <f t="shared" si="8"/>
        <v>1.6516982152414739E-9</v>
      </c>
      <c r="H112" s="85">
        <f t="shared" si="8"/>
        <v>0</v>
      </c>
      <c r="I112" s="85">
        <f t="shared" si="8"/>
        <v>3.7538595800942587E-10</v>
      </c>
      <c r="J112" s="85">
        <f t="shared" si="8"/>
        <v>0</v>
      </c>
      <c r="K112" s="85">
        <f t="shared" si="8"/>
        <v>3.7538595800942587E-10</v>
      </c>
      <c r="L112" s="86">
        <f t="shared" si="7"/>
        <v>9.512429832399236E-8</v>
      </c>
    </row>
    <row r="113" spans="1:12" ht="13.5" x14ac:dyDescent="0.2">
      <c r="A113" s="147"/>
      <c r="B113" s="133" t="s">
        <v>97</v>
      </c>
      <c r="C113" s="131" t="str">
        <f t="shared" si="9"/>
        <v>1330-20-7</v>
      </c>
      <c r="D113" s="332">
        <f>CONVERT(INDEX('Screening Emission Calculations'!$E$4:$E$54,MATCH($C113,'Screening Emission Calculations'!$C$4:$C$54,0)),"lbm","g")/8760/3600</f>
        <v>3.3222013437494535E-6</v>
      </c>
      <c r="E113" s="86">
        <f>CONVERT(INDEX('Screening Emission Calculations'!$E$83:$E$133,MATCH($C113,'Screening Emission Calculations'!$C$83:$C$133,0)),"lbm","g")/24/3600</f>
        <v>2.8699740860559369E-4</v>
      </c>
      <c r="F113" s="84">
        <f t="shared" si="8"/>
        <v>0</v>
      </c>
      <c r="G113" s="85">
        <f t="shared" si="8"/>
        <v>1.5100915198861151E-8</v>
      </c>
      <c r="H113" s="85">
        <f t="shared" si="8"/>
        <v>0</v>
      </c>
      <c r="I113" s="85">
        <f t="shared" si="8"/>
        <v>3.4249498389169625E-9</v>
      </c>
      <c r="J113" s="85">
        <f t="shared" si="8"/>
        <v>0</v>
      </c>
      <c r="K113" s="85">
        <f t="shared" si="8"/>
        <v>3.4249498389169625E-9</v>
      </c>
      <c r="L113" s="86">
        <f t="shared" si="7"/>
        <v>3.2988207885700425E-8</v>
      </c>
    </row>
    <row r="114" spans="1:12" ht="14.25" thickBot="1" x14ac:dyDescent="0.25">
      <c r="A114" s="147"/>
      <c r="B114" s="139" t="s">
        <v>99</v>
      </c>
      <c r="C114" s="131" t="str">
        <f t="shared" si="9"/>
        <v>7440-66-6</v>
      </c>
      <c r="D114" s="332">
        <f>CONVERT(INDEX('Screening Emission Calculations'!$E$4:$E$54,MATCH($C114,'Screening Emission Calculations'!$C$4:$C$54,0)),"lbm","g")/8760/3600</f>
        <v>4.0290998425620168E-7</v>
      </c>
      <c r="E114" s="86">
        <f>CONVERT(INDEX('Screening Emission Calculations'!$E$83:$E$133,MATCH($C114,'Screening Emission Calculations'!$C$83:$C$133,0)),"lbm","g")/24/3600</f>
        <v>3.5294914620843273E-5</v>
      </c>
      <c r="F114" s="84">
        <f t="shared" si="8"/>
        <v>0</v>
      </c>
      <c r="G114" s="85">
        <f t="shared" si="8"/>
        <v>0</v>
      </c>
      <c r="H114" s="85">
        <f t="shared" si="8"/>
        <v>0</v>
      </c>
      <c r="I114" s="85">
        <f t="shared" si="8"/>
        <v>0</v>
      </c>
      <c r="J114" s="85">
        <f t="shared" si="8"/>
        <v>0</v>
      </c>
      <c r="K114" s="85">
        <f t="shared" si="8"/>
        <v>0</v>
      </c>
      <c r="L114" s="86">
        <f t="shared" si="7"/>
        <v>0</v>
      </c>
    </row>
    <row r="115" spans="1:12" ht="15.75" thickBot="1" x14ac:dyDescent="0.25">
      <c r="A115" s="147"/>
      <c r="B115" s="660" t="s">
        <v>197</v>
      </c>
      <c r="C115" s="661"/>
      <c r="D115" s="661"/>
      <c r="E115" s="662"/>
      <c r="F115" s="150">
        <f t="shared" ref="F115:K115" si="10">SUM(F64:F114)</f>
        <v>2.1671484126837341E-2</v>
      </c>
      <c r="G115" s="151">
        <f t="shared" si="10"/>
        <v>5.420568135559333E-4</v>
      </c>
      <c r="H115" s="151">
        <f t="shared" si="10"/>
        <v>8.1798534459865682E-4</v>
      </c>
      <c r="I115" s="151">
        <f t="shared" si="10"/>
        <v>1.034380362804127E-4</v>
      </c>
      <c r="J115" s="151">
        <f t="shared" si="10"/>
        <v>1.7461216125468036E-3</v>
      </c>
      <c r="K115" s="151">
        <f t="shared" si="10"/>
        <v>1.034380362804127E-4</v>
      </c>
      <c r="L115" s="152">
        <f>SUM(L64:L114)</f>
        <v>5.861573166457255E-4</v>
      </c>
    </row>
    <row r="116" spans="1:12" ht="13.5" x14ac:dyDescent="0.2">
      <c r="A116" s="147"/>
      <c r="B116" s="141" t="s">
        <v>198</v>
      </c>
      <c r="C116" s="143"/>
      <c r="D116" s="87"/>
      <c r="E116" s="143"/>
      <c r="F116" s="143"/>
      <c r="G116" s="143"/>
      <c r="H116" s="143"/>
      <c r="I116" s="143"/>
      <c r="J116" s="143"/>
      <c r="K116" s="143"/>
      <c r="L116" s="145"/>
    </row>
    <row r="117" spans="1:12" ht="13.5" x14ac:dyDescent="0.2">
      <c r="A117" s="147"/>
      <c r="B117" s="141"/>
      <c r="C117" s="80"/>
      <c r="D117" s="80"/>
      <c r="E117" s="80"/>
      <c r="F117" s="80"/>
      <c r="G117" s="80"/>
      <c r="H117" s="80"/>
      <c r="I117" s="80"/>
      <c r="J117" s="80"/>
      <c r="K117" s="80"/>
    </row>
    <row r="118" spans="1:12" ht="15.75" thickBot="1" x14ac:dyDescent="0.25">
      <c r="B118" s="56" t="s">
        <v>199</v>
      </c>
      <c r="D118" s="81"/>
    </row>
    <row r="119" spans="1:12" ht="32.25" customHeight="1" x14ac:dyDescent="0.2">
      <c r="B119" s="666" t="s">
        <v>1</v>
      </c>
      <c r="C119" s="681" t="s">
        <v>2</v>
      </c>
      <c r="D119" s="683" t="s">
        <v>195</v>
      </c>
      <c r="E119" s="681" t="s">
        <v>196</v>
      </c>
      <c r="F119" s="648" t="s">
        <v>1186</v>
      </c>
      <c r="G119" s="649"/>
      <c r="H119" s="649"/>
      <c r="I119" s="649"/>
      <c r="J119" s="649"/>
      <c r="K119" s="649"/>
      <c r="L119" s="650"/>
    </row>
    <row r="120" spans="1:12" ht="15.75" customHeight="1" x14ac:dyDescent="0.2">
      <c r="B120" s="667"/>
      <c r="C120" s="682"/>
      <c r="D120" s="684"/>
      <c r="E120" s="682"/>
      <c r="F120" s="651" t="s">
        <v>181</v>
      </c>
      <c r="G120" s="652"/>
      <c r="H120" s="652" t="s">
        <v>182</v>
      </c>
      <c r="I120" s="652"/>
      <c r="J120" s="652"/>
      <c r="K120" s="652"/>
      <c r="L120" s="655" t="s">
        <v>183</v>
      </c>
    </row>
    <row r="121" spans="1:12" ht="31.5" customHeight="1" thickBot="1" x14ac:dyDescent="0.25">
      <c r="B121" s="668"/>
      <c r="C121" s="654"/>
      <c r="D121" s="685"/>
      <c r="E121" s="654"/>
      <c r="F121" s="148" t="s">
        <v>184</v>
      </c>
      <c r="G121" s="149" t="s">
        <v>185</v>
      </c>
      <c r="H121" s="149" t="s">
        <v>186</v>
      </c>
      <c r="I121" s="149" t="s">
        <v>187</v>
      </c>
      <c r="J121" s="149" t="s">
        <v>188</v>
      </c>
      <c r="K121" s="149" t="s">
        <v>189</v>
      </c>
      <c r="L121" s="656"/>
    </row>
    <row r="122" spans="1:12" x14ac:dyDescent="0.2">
      <c r="B122" s="130" t="s">
        <v>4</v>
      </c>
      <c r="C122" s="131" t="str">
        <f t="shared" ref="C122:C140" si="11">C6</f>
        <v>106-99-0</v>
      </c>
      <c r="D122" s="332">
        <f>CONVERT(INDEX('Screening Emission Calculations'!$F$4:$F$54,MATCH($C122,'Screening Emission Calculations'!$C$4:$C$54,0)),"lbm","g")/8760/3600</f>
        <v>1.8209979839795928E-5</v>
      </c>
      <c r="E122" s="86">
        <f>CONVERT(INDEX('Screening Emission Calculations'!$F$83:$F$133,MATCH($C122,'Screening Emission Calculations'!$C$83:$C$133,0)),"lbm","g")/24/3600</f>
        <v>1.5731186896948272E-3</v>
      </c>
      <c r="F122" s="84">
        <f t="shared" ref="F122:I141" si="12">IF(INDEX($B$6:$L$56,MATCH($C122,$C$6:$C$56,0),MATCH(F$121,$B$5:$L$5,0))="",0,$D122/INDEX($B$6:$L$56,MATCH($C122,$C$6:$C$56,0),MATCH(F$121,$B$5:$L$5,0)))</f>
        <v>5.5181757090290689E-4</v>
      </c>
      <c r="G122" s="85">
        <f t="shared" si="12"/>
        <v>9.1049899198979638E-6</v>
      </c>
      <c r="H122" s="85">
        <f t="shared" si="12"/>
        <v>2.1174395162553403E-5</v>
      </c>
      <c r="I122" s="85">
        <f t="shared" si="12"/>
        <v>2.0693158908859008E-6</v>
      </c>
      <c r="J122" s="85">
        <f t="shared" ref="J122:K141" si="13">IF(INDEX($B$6:$L$56,MATCH($C122,$C$6:$C$56,0),MATCH(J$5,$B$5:$L$5,0))="",0,$D122/INDEX($B$6:$L$56,MATCH($C122,$C$6:$C$56,0),MATCH(J$5,$B$5:$L$5,0)))</f>
        <v>4.5524949599489814E-5</v>
      </c>
      <c r="K122" s="85">
        <f t="shared" si="13"/>
        <v>2.0693158908859008E-6</v>
      </c>
      <c r="L122" s="86">
        <f t="shared" ref="L122:L153" si="14">IF(INDEX($B$6:$L$56,MATCH($C122,$C$6:$C$56,0),MATCH(L$4,$B$4:$L$4,0))="",0,$E122/INDEX($B$6:$L$56,MATCH($C122,$C$6:$C$56,0),MATCH(L$4,$B$4:$L$4,0)))</f>
        <v>2.3835131662042834E-6</v>
      </c>
    </row>
    <row r="123" spans="1:12" x14ac:dyDescent="0.2">
      <c r="B123" s="132" t="s">
        <v>129</v>
      </c>
      <c r="C123" s="134" t="str">
        <f t="shared" si="11"/>
        <v>83-32-9</v>
      </c>
      <c r="D123" s="332">
        <f>CONVERT(INDEX('Screening Emission Calculations'!$F$4:$F$54,MATCH($C123,'Screening Emission Calculations'!$C$4:$C$54,0)),"lbm","g")/8760/3600</f>
        <v>6.1533172668060366E-8</v>
      </c>
      <c r="E123" s="86">
        <f>CONVERT(INDEX('Screening Emission Calculations'!$F$83:$F$133,MATCH($C123,'Screening Emission Calculations'!$C$83:$C$133,0)),"lbm","g")/24/3600</f>
        <v>5.3157106604149571E-6</v>
      </c>
      <c r="F123" s="84">
        <f t="shared" si="12"/>
        <v>0</v>
      </c>
      <c r="G123" s="85">
        <f t="shared" si="12"/>
        <v>0</v>
      </c>
      <c r="H123" s="85">
        <f t="shared" si="12"/>
        <v>0</v>
      </c>
      <c r="I123" s="85">
        <f t="shared" si="12"/>
        <v>0</v>
      </c>
      <c r="J123" s="85">
        <f t="shared" si="13"/>
        <v>0</v>
      </c>
      <c r="K123" s="85">
        <f t="shared" si="13"/>
        <v>0</v>
      </c>
      <c r="L123" s="86">
        <f t="shared" si="14"/>
        <v>0</v>
      </c>
    </row>
    <row r="124" spans="1:12" x14ac:dyDescent="0.2">
      <c r="B124" s="133" t="s">
        <v>130</v>
      </c>
      <c r="C124" s="134" t="str">
        <f t="shared" si="11"/>
        <v>208-96-8</v>
      </c>
      <c r="D124" s="332">
        <f>CONVERT(INDEX('Screening Emission Calculations'!$F$4:$F$54,MATCH($C124,'Screening Emission Calculations'!$C$4:$C$54,0)),"lbm","g")/8760/3600</f>
        <v>6.783228991182804E-8</v>
      </c>
      <c r="E124" s="86">
        <f>CONVERT(INDEX('Screening Emission Calculations'!$F$83:$F$133,MATCH($C124,'Screening Emission Calculations'!$C$83:$C$133,0)),"lbm","g")/24/3600</f>
        <v>5.8598770544432655E-6</v>
      </c>
      <c r="F124" s="84">
        <f t="shared" si="12"/>
        <v>0</v>
      </c>
      <c r="G124" s="85">
        <f t="shared" si="12"/>
        <v>0</v>
      </c>
      <c r="H124" s="85">
        <f t="shared" si="12"/>
        <v>0</v>
      </c>
      <c r="I124" s="85">
        <f t="shared" si="12"/>
        <v>0</v>
      </c>
      <c r="J124" s="85">
        <f t="shared" si="13"/>
        <v>0</v>
      </c>
      <c r="K124" s="85">
        <f t="shared" si="13"/>
        <v>0</v>
      </c>
      <c r="L124" s="86">
        <f t="shared" si="14"/>
        <v>0</v>
      </c>
    </row>
    <row r="125" spans="1:12" x14ac:dyDescent="0.2">
      <c r="B125" s="133" t="s">
        <v>11</v>
      </c>
      <c r="C125" s="134" t="str">
        <f t="shared" si="11"/>
        <v>75-07-0</v>
      </c>
      <c r="D125" s="332">
        <f>CONVERT(INDEX('Screening Emission Calculations'!$F$4:$F$54,MATCH($C125,'Screening Emission Calculations'!$C$4:$C$54,0)),"lbm","g")/8760/3600</f>
        <v>6.561121071072745E-5</v>
      </c>
      <c r="E125" s="86">
        <f>CONVERT(INDEX('Screening Emission Calculations'!$F$83:$F$133,MATCH($C125,'Screening Emission Calculations'!$C$83:$C$133,0)),"lbm","g")/24/3600</f>
        <v>5.6680030802113979E-3</v>
      </c>
      <c r="F125" s="84">
        <f t="shared" si="12"/>
        <v>1.4580269046828321E-4</v>
      </c>
      <c r="G125" s="85">
        <f t="shared" si="12"/>
        <v>4.6865150507662462E-7</v>
      </c>
      <c r="H125" s="85">
        <f t="shared" si="12"/>
        <v>5.4676008925606208E-6</v>
      </c>
      <c r="I125" s="85">
        <f t="shared" si="12"/>
        <v>1.0582453340439911E-7</v>
      </c>
      <c r="J125" s="85">
        <f t="shared" si="13"/>
        <v>1.1929311038314081E-5</v>
      </c>
      <c r="K125" s="85">
        <f t="shared" si="13"/>
        <v>1.0582453340439911E-7</v>
      </c>
      <c r="L125" s="86">
        <f t="shared" si="14"/>
        <v>1.2059581021726378E-5</v>
      </c>
    </row>
    <row r="126" spans="1:12" x14ac:dyDescent="0.2">
      <c r="B126" s="133" t="s">
        <v>13</v>
      </c>
      <c r="C126" s="134" t="str">
        <f t="shared" si="11"/>
        <v>107-02-8</v>
      </c>
      <c r="D126" s="332">
        <f>CONVERT(INDEX('Screening Emission Calculations'!$F$4:$F$54,MATCH($C126,'Screening Emission Calculations'!$C$4:$C$54,0)),"lbm","g")/8760/3600</f>
        <v>2.8395506741908093E-6</v>
      </c>
      <c r="E126" s="86">
        <f>CONVERT(INDEX('Screening Emission Calculations'!$F$83:$F$133,MATCH($C126,'Screening Emission Calculations'!$C$83:$C$133,0)),"lbm","g")/24/3600</f>
        <v>2.4530231637835622E-4</v>
      </c>
      <c r="F126" s="84">
        <f t="shared" si="12"/>
        <v>0</v>
      </c>
      <c r="G126" s="85">
        <f t="shared" si="12"/>
        <v>8.1130019262594552E-6</v>
      </c>
      <c r="H126" s="85">
        <f t="shared" si="12"/>
        <v>0</v>
      </c>
      <c r="I126" s="85">
        <f t="shared" si="12"/>
        <v>1.8930337827938728E-6</v>
      </c>
      <c r="J126" s="85">
        <f t="shared" si="13"/>
        <v>0</v>
      </c>
      <c r="K126" s="85">
        <f t="shared" si="13"/>
        <v>1.8930337827938728E-6</v>
      </c>
      <c r="L126" s="86">
        <f t="shared" si="14"/>
        <v>3.5551060344689307E-5</v>
      </c>
    </row>
    <row r="127" spans="1:12" x14ac:dyDescent="0.2">
      <c r="B127" s="133" t="s">
        <v>15</v>
      </c>
      <c r="C127" s="134" t="str">
        <f t="shared" si="11"/>
        <v>7664-41-7</v>
      </c>
      <c r="D127" s="332">
        <f>CONVERT(INDEX('Screening Emission Calculations'!$F$4:$F$54,MATCH($C127,'Screening Emission Calculations'!$C$4:$C$54,0)),"lbm","g")/8760/3600</f>
        <v>6.5933137496194816E-5</v>
      </c>
      <c r="E127" s="86">
        <f>CONVERT(INDEX('Screening Emission Calculations'!$F$83:$F$133,MATCH($C127,'Screening Emission Calculations'!$C$83:$C$133,0)),"lbm","g")/24/3600</f>
        <v>5.775742844666666E-3</v>
      </c>
      <c r="F127" s="84">
        <f t="shared" si="12"/>
        <v>0</v>
      </c>
      <c r="G127" s="85">
        <f t="shared" si="12"/>
        <v>1.3186627499238964E-7</v>
      </c>
      <c r="H127" s="85">
        <f t="shared" si="12"/>
        <v>0</v>
      </c>
      <c r="I127" s="85">
        <f t="shared" si="12"/>
        <v>2.9969607952815828E-8</v>
      </c>
      <c r="J127" s="85">
        <f t="shared" si="13"/>
        <v>0</v>
      </c>
      <c r="K127" s="85">
        <f t="shared" si="13"/>
        <v>2.9969607952815828E-8</v>
      </c>
      <c r="L127" s="86">
        <f t="shared" si="14"/>
        <v>4.8131190372222217E-6</v>
      </c>
    </row>
    <row r="128" spans="1:12" x14ac:dyDescent="0.2">
      <c r="B128" s="133" t="s">
        <v>132</v>
      </c>
      <c r="C128" s="134" t="str">
        <f t="shared" si="11"/>
        <v>120-12-7</v>
      </c>
      <c r="D128" s="332">
        <f>CONVERT(INDEX('Screening Emission Calculations'!$F$4:$F$54,MATCH($C128,'Screening Emission Calculations'!$C$4:$C$54,0)),"lbm","g")/8760/3600</f>
        <v>3.7868215070920247E-8</v>
      </c>
      <c r="E128" s="86">
        <f>CONVERT(INDEX('Screening Emission Calculations'!$F$83:$F$133,MATCH($C128,'Screening Emission Calculations'!$C$83:$C$133,0)),"lbm","g")/24/3600</f>
        <v>3.2713488646078339E-6</v>
      </c>
      <c r="F128" s="84">
        <f t="shared" si="12"/>
        <v>0</v>
      </c>
      <c r="G128" s="85">
        <f t="shared" si="12"/>
        <v>0</v>
      </c>
      <c r="H128" s="85">
        <f t="shared" si="12"/>
        <v>0</v>
      </c>
      <c r="I128" s="85">
        <f t="shared" si="12"/>
        <v>0</v>
      </c>
      <c r="J128" s="85">
        <f t="shared" si="13"/>
        <v>0</v>
      </c>
      <c r="K128" s="85">
        <f t="shared" si="13"/>
        <v>0</v>
      </c>
      <c r="L128" s="86">
        <f t="shared" si="14"/>
        <v>0</v>
      </c>
    </row>
    <row r="129" spans="2:12" x14ac:dyDescent="0.2">
      <c r="B129" s="133" t="s">
        <v>19</v>
      </c>
      <c r="C129" s="134" t="str">
        <f t="shared" si="11"/>
        <v>7440-36-0</v>
      </c>
      <c r="D129" s="332">
        <f>CONVERT(INDEX('Screening Emission Calculations'!$F$4:$F$54,MATCH($C129,'Screening Emission Calculations'!$C$4:$C$54,0)),"lbm","g")/8760/3600</f>
        <v>2.6223856529312044E-8</v>
      </c>
      <c r="E129" s="86">
        <f>CONVERT(INDEX('Screening Emission Calculations'!$F$83:$F$133,MATCH($C129,'Screening Emission Calculations'!$C$83:$C$133,0)),"lbm","g")/24/3600</f>
        <v>2.2972098319677347E-6</v>
      </c>
      <c r="F129" s="84">
        <f t="shared" si="12"/>
        <v>0</v>
      </c>
      <c r="G129" s="85">
        <f t="shared" si="12"/>
        <v>8.7412855097706819E-8</v>
      </c>
      <c r="H129" s="85">
        <f t="shared" si="12"/>
        <v>0</v>
      </c>
      <c r="I129" s="85">
        <f t="shared" si="12"/>
        <v>2.0172197330240034E-8</v>
      </c>
      <c r="J129" s="85">
        <f t="shared" si="13"/>
        <v>0</v>
      </c>
      <c r="K129" s="85">
        <f t="shared" si="13"/>
        <v>2.0172197330240034E-8</v>
      </c>
      <c r="L129" s="86">
        <f t="shared" si="14"/>
        <v>2.2972098319677347E-6</v>
      </c>
    </row>
    <row r="130" spans="2:12" x14ac:dyDescent="0.2">
      <c r="B130" s="133" t="s">
        <v>21</v>
      </c>
      <c r="C130" s="134" t="str">
        <f t="shared" si="11"/>
        <v>7440-38-2</v>
      </c>
      <c r="D130" s="332">
        <f>CONVERT(INDEX('Screening Emission Calculations'!$F$4:$F$54,MATCH($C130,'Screening Emission Calculations'!$C$4:$C$54,0)),"lbm","g")/8760/3600</f>
        <v>2.2817207137494836E-8</v>
      </c>
      <c r="E130" s="86">
        <f>CONVERT(INDEX('Screening Emission Calculations'!$F$83:$F$133,MATCH($C130,'Screening Emission Calculations'!$C$83:$C$133,0)),"lbm","g")/24/3600</f>
        <v>1.9987873452445477E-6</v>
      </c>
      <c r="F130" s="84">
        <f t="shared" si="12"/>
        <v>9.5071696406228486E-4</v>
      </c>
      <c r="G130" s="85">
        <f t="shared" si="12"/>
        <v>1.342188655146755E-4</v>
      </c>
      <c r="H130" s="85">
        <f t="shared" si="12"/>
        <v>1.7551697798072951E-5</v>
      </c>
      <c r="I130" s="85">
        <f t="shared" si="12"/>
        <v>9.5071696406228489E-6</v>
      </c>
      <c r="J130" s="85">
        <f t="shared" si="13"/>
        <v>3.6801946995959415E-5</v>
      </c>
      <c r="K130" s="85">
        <f t="shared" si="13"/>
        <v>9.5071696406228489E-6</v>
      </c>
      <c r="L130" s="86">
        <f t="shared" si="14"/>
        <v>9.9939367262227381E-6</v>
      </c>
    </row>
    <row r="131" spans="2:12" x14ac:dyDescent="0.2">
      <c r="B131" s="133" t="s">
        <v>23</v>
      </c>
      <c r="C131" s="134" t="str">
        <f t="shared" si="11"/>
        <v>7440-39-3</v>
      </c>
      <c r="D131" s="332">
        <f>CONVERT(INDEX('Screening Emission Calculations'!$F$4:$F$54,MATCH($C131,'Screening Emission Calculations'!$C$4:$C$54,0)),"lbm","g")/8760/3600</f>
        <v>3.0814952017850206E-8</v>
      </c>
      <c r="E131" s="86">
        <f>CONVERT(INDEX('Screening Emission Calculations'!$F$83:$F$133,MATCH($C131,'Screening Emission Calculations'!$C$83:$C$133,0)),"lbm","g")/24/3600</f>
        <v>2.6993897967636775E-6</v>
      </c>
      <c r="F131" s="84">
        <f t="shared" si="12"/>
        <v>0</v>
      </c>
      <c r="G131" s="85">
        <f t="shared" si="12"/>
        <v>0</v>
      </c>
      <c r="H131" s="85">
        <f t="shared" si="12"/>
        <v>0</v>
      </c>
      <c r="I131" s="85">
        <f t="shared" si="12"/>
        <v>0</v>
      </c>
      <c r="J131" s="85">
        <f t="shared" si="13"/>
        <v>0</v>
      </c>
      <c r="K131" s="85">
        <f t="shared" si="13"/>
        <v>0</v>
      </c>
      <c r="L131" s="86">
        <f t="shared" si="14"/>
        <v>0</v>
      </c>
    </row>
    <row r="132" spans="2:12" x14ac:dyDescent="0.2">
      <c r="B132" s="133" t="s">
        <v>133</v>
      </c>
      <c r="C132" s="134" t="str">
        <f t="shared" si="11"/>
        <v>56-55-3</v>
      </c>
      <c r="D132" s="332">
        <f>CONVERT(INDEX('Screening Emission Calculations'!$F$4:$F$54,MATCH($C132,'Screening Emission Calculations'!$C$4:$C$54,0)),"lbm","g")/8760/3600</f>
        <v>4.0659453818004092E-9</v>
      </c>
      <c r="E132" s="86">
        <f>CONVERT(INDEX('Screening Emission Calculations'!$F$83:$F$133,MATCH($C132,'Screening Emission Calculations'!$C$83:$C$133,0)),"lbm","g")/24/3600</f>
        <v>3.5124776236217245E-7</v>
      </c>
      <c r="F132" s="84">
        <f t="shared" si="12"/>
        <v>1.9361644675240044E-5</v>
      </c>
      <c r="G132" s="85">
        <f t="shared" si="12"/>
        <v>0</v>
      </c>
      <c r="H132" s="85">
        <f t="shared" si="12"/>
        <v>5.212750489487704E-7</v>
      </c>
      <c r="I132" s="85">
        <f t="shared" si="12"/>
        <v>0</v>
      </c>
      <c r="J132" s="85">
        <f t="shared" si="13"/>
        <v>2.7106302545336063E-7</v>
      </c>
      <c r="K132" s="85">
        <f t="shared" si="13"/>
        <v>0</v>
      </c>
      <c r="L132" s="86">
        <f t="shared" si="14"/>
        <v>0</v>
      </c>
    </row>
    <row r="133" spans="2:12" x14ac:dyDescent="0.2">
      <c r="B133" s="133" t="s">
        <v>27</v>
      </c>
      <c r="C133" s="134" t="str">
        <f t="shared" si="11"/>
        <v>71-43-2</v>
      </c>
      <c r="D133" s="332">
        <f>CONVERT(INDEX('Screening Emission Calculations'!$F$4:$F$54,MATCH($C133,'Screening Emission Calculations'!$C$4:$C$54,0)),"lbm","g")/8760/3600</f>
        <v>1.5604964324535333E-5</v>
      </c>
      <c r="E133" s="86">
        <f>CONVERT(INDEX('Screening Emission Calculations'!$F$83:$F$133,MATCH($C133,'Screening Emission Calculations'!$C$83:$C$133,0)),"lbm","g")/24/3600</f>
        <v>1.3480773316014087E-3</v>
      </c>
      <c r="F133" s="84">
        <f t="shared" si="12"/>
        <v>1.2003818711181025E-4</v>
      </c>
      <c r="G133" s="85">
        <f t="shared" si="12"/>
        <v>5.2016547748451112E-6</v>
      </c>
      <c r="H133" s="85">
        <f t="shared" si="12"/>
        <v>4.7287770680410106E-6</v>
      </c>
      <c r="I133" s="85">
        <f t="shared" si="12"/>
        <v>1.2003818711181026E-6</v>
      </c>
      <c r="J133" s="85">
        <f t="shared" si="13"/>
        <v>1.0403309549690222E-5</v>
      </c>
      <c r="K133" s="85">
        <f t="shared" si="13"/>
        <v>1.2003818711181026E-6</v>
      </c>
      <c r="L133" s="86">
        <f t="shared" si="14"/>
        <v>4.6485425227634781E-5</v>
      </c>
    </row>
    <row r="134" spans="2:12" x14ac:dyDescent="0.2">
      <c r="B134" s="133" t="s">
        <v>190</v>
      </c>
      <c r="C134" s="134" t="str">
        <f t="shared" si="11"/>
        <v>50-32-8</v>
      </c>
      <c r="D134" s="332">
        <f>CONVERT(INDEX('Screening Emission Calculations'!$F$4:$F$54,MATCH($C134,'Screening Emission Calculations'!$C$4:$C$54,0)),"lbm","g")/8760/3600</f>
        <v>1.2049442604424334E-9</v>
      </c>
      <c r="E134" s="86">
        <f>CONVERT(INDEX('Screening Emission Calculations'!$F$83:$F$133,MATCH($C134,'Screening Emission Calculations'!$C$83:$C$133,0)),"lbm","g")/24/3600</f>
        <v>1.0409239070106215E-7</v>
      </c>
      <c r="F134" s="84">
        <f t="shared" si="12"/>
        <v>2.802195954517287E-5</v>
      </c>
      <c r="G134" s="85">
        <f t="shared" si="12"/>
        <v>6.024721302212167E-7</v>
      </c>
      <c r="H134" s="85">
        <f t="shared" si="12"/>
        <v>7.5309016277652088E-7</v>
      </c>
      <c r="I134" s="85">
        <f t="shared" si="12"/>
        <v>1.3692548414118559E-7</v>
      </c>
      <c r="J134" s="85">
        <f t="shared" si="13"/>
        <v>4.0164808681414445E-7</v>
      </c>
      <c r="K134" s="85">
        <f t="shared" si="13"/>
        <v>1.3692548414118559E-7</v>
      </c>
      <c r="L134" s="86">
        <f t="shared" si="14"/>
        <v>5.2046195350531069E-5</v>
      </c>
    </row>
    <row r="135" spans="2:12" x14ac:dyDescent="0.2">
      <c r="B135" s="133" t="s">
        <v>135</v>
      </c>
      <c r="C135" s="134" t="str">
        <f t="shared" si="11"/>
        <v>205-99-2</v>
      </c>
      <c r="D135" s="332">
        <f>CONVERT(INDEX('Screening Emission Calculations'!$F$4:$F$54,MATCH($C135,'Screening Emission Calculations'!$C$4:$C$54,0)),"lbm","g")/8760/3600</f>
        <v>3.7151691061561095E-9</v>
      </c>
      <c r="E135" s="86">
        <f>CONVERT(INDEX('Screening Emission Calculations'!$F$83:$F$133,MATCH($C135,'Screening Emission Calculations'!$C$83:$C$133,0)),"lbm","g")/24/3600</f>
        <v>3.2094499871431478E-7</v>
      </c>
      <c r="F135" s="84">
        <f t="shared" si="12"/>
        <v>7.009753030483225E-5</v>
      </c>
      <c r="G135" s="85">
        <f t="shared" si="12"/>
        <v>0</v>
      </c>
      <c r="H135" s="85">
        <f t="shared" si="12"/>
        <v>1.8575845530780547E-6</v>
      </c>
      <c r="I135" s="85">
        <f t="shared" si="12"/>
        <v>0</v>
      </c>
      <c r="J135" s="85">
        <f t="shared" si="13"/>
        <v>9.7767608056739733E-7</v>
      </c>
      <c r="K135" s="85">
        <f t="shared" si="13"/>
        <v>0</v>
      </c>
      <c r="L135" s="86">
        <f t="shared" si="14"/>
        <v>0</v>
      </c>
    </row>
    <row r="136" spans="2:12" x14ac:dyDescent="0.2">
      <c r="B136" s="133" t="s">
        <v>136</v>
      </c>
      <c r="C136" s="134" t="str">
        <f t="shared" si="11"/>
        <v>192-97-2</v>
      </c>
      <c r="D136" s="332">
        <f>CONVERT(INDEX('Screening Emission Calculations'!$F$4:$F$54,MATCH($C136,'Screening Emission Calculations'!$C$4:$C$54,0)),"lbm","g")/8760/3600</f>
        <v>2.7531323767706652E-9</v>
      </c>
      <c r="E136" s="86">
        <f>CONVERT(INDEX('Screening Emission Calculations'!$F$83:$F$133,MATCH($C136,'Screening Emission Calculations'!$C$83:$C$133,0)),"lbm","g")/24/3600</f>
        <v>2.3783683646024348E-7</v>
      </c>
      <c r="F136" s="84">
        <f t="shared" si="12"/>
        <v>0</v>
      </c>
      <c r="G136" s="85">
        <f t="shared" si="12"/>
        <v>0</v>
      </c>
      <c r="H136" s="85">
        <f t="shared" si="12"/>
        <v>0</v>
      </c>
      <c r="I136" s="85">
        <f t="shared" si="12"/>
        <v>0</v>
      </c>
      <c r="J136" s="85">
        <f t="shared" si="13"/>
        <v>0</v>
      </c>
      <c r="K136" s="85">
        <f t="shared" si="13"/>
        <v>0</v>
      </c>
      <c r="L136" s="86">
        <f t="shared" si="14"/>
        <v>0</v>
      </c>
    </row>
    <row r="137" spans="2:12" x14ac:dyDescent="0.2">
      <c r="B137" s="133" t="s">
        <v>137</v>
      </c>
      <c r="C137" s="134" t="str">
        <f t="shared" si="11"/>
        <v>191-24-2</v>
      </c>
      <c r="D137" s="332">
        <f>CONVERT(INDEX('Screening Emission Calculations'!$F$4:$F$54,MATCH($C137,'Screening Emission Calculations'!$C$4:$C$54,0)),"lbm","g")/8760/3600</f>
        <v>1.8322471869890421E-9</v>
      </c>
      <c r="E137" s="86">
        <f>CONVERT(INDEX('Screening Emission Calculations'!$F$83:$F$133,MATCH($C137,'Screening Emission Calculations'!$C$83:$C$133,0)),"lbm","g")/24/3600</f>
        <v>1.5828366200022855E-7</v>
      </c>
      <c r="F137" s="84">
        <f t="shared" si="12"/>
        <v>3.8983982701894512E-7</v>
      </c>
      <c r="G137" s="85">
        <f t="shared" si="12"/>
        <v>0</v>
      </c>
      <c r="H137" s="85">
        <f t="shared" si="12"/>
        <v>1.0777924629347306E-8</v>
      </c>
      <c r="I137" s="85">
        <f t="shared" si="12"/>
        <v>0</v>
      </c>
      <c r="J137" s="85">
        <f t="shared" si="13"/>
        <v>5.3889623146736529E-9</v>
      </c>
      <c r="K137" s="85">
        <f t="shared" si="13"/>
        <v>0</v>
      </c>
      <c r="L137" s="86">
        <f t="shared" si="14"/>
        <v>0</v>
      </c>
    </row>
    <row r="138" spans="2:12" x14ac:dyDescent="0.2">
      <c r="B138" s="133" t="s">
        <v>138</v>
      </c>
      <c r="C138" s="134" t="str">
        <f t="shared" si="11"/>
        <v>207-08-9</v>
      </c>
      <c r="D138" s="332">
        <f>CONVERT(INDEX('Screening Emission Calculations'!$F$4:$F$54,MATCH($C138,'Screening Emission Calculations'!$C$4:$C$54,0)),"lbm","g")/8760/3600</f>
        <v>1.093466484016113E-9</v>
      </c>
      <c r="E138" s="86">
        <f>CONVERT(INDEX('Screening Emission Calculations'!$F$83:$F$133,MATCH($C138,'Screening Emission Calculations'!$C$83:$C$133,0)),"lbm","g")/24/3600</f>
        <v>9.446207945828863E-8</v>
      </c>
      <c r="F138" s="84">
        <f t="shared" si="12"/>
        <v>7.8104748858293783E-7</v>
      </c>
      <c r="G138" s="85">
        <f t="shared" si="12"/>
        <v>0</v>
      </c>
      <c r="H138" s="85">
        <f t="shared" si="12"/>
        <v>2.1028201615694481E-8</v>
      </c>
      <c r="I138" s="85">
        <f t="shared" si="12"/>
        <v>0</v>
      </c>
      <c r="J138" s="85">
        <f t="shared" si="13"/>
        <v>1.093466484016113E-8</v>
      </c>
      <c r="K138" s="85">
        <f t="shared" si="13"/>
        <v>0</v>
      </c>
      <c r="L138" s="86">
        <f t="shared" si="14"/>
        <v>0</v>
      </c>
    </row>
    <row r="139" spans="2:12" x14ac:dyDescent="0.2">
      <c r="B139" s="133" t="s">
        <v>39</v>
      </c>
      <c r="C139" s="134" t="str">
        <f t="shared" si="11"/>
        <v>7440-41-7</v>
      </c>
      <c r="D139" s="332">
        <f>CONVERT(INDEX('Screening Emission Calculations'!$F$4:$F$54,MATCH($C139,'Screening Emission Calculations'!$C$4:$C$54,0)),"lbm","g")/8760/3600</f>
        <v>3.9319607941417819E-10</v>
      </c>
      <c r="E139" s="86">
        <f>CONVERT(INDEX('Screening Emission Calculations'!$F$83:$F$133,MATCH($C139,'Screening Emission Calculations'!$C$83:$C$133,0)),"lbm","g")/24/3600</f>
        <v>3.4443976556682004E-8</v>
      </c>
      <c r="F139" s="84">
        <f t="shared" si="12"/>
        <v>9.3618114146232902E-7</v>
      </c>
      <c r="G139" s="85">
        <f t="shared" si="12"/>
        <v>5.6170868487739741E-8</v>
      </c>
      <c r="H139" s="85">
        <f t="shared" si="12"/>
        <v>3.5745098128561653E-8</v>
      </c>
      <c r="I139" s="85">
        <f t="shared" si="12"/>
        <v>1.2683744497231555E-8</v>
      </c>
      <c r="J139" s="85">
        <f t="shared" si="13"/>
        <v>7.8639215882835633E-8</v>
      </c>
      <c r="K139" s="85">
        <f t="shared" si="13"/>
        <v>1.2683744497231555E-8</v>
      </c>
      <c r="L139" s="86">
        <f t="shared" si="14"/>
        <v>1.7221988278341001E-6</v>
      </c>
    </row>
    <row r="140" spans="2:12" x14ac:dyDescent="0.2">
      <c r="B140" s="133" t="s">
        <v>41</v>
      </c>
      <c r="C140" s="134" t="str">
        <f t="shared" si="11"/>
        <v>7440-43-9</v>
      </c>
      <c r="D140" s="332">
        <f>CONVERT(INDEX('Screening Emission Calculations'!$F$4:$F$54,MATCH($C140,'Screening Emission Calculations'!$C$4:$C$54,0)),"lbm","g")/8760/3600</f>
        <v>6.6574581030914809E-9</v>
      </c>
      <c r="E140" s="86">
        <f>CONVERT(INDEX('Screening Emission Calculations'!$F$83:$F$133,MATCH($C140,'Screening Emission Calculations'!$C$83:$C$133,0)),"lbm","g")/24/3600</f>
        <v>5.8319332983081357E-7</v>
      </c>
      <c r="F140" s="84">
        <f t="shared" si="12"/>
        <v>1.1888318041234789E-5</v>
      </c>
      <c r="G140" s="85">
        <f t="shared" si="12"/>
        <v>1.3314916206182961E-6</v>
      </c>
      <c r="H140" s="85">
        <f t="shared" si="12"/>
        <v>4.7553272164939146E-7</v>
      </c>
      <c r="I140" s="85">
        <f t="shared" si="12"/>
        <v>1.7993130008355355E-7</v>
      </c>
      <c r="J140" s="85">
        <f t="shared" si="13"/>
        <v>9.9365046314798226E-7</v>
      </c>
      <c r="K140" s="85">
        <f t="shared" si="13"/>
        <v>1.7993130008355355E-7</v>
      </c>
      <c r="L140" s="86">
        <f t="shared" si="14"/>
        <v>1.9439777661027121E-5</v>
      </c>
    </row>
    <row r="141" spans="2:12" x14ac:dyDescent="0.2">
      <c r="B141" s="133" t="s">
        <v>43</v>
      </c>
      <c r="C141" s="134" t="s">
        <v>44</v>
      </c>
      <c r="D141" s="332">
        <f>CONVERT(INDEX('Screening Emission Calculations'!$F$4:$F$54,MATCH($C141,'Screening Emission Calculations'!$C$4:$C$54,0)),"lbm","g")/8760/3600</f>
        <v>1.6752511352158171E-8</v>
      </c>
      <c r="E141" s="86">
        <f>CONVERT(INDEX('Screening Emission Calculations'!$F$83:$F$133,MATCH($C141,'Screening Emission Calculations'!$C$83:$C$133,0)),"lbm","g")/24/3600</f>
        <v>1.4472113060669982E-6</v>
      </c>
      <c r="F141" s="84">
        <f t="shared" si="12"/>
        <v>0</v>
      </c>
      <c r="G141" s="85">
        <f t="shared" si="12"/>
        <v>3.3505022704316343E-10</v>
      </c>
      <c r="H141" s="85">
        <f t="shared" si="12"/>
        <v>0</v>
      </c>
      <c r="I141" s="85">
        <f t="shared" si="12"/>
        <v>7.6147778873446233E-11</v>
      </c>
      <c r="J141" s="85">
        <f t="shared" si="13"/>
        <v>0</v>
      </c>
      <c r="K141" s="85">
        <f t="shared" si="13"/>
        <v>7.6147778873446233E-11</v>
      </c>
      <c r="L141" s="86">
        <f t="shared" si="14"/>
        <v>0</v>
      </c>
    </row>
    <row r="142" spans="2:12" x14ac:dyDescent="0.2">
      <c r="B142" s="133" t="s">
        <v>139</v>
      </c>
      <c r="C142" s="134" t="str">
        <f t="shared" ref="C142:C163" si="15">C26</f>
        <v>218-01-9</v>
      </c>
      <c r="D142" s="332">
        <f>CONVERT(INDEX('Screening Emission Calculations'!$F$4:$F$54,MATCH($C142,'Screening Emission Calculations'!$C$4:$C$54,0)),"lbm","g")/8760/3600</f>
        <v>5.6120840288458257E-9</v>
      </c>
      <c r="E142" s="86">
        <f>CONVERT(INDEX('Screening Emission Calculations'!$F$83:$F$133,MATCH($C142,'Screening Emission Calculations'!$C$83:$C$133,0)),"lbm","g")/24/3600</f>
        <v>4.8481515913716411E-7</v>
      </c>
      <c r="F142" s="84">
        <f t="shared" ref="F142:I161" si="16">IF(INDEX($B$6:$L$56,MATCH($C142,$C$6:$C$56,0),MATCH(F$121,$B$5:$L$5,0))="",0,$D142/INDEX($B$6:$L$56,MATCH($C142,$C$6:$C$56,0),MATCH(F$121,$B$5:$L$5,0)))</f>
        <v>1.3051358206618199E-5</v>
      </c>
      <c r="G142" s="85">
        <f t="shared" si="16"/>
        <v>0</v>
      </c>
      <c r="H142" s="85">
        <f t="shared" si="16"/>
        <v>3.5075525180286407E-7</v>
      </c>
      <c r="I142" s="85">
        <f t="shared" si="16"/>
        <v>0</v>
      </c>
      <c r="J142" s="85">
        <f t="shared" ref="J142:K161" si="17">IF(INDEX($B$6:$L$56,MATCH($C142,$C$6:$C$56,0),MATCH(J$5,$B$5:$L$5,0))="",0,$D142/INDEX($B$6:$L$56,MATCH($C142,$C$6:$C$56,0),MATCH(J$5,$B$5:$L$5,0)))</f>
        <v>1.870694676281942E-7</v>
      </c>
      <c r="K142" s="85">
        <f t="shared" si="17"/>
        <v>0</v>
      </c>
      <c r="L142" s="86">
        <f t="shared" si="14"/>
        <v>0</v>
      </c>
    </row>
    <row r="143" spans="2:12" x14ac:dyDescent="0.2">
      <c r="B143" s="133" t="s">
        <v>47</v>
      </c>
      <c r="C143" s="134" t="str">
        <f t="shared" si="15"/>
        <v>7440-48-4</v>
      </c>
      <c r="D143" s="332">
        <f>CONVERT(INDEX('Screening Emission Calculations'!$F$4:$F$54,MATCH($C143,'Screening Emission Calculations'!$C$4:$C$54,0)),"lbm","g")/8760/3600</f>
        <v>1.2981524163970791E-9</v>
      </c>
      <c r="E143" s="86">
        <f>CONVERT(INDEX('Screening Emission Calculations'!$F$83:$F$133,MATCH($C143,'Screening Emission Calculations'!$C$83:$C$133,0)),"lbm","g")/24/3600</f>
        <v>1.137181516763841E-7</v>
      </c>
      <c r="F143" s="84">
        <f t="shared" si="16"/>
        <v>0</v>
      </c>
      <c r="G143" s="85">
        <f t="shared" si="16"/>
        <v>1.2981524163970791E-8</v>
      </c>
      <c r="H143" s="85">
        <f t="shared" si="16"/>
        <v>0</v>
      </c>
      <c r="I143" s="85">
        <f t="shared" si="16"/>
        <v>2.9503464009024523E-9</v>
      </c>
      <c r="J143" s="85">
        <f t="shared" si="17"/>
        <v>0</v>
      </c>
      <c r="K143" s="85">
        <f t="shared" si="17"/>
        <v>2.9503464009024523E-9</v>
      </c>
      <c r="L143" s="86">
        <f t="shared" si="14"/>
        <v>0</v>
      </c>
    </row>
    <row r="144" spans="2:12" x14ac:dyDescent="0.2">
      <c r="B144" s="133" t="s">
        <v>49</v>
      </c>
      <c r="C144" s="134" t="str">
        <f t="shared" si="15"/>
        <v>7440-50-8</v>
      </c>
      <c r="D144" s="332">
        <f>CONVERT(INDEX('Screening Emission Calculations'!$F$4:$F$54,MATCH($C144,'Screening Emission Calculations'!$C$4:$C$54,0)),"lbm","g")/8760/3600</f>
        <v>4.13841871594913E-8</v>
      </c>
      <c r="E144" s="86">
        <f>CONVERT(INDEX('Screening Emission Calculations'!$F$83:$F$133,MATCH($C144,'Screening Emission Calculations'!$C$83:$C$133,0)),"lbm","g")/24/3600</f>
        <v>3.6252547951714364E-6</v>
      </c>
      <c r="F144" s="84">
        <f t="shared" si="16"/>
        <v>0</v>
      </c>
      <c r="G144" s="85">
        <f t="shared" si="16"/>
        <v>0</v>
      </c>
      <c r="H144" s="85">
        <f t="shared" si="16"/>
        <v>0</v>
      </c>
      <c r="I144" s="85">
        <f t="shared" si="16"/>
        <v>0</v>
      </c>
      <c r="J144" s="85">
        <f t="shared" si="17"/>
        <v>0</v>
      </c>
      <c r="K144" s="85">
        <f t="shared" si="17"/>
        <v>0</v>
      </c>
      <c r="L144" s="86">
        <f t="shared" si="14"/>
        <v>3.6252547951714366E-8</v>
      </c>
    </row>
    <row r="145" spans="2:12" x14ac:dyDescent="0.2">
      <c r="B145" s="135" t="s">
        <v>140</v>
      </c>
      <c r="C145" s="136" t="str">
        <f t="shared" si="15"/>
        <v>53-70-3</v>
      </c>
      <c r="D145" s="332">
        <f>CONVERT(INDEX('Screening Emission Calculations'!$F$4:$F$54,MATCH($C145,'Screening Emission Calculations'!$C$4:$C$54,0)),"lbm","g")/8760/3600</f>
        <v>8.6860654635364732E-11</v>
      </c>
      <c r="E145" s="86">
        <f>CONVERT(INDEX('Screening Emission Calculations'!$F$83:$F$133,MATCH($C145,'Screening Emission Calculations'!$C$83:$C$133,0)),"lbm","g")/24/3600</f>
        <v>7.5036941505779956E-9</v>
      </c>
      <c r="F145" s="84">
        <f t="shared" si="16"/>
        <v>2.0200152240782494E-5</v>
      </c>
      <c r="G145" s="85">
        <f t="shared" si="16"/>
        <v>0</v>
      </c>
      <c r="H145" s="85">
        <f t="shared" si="16"/>
        <v>5.428790914710295E-7</v>
      </c>
      <c r="I145" s="85">
        <f t="shared" si="16"/>
        <v>0</v>
      </c>
      <c r="J145" s="85">
        <f t="shared" si="17"/>
        <v>2.8953551545121579E-7</v>
      </c>
      <c r="K145" s="85">
        <f t="shared" si="17"/>
        <v>0</v>
      </c>
      <c r="L145" s="86">
        <f t="shared" si="14"/>
        <v>0</v>
      </c>
    </row>
    <row r="146" spans="2:12" x14ac:dyDescent="0.2">
      <c r="B146" s="133" t="s">
        <v>191</v>
      </c>
      <c r="C146" s="134">
        <f t="shared" si="15"/>
        <v>200</v>
      </c>
      <c r="D146" s="332">
        <f>CONVERT(INDEX('Screening Emission Calculations'!$F$4:$F$54,MATCH($C146,'Screening Emission Calculations'!$C$4:$C$54,0)),"lbm","g")/8760/3600</f>
        <v>1.95836857706729E-3</v>
      </c>
      <c r="E146" s="86">
        <f>CONVERT(INDEX('Screening Emission Calculations'!$F$83:$F$133,MATCH($C146,'Screening Emission Calculations'!$C$83:$C$133,0)),"lbm","g")/24/3600</f>
        <v>0.16917900167923211</v>
      </c>
      <c r="F146" s="84">
        <f t="shared" si="16"/>
        <v>1.95836857706729E-2</v>
      </c>
      <c r="G146" s="85">
        <f t="shared" si="16"/>
        <v>3.9167371541345801E-4</v>
      </c>
      <c r="H146" s="85">
        <f t="shared" si="16"/>
        <v>7.5321868348741927E-4</v>
      </c>
      <c r="I146" s="85">
        <f t="shared" si="16"/>
        <v>8.9016753503058643E-5</v>
      </c>
      <c r="J146" s="85">
        <f t="shared" si="17"/>
        <v>1.6319738142227419E-3</v>
      </c>
      <c r="K146" s="85">
        <f t="shared" si="17"/>
        <v>8.9016753503058643E-5</v>
      </c>
      <c r="L146" s="86">
        <f t="shared" si="14"/>
        <v>0</v>
      </c>
    </row>
    <row r="147" spans="2:12" x14ac:dyDescent="0.2">
      <c r="B147" s="133" t="s">
        <v>53</v>
      </c>
      <c r="C147" s="134" t="str">
        <f t="shared" si="15"/>
        <v>100-41-4</v>
      </c>
      <c r="D147" s="332">
        <f>CONVERT(INDEX('Screening Emission Calculations'!$F$4:$F$54,MATCH($C147,'Screening Emission Calculations'!$C$4:$C$54,0)),"lbm","g")/8760/3600</f>
        <v>9.1301186869262016E-7</v>
      </c>
      <c r="E147" s="86">
        <f>CONVERT(INDEX('Screening Emission Calculations'!$F$83:$F$133,MATCH($C147,'Screening Emission Calculations'!$C$83:$C$133,0)),"lbm","g")/24/3600</f>
        <v>7.8873016180651412E-5</v>
      </c>
      <c r="F147" s="84">
        <f t="shared" si="16"/>
        <v>2.2825296717315501E-6</v>
      </c>
      <c r="G147" s="85">
        <f t="shared" si="16"/>
        <v>3.5115841103562314E-9</v>
      </c>
      <c r="H147" s="85">
        <f t="shared" si="16"/>
        <v>9.1301186869262021E-8</v>
      </c>
      <c r="I147" s="85">
        <f t="shared" si="16"/>
        <v>8.3001078972056383E-10</v>
      </c>
      <c r="J147" s="85">
        <f t="shared" si="17"/>
        <v>1.9021080597762922E-7</v>
      </c>
      <c r="K147" s="85">
        <f t="shared" si="17"/>
        <v>8.3001078972056383E-10</v>
      </c>
      <c r="L147" s="86">
        <f t="shared" si="14"/>
        <v>3.5851370991205186E-9</v>
      </c>
    </row>
    <row r="148" spans="2:12" x14ac:dyDescent="0.2">
      <c r="B148" s="137" t="s">
        <v>141</v>
      </c>
      <c r="C148" s="138" t="str">
        <f t="shared" si="15"/>
        <v>206-44-0</v>
      </c>
      <c r="D148" s="332">
        <f>CONVERT(INDEX('Screening Emission Calculations'!$F$4:$F$54,MATCH($C148,'Screening Emission Calculations'!$C$4:$C$54,0)),"lbm","g")/8760/3600</f>
        <v>3.0988230848211666E-8</v>
      </c>
      <c r="E148" s="86">
        <f>CONVERT(INDEX('Screening Emission Calculations'!$F$83:$F$133,MATCH($C148,'Screening Emission Calculations'!$C$83:$C$133,0)),"lbm","g")/24/3600</f>
        <v>2.6770026950477863E-6</v>
      </c>
      <c r="F148" s="84">
        <f t="shared" si="16"/>
        <v>5.8468360090965411E-5</v>
      </c>
      <c r="G148" s="85">
        <f t="shared" si="16"/>
        <v>0</v>
      </c>
      <c r="H148" s="85">
        <f t="shared" si="16"/>
        <v>1.5494115424105832E-6</v>
      </c>
      <c r="I148" s="85">
        <f t="shared" si="16"/>
        <v>0</v>
      </c>
      <c r="J148" s="85">
        <f t="shared" si="17"/>
        <v>8.1547975916346488E-7</v>
      </c>
      <c r="K148" s="85">
        <f t="shared" si="17"/>
        <v>0</v>
      </c>
      <c r="L148" s="86">
        <f t="shared" si="14"/>
        <v>0</v>
      </c>
    </row>
    <row r="149" spans="2:12" x14ac:dyDescent="0.2">
      <c r="B149" s="137" t="s">
        <v>142</v>
      </c>
      <c r="C149" s="138" t="str">
        <f t="shared" si="15"/>
        <v>86-73-7</v>
      </c>
      <c r="D149" s="332">
        <f>CONVERT(INDEX('Screening Emission Calculations'!$F$4:$F$54,MATCH($C149,'Screening Emission Calculations'!$C$4:$C$54,0)),"lbm","g")/8760/3600</f>
        <v>1.8297070100590128E-7</v>
      </c>
      <c r="E149" s="86">
        <f>CONVERT(INDEX('Screening Emission Calculations'!$F$83:$F$133,MATCH($C149,'Screening Emission Calculations'!$C$83:$C$133,0)),"lbm","g")/24/3600</f>
        <v>1.5806422189985965E-5</v>
      </c>
      <c r="F149" s="84">
        <f t="shared" si="16"/>
        <v>0</v>
      </c>
      <c r="G149" s="85">
        <f t="shared" si="16"/>
        <v>0</v>
      </c>
      <c r="H149" s="85">
        <f t="shared" si="16"/>
        <v>0</v>
      </c>
      <c r="I149" s="85">
        <f t="shared" si="16"/>
        <v>0</v>
      </c>
      <c r="J149" s="85">
        <f t="shared" si="17"/>
        <v>0</v>
      </c>
      <c r="K149" s="85">
        <f t="shared" si="17"/>
        <v>0</v>
      </c>
      <c r="L149" s="86">
        <f t="shared" si="14"/>
        <v>0</v>
      </c>
    </row>
    <row r="150" spans="2:12" x14ac:dyDescent="0.2">
      <c r="B150" s="133" t="s">
        <v>59</v>
      </c>
      <c r="C150" s="134" t="str">
        <f t="shared" si="15"/>
        <v>50-00-0</v>
      </c>
      <c r="D150" s="332">
        <f>CONVERT(INDEX('Screening Emission Calculations'!$F$4:$F$54,MATCH($C150,'Screening Emission Calculations'!$C$4:$C$54,0)),"lbm","g")/8760/3600</f>
        <v>2.2788660984737229E-4</v>
      </c>
      <c r="E150" s="86">
        <f>CONVERT(INDEX('Screening Emission Calculations'!$F$83:$F$133,MATCH($C150,'Screening Emission Calculations'!$C$83:$C$133,0)),"lbm","g")/24/3600</f>
        <v>1.9639583562396885E-2</v>
      </c>
      <c r="F150" s="84">
        <f t="shared" si="16"/>
        <v>1.3405094696904252E-3</v>
      </c>
      <c r="G150" s="85">
        <f t="shared" si="16"/>
        <v>2.5320734427485808E-5</v>
      </c>
      <c r="H150" s="85">
        <f t="shared" si="16"/>
        <v>5.2996886011016811E-5</v>
      </c>
      <c r="I150" s="85">
        <f t="shared" si="16"/>
        <v>5.6971652461843074E-6</v>
      </c>
      <c r="J150" s="85">
        <f t="shared" si="17"/>
        <v>1.1394330492368614E-4</v>
      </c>
      <c r="K150" s="85">
        <f t="shared" si="17"/>
        <v>5.6971652461843074E-6</v>
      </c>
      <c r="L150" s="86">
        <f t="shared" si="14"/>
        <v>4.0080782780401803E-4</v>
      </c>
    </row>
    <row r="151" spans="2:12" x14ac:dyDescent="0.2">
      <c r="B151" s="133" t="s">
        <v>61</v>
      </c>
      <c r="C151" s="134" t="str">
        <f t="shared" si="15"/>
        <v>110-54-3</v>
      </c>
      <c r="D151" s="332">
        <f>CONVERT(INDEX('Screening Emission Calculations'!$F$4:$F$54,MATCH($C151,'Screening Emission Calculations'!$C$4:$C$54,0)),"lbm","g")/8760/3600</f>
        <v>2.2532127768652734E-6</v>
      </c>
      <c r="E151" s="86">
        <f>CONVERT(INDEX('Screening Emission Calculations'!$F$83:$F$133,MATCH($C151,'Screening Emission Calculations'!$C$83:$C$133,0)),"lbm","g")/24/3600</f>
        <v>1.9464992066601126E-4</v>
      </c>
      <c r="F151" s="84">
        <f t="shared" si="16"/>
        <v>0</v>
      </c>
      <c r="G151" s="85">
        <f t="shared" si="16"/>
        <v>3.2188753955218193E-9</v>
      </c>
      <c r="H151" s="85">
        <f t="shared" si="16"/>
        <v>0</v>
      </c>
      <c r="I151" s="85">
        <f t="shared" si="16"/>
        <v>7.2684283124686242E-10</v>
      </c>
      <c r="J151" s="85">
        <f t="shared" si="17"/>
        <v>0</v>
      </c>
      <c r="K151" s="85">
        <f t="shared" si="17"/>
        <v>7.2684283124686242E-10</v>
      </c>
      <c r="L151" s="86">
        <f t="shared" si="14"/>
        <v>0</v>
      </c>
    </row>
    <row r="152" spans="2:12" x14ac:dyDescent="0.2">
      <c r="B152" s="133" t="s">
        <v>143</v>
      </c>
      <c r="C152" s="134" t="str">
        <f t="shared" si="15"/>
        <v>18540-29-9</v>
      </c>
      <c r="D152" s="332">
        <f>CONVERT(INDEX('Screening Emission Calculations'!$F$4:$F$54,MATCH($C152,'Screening Emission Calculations'!$C$4:$C$54,0)),"lbm","g")/8760/3600</f>
        <v>5.2041404235144038E-9</v>
      </c>
      <c r="E152" s="86">
        <f>CONVERT(INDEX('Screening Emission Calculations'!$F$83:$F$133,MATCH($C152,'Screening Emission Calculations'!$C$83:$C$133,0)),"lbm","g")/24/3600</f>
        <v>4.5588270109986178E-7</v>
      </c>
      <c r="F152" s="84">
        <f t="shared" si="16"/>
        <v>1.678754975327227E-4</v>
      </c>
      <c r="G152" s="85">
        <f t="shared" si="16"/>
        <v>6.270048703029402E-8</v>
      </c>
      <c r="H152" s="85">
        <f t="shared" si="16"/>
        <v>1.0007962352912316E-5</v>
      </c>
      <c r="I152" s="85">
        <f t="shared" si="16"/>
        <v>5.9137959358118221E-9</v>
      </c>
      <c r="J152" s="85">
        <f t="shared" si="17"/>
        <v>5.2041404235144036E-6</v>
      </c>
      <c r="K152" s="85">
        <f t="shared" si="17"/>
        <v>5.9137959358118221E-9</v>
      </c>
      <c r="L152" s="86">
        <f t="shared" si="14"/>
        <v>1.519609003666206E-6</v>
      </c>
    </row>
    <row r="153" spans="2:12" x14ac:dyDescent="0.2">
      <c r="B153" s="133" t="s">
        <v>64</v>
      </c>
      <c r="C153" s="134" t="str">
        <f t="shared" si="15"/>
        <v>7647-01-0</v>
      </c>
      <c r="D153" s="332">
        <f>CONVERT(INDEX('Screening Emission Calculations'!$F$4:$F$54,MATCH($C153,'Screening Emission Calculations'!$C$4:$C$54,0)),"lbm","g")/8760/3600</f>
        <v>1.5604964324535333E-5</v>
      </c>
      <c r="E153" s="86">
        <f>CONVERT(INDEX('Screening Emission Calculations'!$F$83:$F$133,MATCH($C153,'Screening Emission Calculations'!$C$83:$C$133,0)),"lbm","g")/24/3600</f>
        <v>1.3480773316014087E-3</v>
      </c>
      <c r="F153" s="84">
        <f t="shared" si="16"/>
        <v>0</v>
      </c>
      <c r="G153" s="85">
        <f t="shared" si="16"/>
        <v>7.8024821622676666E-7</v>
      </c>
      <c r="H153" s="85">
        <f t="shared" si="16"/>
        <v>0</v>
      </c>
      <c r="I153" s="85">
        <f t="shared" si="16"/>
        <v>1.7732914005153787E-7</v>
      </c>
      <c r="J153" s="85">
        <f t="shared" si="17"/>
        <v>0</v>
      </c>
      <c r="K153" s="85">
        <f t="shared" si="17"/>
        <v>1.7732914005153787E-7</v>
      </c>
      <c r="L153" s="86">
        <f t="shared" si="14"/>
        <v>6.4194158647686126E-7</v>
      </c>
    </row>
    <row r="154" spans="2:12" x14ac:dyDescent="0.2">
      <c r="B154" s="137" t="s">
        <v>144</v>
      </c>
      <c r="C154" s="138" t="str">
        <f t="shared" si="15"/>
        <v>193-39-5</v>
      </c>
      <c r="D154" s="332">
        <f>CONVERT(INDEX('Screening Emission Calculations'!$F$4:$F$54,MATCH($C154,'Screening Emission Calculations'!$C$4:$C$54,0)),"lbm","g")/8760/3600</f>
        <v>8.9717852998124581E-10</v>
      </c>
      <c r="E154" s="86">
        <f>CONVERT(INDEX('Screening Emission Calculations'!$F$83:$F$133,MATCH($C154,'Screening Emission Calculations'!$C$83:$C$133,0)),"lbm","g")/24/3600</f>
        <v>7.7505210105836408E-8</v>
      </c>
      <c r="F154" s="84">
        <f t="shared" si="16"/>
        <v>1.4707844753790916E-6</v>
      </c>
      <c r="G154" s="85">
        <f t="shared" si="16"/>
        <v>0</v>
      </c>
      <c r="H154" s="85">
        <f t="shared" si="16"/>
        <v>4.0780842271874814E-8</v>
      </c>
      <c r="I154" s="85">
        <f t="shared" si="16"/>
        <v>0</v>
      </c>
      <c r="J154" s="85">
        <f t="shared" si="17"/>
        <v>2.0864616976308044E-8</v>
      </c>
      <c r="K154" s="85">
        <f t="shared" si="17"/>
        <v>0</v>
      </c>
      <c r="L154" s="86">
        <f t="shared" ref="L154:L172" si="18">IF(INDEX($B$6:$L$56,MATCH($C154,$C$6:$C$56,0),MATCH(L$4,$B$4:$L$4,0))="",0,$E154/INDEX($B$6:$L$56,MATCH($C154,$C$6:$C$56,0),MATCH(L$4,$B$4:$L$4,0)))</f>
        <v>0</v>
      </c>
    </row>
    <row r="155" spans="2:12" x14ac:dyDescent="0.2">
      <c r="B155" s="133" t="s">
        <v>68</v>
      </c>
      <c r="C155" s="134" t="str">
        <f t="shared" si="15"/>
        <v>7439-92-1</v>
      </c>
      <c r="D155" s="332">
        <f>CONVERT(INDEX('Screening Emission Calculations'!$F$4:$F$54,MATCH($C155,'Screening Emission Calculations'!$C$4:$C$54,0)),"lbm","g")/8760/3600</f>
        <v>2.9972506386579969E-8</v>
      </c>
      <c r="E155" s="86">
        <f>CONVERT(INDEX('Screening Emission Calculations'!$F$83:$F$133,MATCH($C155,'Screening Emission Calculations'!$C$83:$C$133,0)),"lbm","g")/24/3600</f>
        <v>2.6255915594644056E-6</v>
      </c>
      <c r="F155" s="84">
        <f t="shared" si="16"/>
        <v>0</v>
      </c>
      <c r="G155" s="85">
        <f t="shared" si="16"/>
        <v>1.9981670924386647E-7</v>
      </c>
      <c r="H155" s="85">
        <f t="shared" si="16"/>
        <v>0</v>
      </c>
      <c r="I155" s="85">
        <f t="shared" si="16"/>
        <v>4.54128884645151E-8</v>
      </c>
      <c r="J155" s="85">
        <f t="shared" si="17"/>
        <v>0</v>
      </c>
      <c r="K155" s="85">
        <f t="shared" si="17"/>
        <v>4.54128884645151E-8</v>
      </c>
      <c r="L155" s="86">
        <f t="shared" si="18"/>
        <v>1.7503943729762704E-5</v>
      </c>
    </row>
    <row r="156" spans="2:12" x14ac:dyDescent="0.2">
      <c r="B156" s="133" t="s">
        <v>70</v>
      </c>
      <c r="C156" s="134" t="str">
        <f t="shared" si="15"/>
        <v>7439-96-5</v>
      </c>
      <c r="D156" s="332">
        <f>CONVERT(INDEX('Screening Emission Calculations'!$F$4:$F$54,MATCH($C156,'Screening Emission Calculations'!$C$4:$C$54,0)),"lbm","g")/8760/3600</f>
        <v>3.4607698044258607E-8</v>
      </c>
      <c r="E156" s="86">
        <f>CONVERT(INDEX('Screening Emission Calculations'!$F$83:$F$133,MATCH($C156,'Screening Emission Calculations'!$C$83:$C$133,0)),"lbm","g")/24/3600</f>
        <v>3.0316343486770533E-6</v>
      </c>
      <c r="F156" s="84">
        <f t="shared" si="16"/>
        <v>0</v>
      </c>
      <c r="G156" s="85">
        <f t="shared" si="16"/>
        <v>3.8452997826954011E-7</v>
      </c>
      <c r="H156" s="85">
        <f t="shared" si="16"/>
        <v>0</v>
      </c>
      <c r="I156" s="85">
        <f t="shared" si="16"/>
        <v>8.6519245110646508E-8</v>
      </c>
      <c r="J156" s="85">
        <f t="shared" si="17"/>
        <v>0</v>
      </c>
      <c r="K156" s="85">
        <f t="shared" si="17"/>
        <v>8.6519245110646508E-8</v>
      </c>
      <c r="L156" s="86">
        <f t="shared" si="18"/>
        <v>1.0105447828923512E-5</v>
      </c>
    </row>
    <row r="157" spans="2:12" x14ac:dyDescent="0.2">
      <c r="B157" s="133" t="s">
        <v>72</v>
      </c>
      <c r="C157" s="134" t="str">
        <f t="shared" si="15"/>
        <v>7439-97-6</v>
      </c>
      <c r="D157" s="332">
        <f>CONVERT(INDEX('Screening Emission Calculations'!$F$4:$F$54,MATCH($C157,'Screening Emission Calculations'!$C$4:$C$54,0)),"lbm","g")/8760/3600</f>
        <v>1.2450926211467169E-9</v>
      </c>
      <c r="E157" s="86">
        <f>CONVERT(INDEX('Screening Emission Calculations'!$F$83:$F$133,MATCH($C157,'Screening Emission Calculations'!$C$83:$C$133,0)),"lbm","g")/24/3600</f>
        <v>1.0907011361245238E-7</v>
      </c>
      <c r="F157" s="84">
        <f t="shared" si="16"/>
        <v>0</v>
      </c>
      <c r="G157" s="85">
        <f t="shared" si="16"/>
        <v>1.6170034040866454E-8</v>
      </c>
      <c r="H157" s="85">
        <f t="shared" si="16"/>
        <v>0</v>
      </c>
      <c r="I157" s="85">
        <f t="shared" si="16"/>
        <v>1.9763374938836775E-9</v>
      </c>
      <c r="J157" s="85">
        <f t="shared" si="17"/>
        <v>0</v>
      </c>
      <c r="K157" s="85">
        <f t="shared" si="17"/>
        <v>1.9763374938836775E-9</v>
      </c>
      <c r="L157" s="86">
        <f t="shared" si="18"/>
        <v>1.8178352268742065E-7</v>
      </c>
    </row>
    <row r="158" spans="2:12" x14ac:dyDescent="0.2">
      <c r="B158" s="133" t="s">
        <v>145</v>
      </c>
      <c r="C158" s="134" t="str">
        <f t="shared" si="15"/>
        <v>91-57-6</v>
      </c>
      <c r="D158" s="332">
        <f>CONVERT(INDEX('Screening Emission Calculations'!$F$4:$F$54,MATCH($C158,'Screening Emission Calculations'!$C$4:$C$54,0)),"lbm","g")/8760/3600</f>
        <v>1.0301041678537799E-6</v>
      </c>
      <c r="E158" s="86">
        <f>CONVERT(INDEX('Screening Emission Calculations'!$F$83:$F$133,MATCH($C158,'Screening Emission Calculations'!$C$83:$C$133,0)),"lbm","g")/24/3600</f>
        <v>8.8988353256819327E-5</v>
      </c>
      <c r="F158" s="84">
        <f t="shared" si="16"/>
        <v>0</v>
      </c>
      <c r="G158" s="85">
        <f t="shared" si="16"/>
        <v>0</v>
      </c>
      <c r="H158" s="85">
        <f t="shared" si="16"/>
        <v>0</v>
      </c>
      <c r="I158" s="85">
        <f t="shared" si="16"/>
        <v>0</v>
      </c>
      <c r="J158" s="85">
        <f t="shared" si="17"/>
        <v>0</v>
      </c>
      <c r="K158" s="85">
        <f t="shared" si="17"/>
        <v>0</v>
      </c>
      <c r="L158" s="86">
        <f t="shared" si="18"/>
        <v>0</v>
      </c>
    </row>
    <row r="159" spans="2:12" x14ac:dyDescent="0.2">
      <c r="B159" s="133" t="s">
        <v>146</v>
      </c>
      <c r="C159" s="134" t="str">
        <f t="shared" si="15"/>
        <v>91-20-3</v>
      </c>
      <c r="D159" s="332">
        <f>CONVERT(INDEX('Screening Emission Calculations'!$F$4:$F$54,MATCH($C159,'Screening Emission Calculations'!$C$4:$C$54,0)),"lbm","g")/8760/3600</f>
        <v>2.2073436564688806E-6</v>
      </c>
      <c r="E159" s="86">
        <f>CONVERT(INDEX('Screening Emission Calculations'!$F$83:$F$133,MATCH($C159,'Screening Emission Calculations'!$C$83:$C$133,0)),"lbm","g")/24/3600</f>
        <v>1.9068739181039249E-4</v>
      </c>
      <c r="F159" s="84">
        <f t="shared" si="16"/>
        <v>7.611529849892691E-5</v>
      </c>
      <c r="G159" s="85">
        <f t="shared" si="16"/>
        <v>5.9657936661321092E-7</v>
      </c>
      <c r="H159" s="85">
        <f t="shared" si="16"/>
        <v>2.9043995479853693E-6</v>
      </c>
      <c r="I159" s="85">
        <f t="shared" si="16"/>
        <v>1.3795897852930504E-7</v>
      </c>
      <c r="J159" s="85">
        <f t="shared" si="17"/>
        <v>6.3066961613396594E-6</v>
      </c>
      <c r="K159" s="85">
        <f t="shared" si="17"/>
        <v>1.3795897852930504E-7</v>
      </c>
      <c r="L159" s="86">
        <f t="shared" si="18"/>
        <v>9.5343695905196248E-7</v>
      </c>
    </row>
    <row r="160" spans="2:12" x14ac:dyDescent="0.2">
      <c r="B160" s="133" t="s">
        <v>78</v>
      </c>
      <c r="C160" s="134">
        <f t="shared" si="15"/>
        <v>365</v>
      </c>
      <c r="D160" s="332">
        <f>CONVERT(INDEX('Screening Emission Calculations'!$F$4:$F$54,MATCH($C160,'Screening Emission Calculations'!$C$4:$C$54,0)),"lbm","g")/8760/3600</f>
        <v>1.5018690272363131E-8</v>
      </c>
      <c r="E160" s="86">
        <f>CONVERT(INDEX('Screening Emission Calculations'!$F$83:$F$133,MATCH($C160,'Screening Emission Calculations'!$C$83:$C$133,0)),"lbm","g")/24/3600</f>
        <v>1.3156372678590101E-6</v>
      </c>
      <c r="F160" s="84">
        <f t="shared" si="16"/>
        <v>3.9522869137797714E-6</v>
      </c>
      <c r="G160" s="85">
        <f t="shared" si="16"/>
        <v>1.0727635908830807E-6</v>
      </c>
      <c r="H160" s="85">
        <f t="shared" si="16"/>
        <v>1.5018690272363129E-7</v>
      </c>
      <c r="I160" s="85">
        <f t="shared" si="16"/>
        <v>2.4223693987682468E-7</v>
      </c>
      <c r="J160" s="85">
        <f t="shared" si="17"/>
        <v>3.2649326679050286E-7</v>
      </c>
      <c r="K160" s="85">
        <f t="shared" si="17"/>
        <v>2.4223693987682468E-7</v>
      </c>
      <c r="L160" s="86">
        <f t="shared" si="18"/>
        <v>6.57818633929505E-6</v>
      </c>
    </row>
    <row r="161" spans="1:12" x14ac:dyDescent="0.2">
      <c r="B161" s="133" t="s">
        <v>147</v>
      </c>
      <c r="C161" s="134" t="str">
        <f t="shared" si="15"/>
        <v>198-55-0</v>
      </c>
      <c r="D161" s="332">
        <f>CONVERT(INDEX('Screening Emission Calculations'!$F$4:$F$54,MATCH($C161,'Screening Emission Calculations'!$C$4:$C$54,0)),"lbm","g")/8760/3600</f>
        <v>9.8692943809476863E-11</v>
      </c>
      <c r="E161" s="86">
        <f>CONVERT(INDEX('Screening Emission Calculations'!$F$83:$F$133,MATCH($C161,'Screening Emission Calculations'!$C$83:$C$133,0)),"lbm","g")/24/3600</f>
        <v>8.5258586672564568E-9</v>
      </c>
      <c r="F161" s="84">
        <f t="shared" si="16"/>
        <v>0</v>
      </c>
      <c r="G161" s="85">
        <f t="shared" si="16"/>
        <v>0</v>
      </c>
      <c r="H161" s="85">
        <f t="shared" si="16"/>
        <v>0</v>
      </c>
      <c r="I161" s="85">
        <f t="shared" si="16"/>
        <v>0</v>
      </c>
      <c r="J161" s="85">
        <f t="shared" si="17"/>
        <v>0</v>
      </c>
      <c r="K161" s="85">
        <f t="shared" si="17"/>
        <v>0</v>
      </c>
      <c r="L161" s="86">
        <f t="shared" si="18"/>
        <v>0</v>
      </c>
    </row>
    <row r="162" spans="1:12" x14ac:dyDescent="0.2">
      <c r="B162" s="133" t="s">
        <v>148</v>
      </c>
      <c r="C162" s="134" t="str">
        <f t="shared" si="15"/>
        <v>85-01-8</v>
      </c>
      <c r="D162" s="332">
        <f>CONVERT(INDEX('Screening Emission Calculations'!$F$4:$F$54,MATCH($C162,'Screening Emission Calculations'!$C$4:$C$54,0)),"lbm","g")/8760/3600</f>
        <v>3.8044505424558868E-7</v>
      </c>
      <c r="E162" s="86">
        <f>CONVERT(INDEX('Screening Emission Calculations'!$F$83:$F$133,MATCH($C162,'Screening Emission Calculations'!$C$83:$C$133,0)),"lbm","g")/24/3600</f>
        <v>3.2865781868015777E-5</v>
      </c>
      <c r="F162" s="84">
        <f t="shared" ref="F162:I172" si="19">IF(INDEX($B$6:$L$56,MATCH($C162,$C$6:$C$56,0),MATCH(F$121,$B$5:$L$5,0))="",0,$D162/INDEX($B$6:$L$56,MATCH($C162,$C$6:$C$56,0),MATCH(F$121,$B$5:$L$5,0)))</f>
        <v>0</v>
      </c>
      <c r="G162" s="85">
        <f t="shared" si="19"/>
        <v>0</v>
      </c>
      <c r="H162" s="85">
        <f t="shared" si="19"/>
        <v>0</v>
      </c>
      <c r="I162" s="85">
        <f t="shared" si="19"/>
        <v>0</v>
      </c>
      <c r="J162" s="85">
        <f t="shared" ref="J162:K172" si="20">IF(INDEX($B$6:$L$56,MATCH($C162,$C$6:$C$56,0),MATCH(J$5,$B$5:$L$5,0))="",0,$D162/INDEX($B$6:$L$56,MATCH($C162,$C$6:$C$56,0),MATCH(J$5,$B$5:$L$5,0)))</f>
        <v>0</v>
      </c>
      <c r="K162" s="85">
        <f t="shared" si="20"/>
        <v>0</v>
      </c>
      <c r="L162" s="86">
        <f t="shared" si="18"/>
        <v>0</v>
      </c>
    </row>
    <row r="163" spans="1:12" x14ac:dyDescent="0.2">
      <c r="B163" s="133" t="s">
        <v>83</v>
      </c>
      <c r="C163" s="134">
        <f t="shared" si="15"/>
        <v>504</v>
      </c>
      <c r="D163" s="332">
        <f>CONVERT(INDEX('Screening Emission Calculations'!$F$4:$F$54,MATCH($C163,'Screening Emission Calculations'!$C$4:$C$54,0)),"lbm","g")/8760/3600</f>
        <v>6.9262643341755062E-7</v>
      </c>
      <c r="E163" s="86">
        <f>CONVERT(INDEX('Screening Emission Calculations'!$F$83:$F$133,MATCH($C163,'Screening Emission Calculations'!$C$83:$C$133,0)),"lbm","g")/24/3600</f>
        <v>6.0674075567377424E-5</v>
      </c>
      <c r="F163" s="84">
        <f t="shared" si="19"/>
        <v>0</v>
      </c>
      <c r="G163" s="85">
        <f t="shared" si="19"/>
        <v>0</v>
      </c>
      <c r="H163" s="85">
        <f t="shared" si="19"/>
        <v>0</v>
      </c>
      <c r="I163" s="85">
        <f t="shared" si="19"/>
        <v>0</v>
      </c>
      <c r="J163" s="85">
        <f t="shared" si="20"/>
        <v>0</v>
      </c>
      <c r="K163" s="85">
        <f t="shared" si="20"/>
        <v>0</v>
      </c>
      <c r="L163" s="86">
        <f t="shared" si="18"/>
        <v>0</v>
      </c>
    </row>
    <row r="164" spans="1:12" x14ac:dyDescent="0.2">
      <c r="B164" s="133" t="s">
        <v>84</v>
      </c>
      <c r="C164" s="134" t="s">
        <v>85</v>
      </c>
      <c r="D164" s="332">
        <f>CONVERT(INDEX('Screening Emission Calculations'!$F$4:$F$54,MATCH($C164,'Screening Emission Calculations'!$C$4:$C$54,0)),"lbm","g")/8760/3600</f>
        <v>3.936840167757169E-5</v>
      </c>
      <c r="E164" s="86">
        <f>CONVERT(INDEX('Screening Emission Calculations'!$F$83:$F$133,MATCH($C164,'Screening Emission Calculations'!$C$83:$C$133,0)),"lbm","g")/24/3600</f>
        <v>3.4009465692574452E-3</v>
      </c>
      <c r="F164" s="84">
        <f t="shared" si="19"/>
        <v>0</v>
      </c>
      <c r="G164" s="85">
        <f t="shared" si="19"/>
        <v>1.3122800559190563E-8</v>
      </c>
      <c r="H164" s="85">
        <f t="shared" si="19"/>
        <v>0</v>
      </c>
      <c r="I164" s="85">
        <f t="shared" si="19"/>
        <v>3.0283385905824378E-9</v>
      </c>
      <c r="J164" s="85">
        <f t="shared" si="20"/>
        <v>0</v>
      </c>
      <c r="K164" s="85">
        <f t="shared" si="20"/>
        <v>3.0283385905824378E-9</v>
      </c>
      <c r="L164" s="86">
        <f t="shared" si="18"/>
        <v>0</v>
      </c>
    </row>
    <row r="165" spans="1:12" x14ac:dyDescent="0.2">
      <c r="B165" s="133" t="s">
        <v>149</v>
      </c>
      <c r="C165" s="134" t="s">
        <v>87</v>
      </c>
      <c r="D165" s="332">
        <f>CONVERT(INDEX('Screening Emission Calculations'!$F$4:$F$54,MATCH($C165,'Screening Emission Calculations'!$C$4:$C$54,0)),"lbm","g")/8760/3600</f>
        <v>1.0470319595098856E-7</v>
      </c>
      <c r="E165" s="86">
        <f>CONVERT(INDEX('Screening Emission Calculations'!$F$83:$F$133,MATCH($C165,'Screening Emission Calculations'!$C$83:$C$133,0)),"lbm","g")/24/3600</f>
        <v>9.0450706629187407E-6</v>
      </c>
      <c r="F165" s="84">
        <f t="shared" si="19"/>
        <v>0</v>
      </c>
      <c r="G165" s="85">
        <f t="shared" si="19"/>
        <v>0</v>
      </c>
      <c r="H165" s="85">
        <f t="shared" si="19"/>
        <v>0</v>
      </c>
      <c r="I165" s="85">
        <f t="shared" si="19"/>
        <v>0</v>
      </c>
      <c r="J165" s="85">
        <f t="shared" si="20"/>
        <v>0</v>
      </c>
      <c r="K165" s="85">
        <f t="shared" si="20"/>
        <v>0</v>
      </c>
      <c r="L165" s="86">
        <f t="shared" si="18"/>
        <v>0</v>
      </c>
    </row>
    <row r="166" spans="1:12" x14ac:dyDescent="0.2">
      <c r="B166" s="133" t="s">
        <v>150</v>
      </c>
      <c r="C166" s="134">
        <f t="shared" ref="C166:C172" si="21">C50</f>
        <v>401</v>
      </c>
      <c r="D166" s="332">
        <f>CONVERT(INDEX('Screening Emission Calculations'!$F$4:$F$54,MATCH($C166,'Screening Emission Calculations'!$C$4:$C$54,0)),"lbm","g")/8760/3600</f>
        <v>0</v>
      </c>
      <c r="E166" s="86">
        <f>CONVERT(INDEX('Screening Emission Calculations'!$F$83:$F$133,MATCH($C166,'Screening Emission Calculations'!$C$83:$C$133,0)),"lbm","g")/24/3600</f>
        <v>0</v>
      </c>
      <c r="F166" s="84">
        <f t="shared" si="19"/>
        <v>0</v>
      </c>
      <c r="G166" s="85">
        <f t="shared" si="19"/>
        <v>0</v>
      </c>
      <c r="H166" s="85">
        <f t="shared" si="19"/>
        <v>0</v>
      </c>
      <c r="I166" s="85">
        <f t="shared" si="19"/>
        <v>0</v>
      </c>
      <c r="J166" s="85">
        <f t="shared" si="20"/>
        <v>0</v>
      </c>
      <c r="K166" s="85">
        <f t="shared" si="20"/>
        <v>0</v>
      </c>
      <c r="L166" s="86">
        <f t="shared" si="18"/>
        <v>0</v>
      </c>
    </row>
    <row r="167" spans="1:12" x14ac:dyDescent="0.2">
      <c r="B167" s="133" t="s">
        <v>89</v>
      </c>
      <c r="C167" s="134" t="str">
        <f t="shared" si="21"/>
        <v>7782-49-2</v>
      </c>
      <c r="D167" s="332">
        <f>CONVERT(INDEX('Screening Emission Calculations'!$F$4:$F$54,MATCH($C167,'Screening Emission Calculations'!$C$4:$C$54,0)),"lbm","g")/8760/3600</f>
        <v>3.1020113703849375E-8</v>
      </c>
      <c r="E167" s="86">
        <f>CONVERT(INDEX('Screening Emission Calculations'!$F$83:$F$133,MATCH($C167,'Screening Emission Calculations'!$C$83:$C$133,0)),"lbm","g")/24/3600</f>
        <v>2.7173619604572043E-6</v>
      </c>
      <c r="F167" s="84">
        <f t="shared" si="19"/>
        <v>0</v>
      </c>
      <c r="G167" s="85">
        <f t="shared" si="19"/>
        <v>0</v>
      </c>
      <c r="H167" s="85">
        <f t="shared" si="19"/>
        <v>0</v>
      </c>
      <c r="I167" s="85">
        <f t="shared" si="19"/>
        <v>0</v>
      </c>
      <c r="J167" s="85">
        <f t="shared" si="20"/>
        <v>0</v>
      </c>
      <c r="K167" s="85">
        <f t="shared" si="20"/>
        <v>0</v>
      </c>
      <c r="L167" s="86">
        <f t="shared" si="18"/>
        <v>1.3586809802286022E-6</v>
      </c>
    </row>
    <row r="168" spans="1:12" x14ac:dyDescent="0.2">
      <c r="B168" s="133" t="s">
        <v>91</v>
      </c>
      <c r="C168" s="134" t="str">
        <f t="shared" si="21"/>
        <v>7440-22-4</v>
      </c>
      <c r="D168" s="332">
        <f>CONVERT(INDEX('Screening Emission Calculations'!$F$4:$F$54,MATCH($C168,'Screening Emission Calculations'!$C$4:$C$54,0)),"lbm","g")/8760/3600</f>
        <v>3.9570608349969321E-9</v>
      </c>
      <c r="E168" s="86">
        <f>CONVERT(INDEX('Screening Emission Calculations'!$F$83:$F$133,MATCH($C168,'Screening Emission Calculations'!$C$83:$C$133,0)),"lbm","g")/24/3600</f>
        <v>3.4663852914573117E-7</v>
      </c>
      <c r="F168" s="84">
        <f t="shared" si="19"/>
        <v>0</v>
      </c>
      <c r="G168" s="85">
        <f t="shared" si="19"/>
        <v>0</v>
      </c>
      <c r="H168" s="85">
        <f t="shared" si="19"/>
        <v>0</v>
      </c>
      <c r="I168" s="85">
        <f t="shared" si="19"/>
        <v>0</v>
      </c>
      <c r="J168" s="85">
        <f t="shared" si="20"/>
        <v>0</v>
      </c>
      <c r="K168" s="85">
        <f t="shared" si="20"/>
        <v>0</v>
      </c>
      <c r="L168" s="86">
        <f t="shared" si="18"/>
        <v>0</v>
      </c>
    </row>
    <row r="169" spans="1:12" x14ac:dyDescent="0.2">
      <c r="B169" s="133" t="s">
        <v>93</v>
      </c>
      <c r="C169" s="134" t="str">
        <f t="shared" si="21"/>
        <v>7440-28-0</v>
      </c>
      <c r="D169" s="332">
        <f>CONVERT(INDEX('Screening Emission Calculations'!$F$4:$F$54,MATCH($C169,'Screening Emission Calculations'!$C$4:$C$54,0)),"lbm","g")/8760/3600</f>
        <v>1.978766213759673E-8</v>
      </c>
      <c r="E169" s="86">
        <f>CONVERT(INDEX('Screening Emission Calculations'!$F$83:$F$133,MATCH($C169,'Screening Emission Calculations'!$C$83:$C$133,0)),"lbm","g")/24/3600</f>
        <v>1.7333992032534733E-6</v>
      </c>
      <c r="F169" s="84">
        <f t="shared" si="19"/>
        <v>0</v>
      </c>
      <c r="G169" s="85">
        <f t="shared" si="19"/>
        <v>0</v>
      </c>
      <c r="H169" s="85">
        <f t="shared" si="19"/>
        <v>0</v>
      </c>
      <c r="I169" s="85">
        <f t="shared" si="19"/>
        <v>0</v>
      </c>
      <c r="J169" s="85">
        <f t="shared" si="20"/>
        <v>0</v>
      </c>
      <c r="K169" s="85">
        <f t="shared" si="20"/>
        <v>0</v>
      </c>
      <c r="L169" s="86">
        <f t="shared" si="18"/>
        <v>0</v>
      </c>
    </row>
    <row r="170" spans="1:12" x14ac:dyDescent="0.2">
      <c r="B170" s="133" t="s">
        <v>95</v>
      </c>
      <c r="C170" s="134" t="str">
        <f t="shared" si="21"/>
        <v>108-88-3</v>
      </c>
      <c r="D170" s="332">
        <f>CONVERT(INDEX('Screening Emission Calculations'!$F$4:$F$54,MATCH($C170,'Screening Emission Calculations'!$C$4:$C$54,0)),"lbm","g")/8760/3600</f>
        <v>8.8285734825873536E-6</v>
      </c>
      <c r="E170" s="86">
        <f>CONVERT(INDEX('Screening Emission Calculations'!$F$83:$F$133,MATCH($C170,'Screening Emission Calculations'!$C$83:$C$133,0)),"lbm","g")/24/3600</f>
        <v>7.6268035829730812E-4</v>
      </c>
      <c r="F170" s="84">
        <f t="shared" si="19"/>
        <v>0</v>
      </c>
      <c r="G170" s="85">
        <f t="shared" si="19"/>
        <v>1.7657146965174707E-9</v>
      </c>
      <c r="H170" s="85">
        <f t="shared" si="19"/>
        <v>0</v>
      </c>
      <c r="I170" s="85">
        <f t="shared" si="19"/>
        <v>4.0129879466306153E-10</v>
      </c>
      <c r="J170" s="85">
        <f t="shared" si="20"/>
        <v>0</v>
      </c>
      <c r="K170" s="85">
        <f t="shared" si="20"/>
        <v>4.0129879466306153E-10</v>
      </c>
      <c r="L170" s="86">
        <f t="shared" si="18"/>
        <v>1.0169071443964108E-7</v>
      </c>
    </row>
    <row r="171" spans="1:12" x14ac:dyDescent="0.2">
      <c r="B171" s="133" t="s">
        <v>97</v>
      </c>
      <c r="C171" s="134" t="str">
        <f t="shared" si="21"/>
        <v>1330-20-7</v>
      </c>
      <c r="D171" s="332">
        <f>CONVERT(INDEX('Screening Emission Calculations'!$F$4:$F$54,MATCH($C171,'Screening Emission Calculations'!$C$4:$C$54,0)),"lbm","g")/8760/3600</f>
        <v>3.551532406657532E-6</v>
      </c>
      <c r="E171" s="86">
        <f>CONVERT(INDEX('Screening Emission Calculations'!$F$83:$F$133,MATCH($C171,'Screening Emission Calculations'!$C$83:$C$133,0)),"lbm","g")/24/3600</f>
        <v>3.0680879688620367E-4</v>
      </c>
      <c r="F171" s="84">
        <f t="shared" si="19"/>
        <v>0</v>
      </c>
      <c r="G171" s="85">
        <f t="shared" si="19"/>
        <v>1.6143329121170601E-8</v>
      </c>
      <c r="H171" s="85">
        <f t="shared" si="19"/>
        <v>0</v>
      </c>
      <c r="I171" s="85">
        <f t="shared" si="19"/>
        <v>3.6613736151108577E-9</v>
      </c>
      <c r="J171" s="85">
        <f t="shared" si="20"/>
        <v>0</v>
      </c>
      <c r="K171" s="85">
        <f t="shared" si="20"/>
        <v>3.6613736151108577E-9</v>
      </c>
      <c r="L171" s="86">
        <f t="shared" si="18"/>
        <v>3.5265378952437204E-8</v>
      </c>
    </row>
    <row r="172" spans="1:12" ht="15.75" thickBot="1" x14ac:dyDescent="0.25">
      <c r="B172" s="139" t="s">
        <v>99</v>
      </c>
      <c r="C172" s="140" t="str">
        <f t="shared" si="21"/>
        <v>7440-66-6</v>
      </c>
      <c r="D172" s="332">
        <f>CONVERT(INDEX('Screening Emission Calculations'!$F$4:$F$54,MATCH($C172,'Screening Emission Calculations'!$C$4:$C$54,0)),"lbm","g")/8760/3600</f>
        <v>4.3072280033358865E-7</v>
      </c>
      <c r="E172" s="86">
        <f>CONVERT(INDEX('Screening Emission Calculations'!$F$83:$F$133,MATCH($C172,'Screening Emission Calculations'!$C$83:$C$133,0)),"lbm","g")/24/3600</f>
        <v>3.7731317309222363E-5</v>
      </c>
      <c r="F172" s="84">
        <f t="shared" si="19"/>
        <v>0</v>
      </c>
      <c r="G172" s="85">
        <f t="shared" si="19"/>
        <v>0</v>
      </c>
      <c r="H172" s="85">
        <f t="shared" si="19"/>
        <v>0</v>
      </c>
      <c r="I172" s="85">
        <f t="shared" si="19"/>
        <v>0</v>
      </c>
      <c r="J172" s="85">
        <f t="shared" si="20"/>
        <v>0</v>
      </c>
      <c r="K172" s="85">
        <f t="shared" si="20"/>
        <v>0</v>
      </c>
      <c r="L172" s="86">
        <f t="shared" si="18"/>
        <v>0</v>
      </c>
    </row>
    <row r="173" spans="1:12" ht="15.75" thickBot="1" x14ac:dyDescent="0.25">
      <c r="B173" s="660" t="s">
        <v>200</v>
      </c>
      <c r="C173" s="661"/>
      <c r="D173" s="661"/>
      <c r="E173" s="662"/>
      <c r="F173" s="150">
        <f>SUM(F122:F172)</f>
        <v>2.3167463441563063E-2</v>
      </c>
      <c r="G173" s="151">
        <f t="shared" ref="G173:L173" si="22">SUM(G122:G172)</f>
        <v>5.7947491449169739E-4</v>
      </c>
      <c r="H173" s="151">
        <f t="shared" si="22"/>
        <v>8.7445075084893742E-4</v>
      </c>
      <c r="I173" s="151">
        <f t="shared" si="22"/>
        <v>1.1057834848633674E-4</v>
      </c>
      <c r="J173" s="151">
        <f t="shared" si="22"/>
        <v>1.8666561268457433E-3</v>
      </c>
      <c r="K173" s="151">
        <f>SUM(K122:K172)</f>
        <v>1.1057834848633674E-4</v>
      </c>
      <c r="L173" s="152">
        <f t="shared" si="22"/>
        <v>6.2661966872761302E-4</v>
      </c>
    </row>
    <row r="174" spans="1:12" ht="13.5" x14ac:dyDescent="0.2">
      <c r="A174" s="147">
        <v>1</v>
      </c>
      <c r="B174" s="141" t="s">
        <v>198</v>
      </c>
      <c r="C174" s="143"/>
      <c r="D174" s="87"/>
      <c r="E174" s="143"/>
      <c r="F174" s="143"/>
      <c r="G174" s="143"/>
      <c r="H174" s="143"/>
      <c r="I174" s="143"/>
      <c r="J174" s="143"/>
      <c r="K174" s="143"/>
      <c r="L174" s="145"/>
    </row>
    <row r="175" spans="1:12" x14ac:dyDescent="0.2">
      <c r="B175" s="79"/>
      <c r="C175" s="79"/>
      <c r="D175" s="79"/>
      <c r="E175" s="79"/>
      <c r="F175" s="153"/>
      <c r="G175" s="153"/>
      <c r="H175" s="153"/>
      <c r="I175" s="153"/>
      <c r="J175" s="153"/>
      <c r="K175" s="153"/>
      <c r="L175" s="153"/>
    </row>
    <row r="176" spans="1:12" ht="15.75" thickBot="1" x14ac:dyDescent="0.25">
      <c r="B176" s="56" t="s">
        <v>201</v>
      </c>
    </row>
    <row r="177" spans="2:12" ht="29.25" customHeight="1" x14ac:dyDescent="0.2">
      <c r="B177" s="663" t="s">
        <v>1</v>
      </c>
      <c r="C177" s="681" t="s">
        <v>2</v>
      </c>
      <c r="D177" s="683" t="s">
        <v>202</v>
      </c>
      <c r="E177" s="681" t="s">
        <v>203</v>
      </c>
      <c r="F177" s="648" t="s">
        <v>1186</v>
      </c>
      <c r="G177" s="649"/>
      <c r="H177" s="649"/>
      <c r="I177" s="649"/>
      <c r="J177" s="649"/>
      <c r="K177" s="649"/>
      <c r="L177" s="650"/>
    </row>
    <row r="178" spans="2:12" x14ac:dyDescent="0.2">
      <c r="B178" s="664"/>
      <c r="C178" s="682"/>
      <c r="D178" s="684"/>
      <c r="E178" s="682"/>
      <c r="F178" s="686" t="s">
        <v>181</v>
      </c>
      <c r="G178" s="677"/>
      <c r="H178" s="687" t="s">
        <v>182</v>
      </c>
      <c r="I178" s="688"/>
      <c r="J178" s="688"/>
      <c r="K178" s="677"/>
      <c r="L178" s="653" t="s">
        <v>183</v>
      </c>
    </row>
    <row r="179" spans="2:12" ht="34.5" customHeight="1" thickBot="1" x14ac:dyDescent="0.25">
      <c r="B179" s="665"/>
      <c r="C179" s="654"/>
      <c r="D179" s="685"/>
      <c r="E179" s="654"/>
      <c r="F179" s="148" t="s">
        <v>184</v>
      </c>
      <c r="G179" s="149" t="s">
        <v>185</v>
      </c>
      <c r="H179" s="149" t="s">
        <v>186</v>
      </c>
      <c r="I179" s="149" t="s">
        <v>187</v>
      </c>
      <c r="J179" s="149" t="s">
        <v>188</v>
      </c>
      <c r="K179" s="149" t="s">
        <v>189</v>
      </c>
      <c r="L179" s="654"/>
    </row>
    <row r="180" spans="2:12" ht="16.5" customHeight="1" x14ac:dyDescent="0.2">
      <c r="B180" s="130" t="s">
        <v>4</v>
      </c>
      <c r="C180" s="131" t="str">
        <f t="shared" ref="C180:C198" si="23">C6</f>
        <v>106-99-0</v>
      </c>
      <c r="D180" s="332">
        <f>CONVERT(INDEX('Screening Emission Calculations'!$G$4:$G$54,MATCH($C180,'Screening Emission Calculations'!$C$4:$C$54,0)),"lbm","g")/8760/3600</f>
        <v>2.2849869990948122E-5</v>
      </c>
      <c r="E180" s="86">
        <f>CONVERT(INDEX('Screening Emission Calculations'!$G$83:$G$133,MATCH($C180,'Screening Emission Calculations'!$C$83:$C$133,0)),"lbm","g")/24/3600</f>
        <v>1.9739482336659352E-3</v>
      </c>
      <c r="F180" s="84">
        <f t="shared" ref="F180:K189" si="24">IF(INDEX($B$6:$L$56,MATCH($C180,$C$6:$C$56,0),MATCH(F$5,$B$5:$L$5,0))="",0,$D180/INDEX($B$6:$L$56,MATCH($C180,$C$6:$C$56,0),MATCH(F$5,$B$5:$L$5,0)))</f>
        <v>6.9242030275600366E-4</v>
      </c>
      <c r="G180" s="85">
        <f t="shared" si="24"/>
        <v>1.1424934995474061E-5</v>
      </c>
      <c r="H180" s="85">
        <f t="shared" si="24"/>
        <v>2.6569616268544329E-5</v>
      </c>
      <c r="I180" s="85">
        <f t="shared" si="24"/>
        <v>2.5965761353350136E-6</v>
      </c>
      <c r="J180" s="85">
        <f t="shared" si="24"/>
        <v>5.7124674977370306E-5</v>
      </c>
      <c r="K180" s="85">
        <f t="shared" si="24"/>
        <v>2.5965761353350136E-6</v>
      </c>
      <c r="L180" s="86">
        <f t="shared" ref="L180:L211" si="25">IF(INDEX($B$6:$L$56,MATCH($C180,$C$6:$C$56,0),MATCH(L$4,$B$4:$L$4,0))="",0,$E180/INDEX($B$6:$L$56,MATCH($C180,$C$6:$C$56,0),MATCH(L$4,$B$4:$L$4,0)))</f>
        <v>2.990830657069599E-6</v>
      </c>
    </row>
    <row r="181" spans="2:12" x14ac:dyDescent="0.2">
      <c r="B181" s="132" t="s">
        <v>129</v>
      </c>
      <c r="C181" s="134" t="str">
        <f t="shared" si="23"/>
        <v>83-32-9</v>
      </c>
      <c r="D181" s="332">
        <f>CONVERT(INDEX('Screening Emission Calculations'!$G$4:$G$54,MATCH($C181,'Screening Emission Calculations'!$C$4:$C$54,0)),"lbm","g")/8760/3600</f>
        <v>7.721178210878781E-8</v>
      </c>
      <c r="E181" s="86">
        <f>CONVERT(INDEX('Screening Emission Calculations'!$G$83:$G$133,MATCH($C181,'Screening Emission Calculations'!$C$83:$C$133,0)),"lbm","g")/24/3600</f>
        <v>6.670150025895908E-6</v>
      </c>
      <c r="F181" s="84">
        <f t="shared" si="24"/>
        <v>0</v>
      </c>
      <c r="G181" s="85">
        <f t="shared" si="24"/>
        <v>0</v>
      </c>
      <c r="H181" s="85">
        <f t="shared" si="24"/>
        <v>0</v>
      </c>
      <c r="I181" s="85">
        <f t="shared" si="24"/>
        <v>0</v>
      </c>
      <c r="J181" s="85">
        <f t="shared" si="24"/>
        <v>0</v>
      </c>
      <c r="K181" s="85">
        <f t="shared" si="24"/>
        <v>0</v>
      </c>
      <c r="L181" s="86">
        <f t="shared" si="25"/>
        <v>0</v>
      </c>
    </row>
    <row r="182" spans="2:12" x14ac:dyDescent="0.2">
      <c r="B182" s="133" t="s">
        <v>130</v>
      </c>
      <c r="C182" s="134" t="str">
        <f t="shared" si="23"/>
        <v>208-96-8</v>
      </c>
      <c r="D182" s="332">
        <f>CONVERT(INDEX('Screening Emission Calculations'!$G$4:$G$54,MATCH($C182,'Screening Emission Calculations'!$C$4:$C$54,0)),"lbm","g")/8760/3600</f>
        <v>8.5115910028977974E-8</v>
      </c>
      <c r="E182" s="86">
        <f>CONVERT(INDEX('Screening Emission Calculations'!$G$83:$G$133,MATCH($C182,'Screening Emission Calculations'!$C$83:$C$133,0)),"lbm","g")/24/3600</f>
        <v>7.3529696372507993E-6</v>
      </c>
      <c r="F182" s="84">
        <f t="shared" si="24"/>
        <v>0</v>
      </c>
      <c r="G182" s="85">
        <f t="shared" si="24"/>
        <v>0</v>
      </c>
      <c r="H182" s="85">
        <f t="shared" si="24"/>
        <v>0</v>
      </c>
      <c r="I182" s="85">
        <f t="shared" si="24"/>
        <v>0</v>
      </c>
      <c r="J182" s="85">
        <f t="shared" si="24"/>
        <v>0</v>
      </c>
      <c r="K182" s="85">
        <f t="shared" si="24"/>
        <v>0</v>
      </c>
      <c r="L182" s="86">
        <f t="shared" si="25"/>
        <v>0</v>
      </c>
    </row>
    <row r="183" spans="2:12" x14ac:dyDescent="0.2">
      <c r="B183" s="133" t="s">
        <v>11</v>
      </c>
      <c r="C183" s="134" t="str">
        <f t="shared" si="23"/>
        <v>75-07-0</v>
      </c>
      <c r="D183" s="332">
        <f>CONVERT(INDEX('Screening Emission Calculations'!$G$4:$G$54,MATCH($C183,'Screening Emission Calculations'!$C$4:$C$54,0)),"lbm","g")/8760/3600</f>
        <v>8.232890139792855E-5</v>
      </c>
      <c r="E183" s="86">
        <f>CONVERT(INDEX('Screening Emission Calculations'!$G$83:$G$133,MATCH($C183,'Screening Emission Calculations'!$C$83:$C$133,0)),"lbm","g")/24/3600</f>
        <v>7.1122063083280916E-3</v>
      </c>
      <c r="F183" s="84">
        <f t="shared" si="24"/>
        <v>1.82953114217619E-4</v>
      </c>
      <c r="G183" s="85">
        <f t="shared" si="24"/>
        <v>5.8806358141377534E-7</v>
      </c>
      <c r="H183" s="85">
        <f t="shared" si="24"/>
        <v>6.8607417831607125E-6</v>
      </c>
      <c r="I183" s="85">
        <f t="shared" si="24"/>
        <v>1.3278855064182023E-7</v>
      </c>
      <c r="J183" s="85">
        <f t="shared" si="24"/>
        <v>1.4968891163259736E-5</v>
      </c>
      <c r="K183" s="85">
        <f t="shared" si="24"/>
        <v>1.3278855064182023E-7</v>
      </c>
      <c r="L183" s="86">
        <f t="shared" si="25"/>
        <v>1.5132353847506578E-5</v>
      </c>
    </row>
    <row r="184" spans="2:12" x14ac:dyDescent="0.2">
      <c r="B184" s="133" t="s">
        <v>13</v>
      </c>
      <c r="C184" s="134" t="str">
        <f t="shared" si="23"/>
        <v>107-02-8</v>
      </c>
      <c r="D184" s="332">
        <f>CONVERT(INDEX('Screening Emission Calculations'!$G$4:$G$54,MATCH($C184,'Screening Emission Calculations'!$C$4:$C$54,0)),"lbm","g")/8760/3600</f>
        <v>3.5630662037403002E-6</v>
      </c>
      <c r="E184" s="86">
        <f>CONVERT(INDEX('Screening Emission Calculations'!$G$83:$G$133,MATCH($C184,'Screening Emission Calculations'!$C$83:$C$133,0)),"lbm","g")/24/3600</f>
        <v>3.0780517535085192E-4</v>
      </c>
      <c r="F184" s="84">
        <f t="shared" si="24"/>
        <v>0</v>
      </c>
      <c r="G184" s="85">
        <f t="shared" si="24"/>
        <v>1.0180189153543715E-5</v>
      </c>
      <c r="H184" s="85">
        <f t="shared" si="24"/>
        <v>0</v>
      </c>
      <c r="I184" s="85">
        <f t="shared" si="24"/>
        <v>2.3753774691602003E-6</v>
      </c>
      <c r="J184" s="85">
        <f t="shared" si="24"/>
        <v>0</v>
      </c>
      <c r="K184" s="85">
        <f t="shared" si="24"/>
        <v>2.3753774691602003E-6</v>
      </c>
      <c r="L184" s="86">
        <f t="shared" si="25"/>
        <v>4.4609445703022015E-5</v>
      </c>
    </row>
    <row r="185" spans="2:12" x14ac:dyDescent="0.2">
      <c r="B185" s="133" t="s">
        <v>15</v>
      </c>
      <c r="C185" s="134" t="str">
        <f t="shared" si="23"/>
        <v>7664-41-7</v>
      </c>
      <c r="D185" s="332">
        <f>CONVERT(INDEX('Screening Emission Calculations'!$G$4:$G$54,MATCH($C185,'Screening Emission Calculations'!$C$4:$C$54,0)),"lbm","g")/8760/3600</f>
        <v>8.2732854903602249E-5</v>
      </c>
      <c r="E185" s="86">
        <f>CONVERT(INDEX('Screening Emission Calculations'!$G$83:$G$133,MATCH($C185,'Screening Emission Calculations'!$C$83:$C$133,0)),"lbm","g")/24/3600</f>
        <v>7.2473980895555569E-3</v>
      </c>
      <c r="F185" s="84">
        <f t="shared" si="24"/>
        <v>0</v>
      </c>
      <c r="G185" s="85">
        <f t="shared" si="24"/>
        <v>1.6546570980720449E-7</v>
      </c>
      <c r="H185" s="85">
        <f t="shared" si="24"/>
        <v>0</v>
      </c>
      <c r="I185" s="85">
        <f t="shared" si="24"/>
        <v>3.7605843138001022E-8</v>
      </c>
      <c r="J185" s="85">
        <f t="shared" si="24"/>
        <v>0</v>
      </c>
      <c r="K185" s="85">
        <f t="shared" si="24"/>
        <v>3.7605843138001022E-8</v>
      </c>
      <c r="L185" s="86">
        <f t="shared" si="25"/>
        <v>6.039498407962964E-6</v>
      </c>
    </row>
    <row r="186" spans="2:12" x14ac:dyDescent="0.2">
      <c r="B186" s="133" t="s">
        <v>132</v>
      </c>
      <c r="C186" s="134" t="str">
        <f t="shared" si="23"/>
        <v>120-12-7</v>
      </c>
      <c r="D186" s="332">
        <f>CONVERT(INDEX('Screening Emission Calculations'!$G$4:$G$54,MATCH($C186,'Screening Emission Calculations'!$C$4:$C$54,0)),"lbm","g")/8760/3600</f>
        <v>4.7517009835936585E-8</v>
      </c>
      <c r="E186" s="86">
        <f>CONVERT(INDEX('Screening Emission Calculations'!$G$83:$G$133,MATCH($C186,'Screening Emission Calculations'!$C$83:$C$133,0)),"lbm","g")/24/3600</f>
        <v>4.1048862716457815E-6</v>
      </c>
      <c r="F186" s="84">
        <f t="shared" si="24"/>
        <v>0</v>
      </c>
      <c r="G186" s="85">
        <f t="shared" si="24"/>
        <v>0</v>
      </c>
      <c r="H186" s="85">
        <f t="shared" si="24"/>
        <v>0</v>
      </c>
      <c r="I186" s="85">
        <f t="shared" si="24"/>
        <v>0</v>
      </c>
      <c r="J186" s="85">
        <f t="shared" si="24"/>
        <v>0</v>
      </c>
      <c r="K186" s="85">
        <f t="shared" si="24"/>
        <v>0</v>
      </c>
      <c r="L186" s="86">
        <f t="shared" si="25"/>
        <v>0</v>
      </c>
    </row>
    <row r="187" spans="2:12" x14ac:dyDescent="0.2">
      <c r="B187" s="133" t="s">
        <v>19</v>
      </c>
      <c r="C187" s="134" t="str">
        <f t="shared" si="23"/>
        <v>7440-36-0</v>
      </c>
      <c r="D187" s="332">
        <f>CONVERT(INDEX('Screening Emission Calculations'!$G$4:$G$54,MATCH($C187,'Screening Emission Calculations'!$C$4:$C$54,0)),"lbm","g")/8760/3600</f>
        <v>3.2905676866623661E-8</v>
      </c>
      <c r="E187" s="86">
        <f>CONVERT(INDEX('Screening Emission Calculations'!$G$83:$G$133,MATCH($C187,'Screening Emission Calculations'!$C$83:$C$133,0)),"lbm","g")/24/3600</f>
        <v>2.8825372935162331E-6</v>
      </c>
      <c r="F187" s="84">
        <f t="shared" si="24"/>
        <v>0</v>
      </c>
      <c r="G187" s="85">
        <f t="shared" si="24"/>
        <v>1.0968558955541221E-7</v>
      </c>
      <c r="H187" s="85">
        <f t="shared" si="24"/>
        <v>0</v>
      </c>
      <c r="I187" s="85">
        <f t="shared" si="24"/>
        <v>2.5312059128172047E-8</v>
      </c>
      <c r="J187" s="85">
        <f t="shared" si="24"/>
        <v>0</v>
      </c>
      <c r="K187" s="85">
        <f t="shared" si="24"/>
        <v>2.5312059128172047E-8</v>
      </c>
      <c r="L187" s="86">
        <f t="shared" si="25"/>
        <v>2.8825372935162331E-6</v>
      </c>
    </row>
    <row r="188" spans="2:12" x14ac:dyDescent="0.2">
      <c r="B188" s="133" t="s">
        <v>21</v>
      </c>
      <c r="C188" s="134" t="str">
        <f t="shared" si="23"/>
        <v>7440-38-2</v>
      </c>
      <c r="D188" s="332">
        <f>CONVERT(INDEX('Screening Emission Calculations'!$G$4:$G$54,MATCH($C188,'Screening Emission Calculations'!$C$4:$C$54,0)),"lbm","g")/8760/3600</f>
        <v>2.8631015587886203E-8</v>
      </c>
      <c r="E188" s="86">
        <f>CONVERT(INDEX('Screening Emission Calculations'!$G$83:$G$133,MATCH($C188,'Screening Emission Calculations'!$C$83:$C$133,0)),"lbm","g")/24/3600</f>
        <v>2.5080769654988308E-6</v>
      </c>
      <c r="F188" s="84">
        <f t="shared" si="24"/>
        <v>1.1929589828285918E-3</v>
      </c>
      <c r="G188" s="85">
        <f t="shared" si="24"/>
        <v>1.6841773875227178E-4</v>
      </c>
      <c r="H188" s="85">
        <f t="shared" si="24"/>
        <v>2.2023858144527849E-5</v>
      </c>
      <c r="I188" s="85">
        <f t="shared" si="24"/>
        <v>1.1929589828285919E-5</v>
      </c>
      <c r="J188" s="85">
        <f t="shared" si="24"/>
        <v>4.6179057399816453E-5</v>
      </c>
      <c r="K188" s="85">
        <f t="shared" si="24"/>
        <v>1.1929589828285919E-5</v>
      </c>
      <c r="L188" s="86">
        <f t="shared" si="25"/>
        <v>1.2540384827494153E-5</v>
      </c>
    </row>
    <row r="189" spans="2:12" x14ac:dyDescent="0.2">
      <c r="B189" s="133" t="s">
        <v>23</v>
      </c>
      <c r="C189" s="134" t="str">
        <f t="shared" si="23"/>
        <v>7440-39-3</v>
      </c>
      <c r="D189" s="332">
        <f>CONVERT(INDEX('Screening Emission Calculations'!$G$4:$G$54,MATCH($C189,'Screening Emission Calculations'!$C$4:$C$54,0)),"lbm","g")/8760/3600</f>
        <v>3.8666580280688127E-8</v>
      </c>
      <c r="E189" s="86">
        <f>CONVERT(INDEX('Screening Emission Calculations'!$G$83:$G$133,MATCH($C189,'Screening Emission Calculations'!$C$83:$C$133,0)),"lbm","g")/24/3600</f>
        <v>3.3871924325882801E-6</v>
      </c>
      <c r="F189" s="84">
        <f t="shared" si="24"/>
        <v>0</v>
      </c>
      <c r="G189" s="85">
        <f t="shared" si="24"/>
        <v>0</v>
      </c>
      <c r="H189" s="85">
        <f t="shared" si="24"/>
        <v>0</v>
      </c>
      <c r="I189" s="85">
        <f t="shared" si="24"/>
        <v>0</v>
      </c>
      <c r="J189" s="85">
        <f t="shared" si="24"/>
        <v>0</v>
      </c>
      <c r="K189" s="85">
        <f t="shared" si="24"/>
        <v>0</v>
      </c>
      <c r="L189" s="86">
        <f t="shared" si="25"/>
        <v>0</v>
      </c>
    </row>
    <row r="190" spans="2:12" x14ac:dyDescent="0.2">
      <c r="B190" s="133" t="s">
        <v>133</v>
      </c>
      <c r="C190" s="134" t="str">
        <f t="shared" si="23"/>
        <v>56-55-3</v>
      </c>
      <c r="D190" s="332">
        <f>CONVERT(INDEX('Screening Emission Calculations'!$G$4:$G$54,MATCH($C190,'Screening Emission Calculations'!$C$4:$C$54,0)),"lbm","g")/8760/3600</f>
        <v>5.1019454267268656E-9</v>
      </c>
      <c r="E190" s="86">
        <f>CONVERT(INDEX('Screening Emission Calculations'!$G$83:$G$133,MATCH($C190,'Screening Emission Calculations'!$C$83:$C$133,0)),"lbm","g")/24/3600</f>
        <v>4.4074544701291813E-7</v>
      </c>
      <c r="F190" s="84">
        <f t="shared" ref="F190:K199" si="26">IF(INDEX($B$6:$L$56,MATCH($C190,$C$6:$C$56,0),MATCH(F$5,$B$5:$L$5,0))="",0,$D190/INDEX($B$6:$L$56,MATCH($C190,$C$6:$C$56,0),MATCH(F$5,$B$5:$L$5,0)))</f>
        <v>2.4294978222508884E-5</v>
      </c>
      <c r="G190" s="85">
        <f t="shared" si="26"/>
        <v>0</v>
      </c>
      <c r="H190" s="85">
        <f t="shared" si="26"/>
        <v>6.5409556752908539E-7</v>
      </c>
      <c r="I190" s="85">
        <f t="shared" si="26"/>
        <v>0</v>
      </c>
      <c r="J190" s="85">
        <f t="shared" si="26"/>
        <v>3.401296951151244E-7</v>
      </c>
      <c r="K190" s="85">
        <f t="shared" si="26"/>
        <v>0</v>
      </c>
      <c r="L190" s="86">
        <f t="shared" si="25"/>
        <v>0</v>
      </c>
    </row>
    <row r="191" spans="2:12" x14ac:dyDescent="0.2">
      <c r="B191" s="133" t="s">
        <v>27</v>
      </c>
      <c r="C191" s="134" t="str">
        <f t="shared" si="23"/>
        <v>71-43-2</v>
      </c>
      <c r="D191" s="332">
        <f>CONVERT(INDEX('Screening Emission Calculations'!$G$4:$G$54,MATCH($C191,'Screening Emission Calculations'!$C$4:$C$54,0)),"lbm","g")/8760/3600</f>
        <v>1.9581098340909087E-5</v>
      </c>
      <c r="E191" s="86">
        <f>CONVERT(INDEX('Screening Emission Calculations'!$G$83:$G$133,MATCH($C191,'Screening Emission Calculations'!$C$83:$C$133,0)),"lbm","g")/24/3600</f>
        <v>1.691566494627248E-3</v>
      </c>
      <c r="F191" s="84">
        <f t="shared" si="26"/>
        <v>1.5062383339160837E-4</v>
      </c>
      <c r="G191" s="85">
        <f t="shared" si="26"/>
        <v>6.5270327803030288E-6</v>
      </c>
      <c r="H191" s="85">
        <f t="shared" si="26"/>
        <v>5.9336661639118443E-6</v>
      </c>
      <c r="I191" s="85">
        <f t="shared" si="26"/>
        <v>1.5062383339160836E-6</v>
      </c>
      <c r="J191" s="85">
        <f t="shared" si="26"/>
        <v>1.3054065560606058E-5</v>
      </c>
      <c r="K191" s="85">
        <f t="shared" si="26"/>
        <v>1.5062383339160836E-6</v>
      </c>
      <c r="L191" s="86">
        <f t="shared" si="25"/>
        <v>5.8329879125077521E-5</v>
      </c>
    </row>
    <row r="192" spans="2:12" x14ac:dyDescent="0.2">
      <c r="B192" s="133" t="s">
        <v>190</v>
      </c>
      <c r="C192" s="134" t="str">
        <f t="shared" si="23"/>
        <v>50-32-8</v>
      </c>
      <c r="D192" s="332">
        <f>CONVERT(INDEX('Screening Emission Calculations'!$G$4:$G$54,MATCH($C192,'Screening Emission Calculations'!$C$4:$C$54,0)),"lbm","g")/8760/3600</f>
        <v>1.5119632168553398E-9</v>
      </c>
      <c r="E192" s="86">
        <f>CONVERT(INDEX('Screening Emission Calculations'!$G$83:$G$133,MATCH($C192,'Screening Emission Calculations'!$C$83:$C$133,0)),"lbm","g")/24/3600</f>
        <v>1.3061505918684767E-7</v>
      </c>
      <c r="F192" s="84">
        <f t="shared" si="26"/>
        <v>3.5161935275705574E-5</v>
      </c>
      <c r="G192" s="85">
        <f t="shared" si="26"/>
        <v>7.5598160842766993E-7</v>
      </c>
      <c r="H192" s="85">
        <f t="shared" si="26"/>
        <v>9.4497701053458736E-7</v>
      </c>
      <c r="I192" s="85">
        <f t="shared" si="26"/>
        <v>1.7181400191537952E-7</v>
      </c>
      <c r="J192" s="85">
        <f t="shared" si="26"/>
        <v>5.0398773895177996E-7</v>
      </c>
      <c r="K192" s="85">
        <f t="shared" si="26"/>
        <v>1.7181400191537952E-7</v>
      </c>
      <c r="L192" s="86">
        <f t="shared" si="25"/>
        <v>6.5307529593423833E-5</v>
      </c>
    </row>
    <row r="193" spans="2:12" x14ac:dyDescent="0.2">
      <c r="B193" s="133" t="s">
        <v>135</v>
      </c>
      <c r="C193" s="134" t="str">
        <f t="shared" si="23"/>
        <v>205-99-2</v>
      </c>
      <c r="D193" s="332">
        <f>CONVERT(INDEX('Screening Emission Calculations'!$G$4:$G$54,MATCH($C193,'Screening Emission Calculations'!$C$4:$C$54,0)),"lbm","g")/8760/3600</f>
        <v>4.6617916009184008E-9</v>
      </c>
      <c r="E193" s="86">
        <f>CONVERT(INDEX('Screening Emission Calculations'!$G$83:$G$133,MATCH($C193,'Screening Emission Calculations'!$C$83:$C$133,0)),"lbm","g")/24/3600</f>
        <v>4.0272156034134802E-7</v>
      </c>
      <c r="F193" s="84">
        <f t="shared" si="26"/>
        <v>8.795833209280001E-5</v>
      </c>
      <c r="G193" s="85">
        <f t="shared" si="26"/>
        <v>0</v>
      </c>
      <c r="H193" s="85">
        <f t="shared" si="26"/>
        <v>2.3308958004592003E-6</v>
      </c>
      <c r="I193" s="85">
        <f t="shared" si="26"/>
        <v>0</v>
      </c>
      <c r="J193" s="85">
        <f t="shared" si="26"/>
        <v>1.2267872633995792E-6</v>
      </c>
      <c r="K193" s="85">
        <f t="shared" si="26"/>
        <v>0</v>
      </c>
      <c r="L193" s="86">
        <f t="shared" si="25"/>
        <v>0</v>
      </c>
    </row>
    <row r="194" spans="2:12" x14ac:dyDescent="0.2">
      <c r="B194" s="133" t="s">
        <v>136</v>
      </c>
      <c r="C194" s="134" t="str">
        <f t="shared" si="23"/>
        <v>192-97-2</v>
      </c>
      <c r="D194" s="332">
        <f>CONVERT(INDEX('Screening Emission Calculations'!$G$4:$G$54,MATCH($C194,'Screening Emission Calculations'!$C$4:$C$54,0)),"lbm","g")/8760/3600</f>
        <v>3.4546285844644129E-9</v>
      </c>
      <c r="E194" s="86">
        <f>CONVERT(INDEX('Screening Emission Calculations'!$G$83:$G$133,MATCH($C194,'Screening Emission Calculations'!$C$83:$C$133,0)),"lbm","g")/24/3600</f>
        <v>2.9843749636110834E-7</v>
      </c>
      <c r="F194" s="84">
        <f t="shared" si="26"/>
        <v>0</v>
      </c>
      <c r="G194" s="85">
        <f t="shared" si="26"/>
        <v>0</v>
      </c>
      <c r="H194" s="85">
        <f t="shared" si="26"/>
        <v>0</v>
      </c>
      <c r="I194" s="85">
        <f t="shared" si="26"/>
        <v>0</v>
      </c>
      <c r="J194" s="85">
        <f t="shared" si="26"/>
        <v>0</v>
      </c>
      <c r="K194" s="85">
        <f t="shared" si="26"/>
        <v>0</v>
      </c>
      <c r="L194" s="86">
        <f t="shared" si="25"/>
        <v>0</v>
      </c>
    </row>
    <row r="195" spans="2:12" x14ac:dyDescent="0.2">
      <c r="B195" s="133" t="s">
        <v>137</v>
      </c>
      <c r="C195" s="134" t="str">
        <f t="shared" si="23"/>
        <v>191-24-2</v>
      </c>
      <c r="D195" s="332">
        <f>CONVERT(INDEX('Screening Emission Calculations'!$G$4:$G$54,MATCH($C195,'Screening Emission Calculations'!$C$4:$C$54,0)),"lbm","g")/8760/3600</f>
        <v>2.2991024911782226E-9</v>
      </c>
      <c r="E195" s="86">
        <f>CONVERT(INDEX('Screening Emission Calculations'!$G$83:$G$133,MATCH($C195,'Screening Emission Calculations'!$C$83:$C$133,0)),"lbm","g")/24/3600</f>
        <v>1.9861422858318384E-7</v>
      </c>
      <c r="F195" s="84">
        <f t="shared" si="26"/>
        <v>4.8917074280387712E-7</v>
      </c>
      <c r="G195" s="85">
        <f t="shared" si="26"/>
        <v>0</v>
      </c>
      <c r="H195" s="85">
        <f t="shared" si="26"/>
        <v>1.3524132301048367E-8</v>
      </c>
      <c r="I195" s="85">
        <f t="shared" si="26"/>
        <v>0</v>
      </c>
      <c r="J195" s="85">
        <f t="shared" si="26"/>
        <v>6.7620661505241835E-9</v>
      </c>
      <c r="K195" s="85">
        <f t="shared" si="26"/>
        <v>0</v>
      </c>
      <c r="L195" s="86">
        <f t="shared" si="25"/>
        <v>0</v>
      </c>
    </row>
    <row r="196" spans="2:12" x14ac:dyDescent="0.2">
      <c r="B196" s="133" t="s">
        <v>138</v>
      </c>
      <c r="C196" s="134" t="str">
        <f t="shared" si="23"/>
        <v>207-08-9</v>
      </c>
      <c r="D196" s="332">
        <f>CONVERT(INDEX('Screening Emission Calculations'!$G$4:$G$54,MATCH($C196,'Screening Emission Calculations'!$C$4:$C$54,0)),"lbm","g")/8760/3600</f>
        <v>1.3720809808160301E-9</v>
      </c>
      <c r="E196" s="86">
        <f>CONVERT(INDEX('Screening Emission Calculations'!$G$83:$G$133,MATCH($C196,'Screening Emission Calculations'!$C$83:$C$133,0)),"lbm","g")/24/3600</f>
        <v>1.1853095136214579E-7</v>
      </c>
      <c r="F196" s="84">
        <f t="shared" si="26"/>
        <v>9.8005784344002156E-7</v>
      </c>
      <c r="G196" s="85">
        <f t="shared" si="26"/>
        <v>0</v>
      </c>
      <c r="H196" s="85">
        <f t="shared" si="26"/>
        <v>2.638617270800058E-8</v>
      </c>
      <c r="I196" s="85">
        <f t="shared" si="26"/>
        <v>0</v>
      </c>
      <c r="J196" s="85">
        <f t="shared" si="26"/>
        <v>1.37208098081603E-8</v>
      </c>
      <c r="K196" s="85">
        <f t="shared" si="26"/>
        <v>0</v>
      </c>
      <c r="L196" s="86">
        <f t="shared" si="25"/>
        <v>0</v>
      </c>
    </row>
    <row r="197" spans="2:12" x14ac:dyDescent="0.2">
      <c r="B197" s="133" t="s">
        <v>39</v>
      </c>
      <c r="C197" s="134" t="str">
        <f t="shared" si="23"/>
        <v>7440-41-7</v>
      </c>
      <c r="D197" s="332">
        <f>CONVERT(INDEX('Screening Emission Calculations'!$G$4:$G$54,MATCH($C197,'Screening Emission Calculations'!$C$4:$C$54,0)),"lbm","g")/8760/3600</f>
        <v>4.933821659664819E-10</v>
      </c>
      <c r="E197" s="86">
        <f>CONVERT(INDEX('Screening Emission Calculations'!$G$83:$G$133,MATCH($C197,'Screening Emission Calculations'!$C$83:$C$133,0)),"lbm","g")/24/3600</f>
        <v>4.3220277738663815E-8</v>
      </c>
      <c r="F197" s="84">
        <f t="shared" si="26"/>
        <v>1.1747194427773378E-6</v>
      </c>
      <c r="G197" s="85">
        <f t="shared" si="26"/>
        <v>7.0483166566640269E-8</v>
      </c>
      <c r="H197" s="85">
        <f t="shared" si="26"/>
        <v>4.4852924178771082E-8</v>
      </c>
      <c r="I197" s="85">
        <f t="shared" si="26"/>
        <v>1.5915553740854255E-8</v>
      </c>
      <c r="J197" s="85">
        <f t="shared" si="26"/>
        <v>9.8676433193296372E-8</v>
      </c>
      <c r="K197" s="85">
        <f t="shared" si="26"/>
        <v>1.5915553740854255E-8</v>
      </c>
      <c r="L197" s="86">
        <f t="shared" si="25"/>
        <v>2.1610138869331905E-6</v>
      </c>
    </row>
    <row r="198" spans="2:12" x14ac:dyDescent="0.2">
      <c r="B198" s="133" t="s">
        <v>41</v>
      </c>
      <c r="C198" s="134" t="str">
        <f t="shared" si="23"/>
        <v>7440-43-9</v>
      </c>
      <c r="D198" s="332">
        <f>CONVERT(INDEX('Screening Emission Calculations'!$G$4:$G$54,MATCH($C198,'Screening Emission Calculations'!$C$4:$C$54,0)),"lbm","g")/8760/3600</f>
        <v>8.3537737803189799E-9</v>
      </c>
      <c r="E198" s="86">
        <f>CONVERT(INDEX('Screening Emission Calculations'!$G$83:$G$133,MATCH($C198,'Screening Emission Calculations'!$C$83:$C$133,0)),"lbm","g")/24/3600</f>
        <v>7.3179058315594254E-7</v>
      </c>
      <c r="F198" s="84">
        <f t="shared" si="26"/>
        <v>1.4917453179141036E-5</v>
      </c>
      <c r="G198" s="85">
        <f t="shared" si="26"/>
        <v>1.6707547560637959E-6</v>
      </c>
      <c r="H198" s="85">
        <f t="shared" si="26"/>
        <v>5.9669812716564145E-7</v>
      </c>
      <c r="I198" s="85">
        <f t="shared" si="26"/>
        <v>2.2577766973835083E-7</v>
      </c>
      <c r="J198" s="85">
        <f t="shared" si="26"/>
        <v>1.2468319075102955E-6</v>
      </c>
      <c r="K198" s="85">
        <f t="shared" si="26"/>
        <v>2.2577766973835083E-7</v>
      </c>
      <c r="L198" s="86">
        <f t="shared" si="25"/>
        <v>2.439301943853142E-5</v>
      </c>
    </row>
    <row r="199" spans="2:12" x14ac:dyDescent="0.2">
      <c r="B199" s="133" t="s">
        <v>43</v>
      </c>
      <c r="C199" s="134" t="s">
        <v>44</v>
      </c>
      <c r="D199" s="332">
        <f>CONVERT(INDEX('Screening Emission Calculations'!$G$4:$G$54,MATCH($C199,'Screening Emission Calculations'!$C$4:$C$54,0)),"lbm","g")/8760/3600</f>
        <v>2.1021039550090271E-8</v>
      </c>
      <c r="E199" s="86">
        <f>CONVERT(INDEX('Screening Emission Calculations'!$G$83:$G$133,MATCH($C199,'Screening Emission Calculations'!$C$83:$C$133,0)),"lbm","g")/24/3600</f>
        <v>1.8159597365831973E-6</v>
      </c>
      <c r="F199" s="84">
        <f t="shared" si="26"/>
        <v>0</v>
      </c>
      <c r="G199" s="85">
        <f t="shared" si="26"/>
        <v>4.204207910018054E-10</v>
      </c>
      <c r="H199" s="85">
        <f t="shared" si="26"/>
        <v>0</v>
      </c>
      <c r="I199" s="85">
        <f t="shared" si="26"/>
        <v>9.5550179773137597E-11</v>
      </c>
      <c r="J199" s="85">
        <f t="shared" si="26"/>
        <v>0</v>
      </c>
      <c r="K199" s="85">
        <f t="shared" si="26"/>
        <v>9.5550179773137597E-11</v>
      </c>
      <c r="L199" s="86">
        <f t="shared" si="25"/>
        <v>0</v>
      </c>
    </row>
    <row r="200" spans="2:12" x14ac:dyDescent="0.2">
      <c r="B200" s="133" t="s">
        <v>139</v>
      </c>
      <c r="C200" s="134" t="str">
        <f t="shared" ref="C200:C221" si="27">C26</f>
        <v>218-01-9</v>
      </c>
      <c r="D200" s="332">
        <f>CONVERT(INDEX('Screening Emission Calculations'!$G$4:$G$54,MATCH($C200,'Screening Emission Calculations'!$C$4:$C$54,0)),"lbm","g")/8760/3600</f>
        <v>7.0420391217105558E-9</v>
      </c>
      <c r="E200" s="86">
        <f>CONVERT(INDEX('Screening Emission Calculations'!$G$83:$G$133,MATCH($C200,'Screening Emission Calculations'!$C$83:$C$133,0)),"lbm","g")/24/3600</f>
        <v>6.0834572324541182E-7</v>
      </c>
      <c r="F200" s="84">
        <f t="shared" ref="F200:K209" si="28">IF(INDEX($B$6:$L$56,MATCH($C200,$C$6:$C$56,0),MATCH(F$5,$B$5:$L$5,0))="",0,$D200/INDEX($B$6:$L$56,MATCH($C200,$C$6:$C$56,0),MATCH(F$5,$B$5:$L$5,0)))</f>
        <v>1.6376835166768734E-5</v>
      </c>
      <c r="G200" s="85">
        <f t="shared" si="28"/>
        <v>0</v>
      </c>
      <c r="H200" s="85">
        <f t="shared" si="28"/>
        <v>4.401274451069097E-7</v>
      </c>
      <c r="I200" s="85">
        <f t="shared" si="28"/>
        <v>0</v>
      </c>
      <c r="J200" s="85">
        <f t="shared" si="28"/>
        <v>2.3473463739035188E-7</v>
      </c>
      <c r="K200" s="85">
        <f t="shared" si="28"/>
        <v>0</v>
      </c>
      <c r="L200" s="86">
        <f t="shared" si="25"/>
        <v>0</v>
      </c>
    </row>
    <row r="201" spans="2:12" x14ac:dyDescent="0.2">
      <c r="B201" s="133" t="s">
        <v>47</v>
      </c>
      <c r="C201" s="134" t="str">
        <f t="shared" si="27"/>
        <v>7440-48-4</v>
      </c>
      <c r="D201" s="332">
        <f>CONVERT(INDEX('Screening Emission Calculations'!$G$4:$G$54,MATCH($C201,'Screening Emission Calculations'!$C$4:$C$54,0)),"lbm","g")/8760/3600</f>
        <v>1.6289207458804536E-9</v>
      </c>
      <c r="E201" s="86">
        <f>CONVERT(INDEX('Screening Emission Calculations'!$G$83:$G$133,MATCH($C201,'Screening Emission Calculations'!$C$83:$C$133,0)),"lbm","g")/24/3600</f>
        <v>1.4269345733912776E-7</v>
      </c>
      <c r="F201" s="84">
        <f t="shared" si="28"/>
        <v>0</v>
      </c>
      <c r="G201" s="85">
        <f t="shared" si="28"/>
        <v>1.6289207458804536E-8</v>
      </c>
      <c r="H201" s="85">
        <f t="shared" si="28"/>
        <v>0</v>
      </c>
      <c r="I201" s="85">
        <f t="shared" si="28"/>
        <v>3.7020926042737581E-9</v>
      </c>
      <c r="J201" s="85">
        <f t="shared" si="28"/>
        <v>0</v>
      </c>
      <c r="K201" s="85">
        <f t="shared" si="28"/>
        <v>3.7020926042737581E-9</v>
      </c>
      <c r="L201" s="86">
        <f t="shared" si="25"/>
        <v>0</v>
      </c>
    </row>
    <row r="202" spans="2:12" x14ac:dyDescent="0.2">
      <c r="B202" s="133" t="s">
        <v>49</v>
      </c>
      <c r="C202" s="134" t="str">
        <f t="shared" si="27"/>
        <v>7440-50-8</v>
      </c>
      <c r="D202" s="332">
        <f>CONVERT(INDEX('Screening Emission Calculations'!$G$4:$G$54,MATCH($C202,'Screening Emission Calculations'!$C$4:$C$54,0)),"lbm","g")/8760/3600</f>
        <v>5.1928849158244749E-8</v>
      </c>
      <c r="E202" s="86">
        <f>CONVERT(INDEX('Screening Emission Calculations'!$G$83:$G$133,MATCH($C202,'Screening Emission Calculations'!$C$83:$C$133,0)),"lbm","g")/24/3600</f>
        <v>4.5489671862622399E-6</v>
      </c>
      <c r="F202" s="84">
        <f t="shared" si="28"/>
        <v>0</v>
      </c>
      <c r="G202" s="85">
        <f t="shared" si="28"/>
        <v>0</v>
      </c>
      <c r="H202" s="85">
        <f t="shared" si="28"/>
        <v>0</v>
      </c>
      <c r="I202" s="85">
        <f t="shared" si="28"/>
        <v>0</v>
      </c>
      <c r="J202" s="85">
        <f t="shared" si="28"/>
        <v>0</v>
      </c>
      <c r="K202" s="85">
        <f t="shared" si="28"/>
        <v>0</v>
      </c>
      <c r="L202" s="86">
        <f t="shared" si="25"/>
        <v>4.54896718626224E-8</v>
      </c>
    </row>
    <row r="203" spans="2:12" x14ac:dyDescent="0.2">
      <c r="B203" s="135" t="s">
        <v>140</v>
      </c>
      <c r="C203" s="136" t="str">
        <f t="shared" si="27"/>
        <v>53-70-3</v>
      </c>
      <c r="D203" s="332">
        <f>CONVERT(INDEX('Screening Emission Calculations'!$G$4:$G$54,MATCH($C203,'Screening Emission Calculations'!$C$4:$C$54,0)),"lbm","g")/8760/3600</f>
        <v>1.0899268880074564E-10</v>
      </c>
      <c r="E203" s="86">
        <f>CONVERT(INDEX('Screening Emission Calculations'!$G$83:$G$133,MATCH($C203,'Screening Emission Calculations'!$C$83:$C$133,0)),"lbm","g")/24/3600</f>
        <v>9.41563018196436E-9</v>
      </c>
      <c r="F203" s="84">
        <f t="shared" si="28"/>
        <v>2.5347136930405962E-5</v>
      </c>
      <c r="G203" s="85">
        <f t="shared" si="28"/>
        <v>0</v>
      </c>
      <c r="H203" s="85">
        <f t="shared" si="28"/>
        <v>6.8120430500466025E-7</v>
      </c>
      <c r="I203" s="85">
        <f t="shared" si="28"/>
        <v>0</v>
      </c>
      <c r="J203" s="85">
        <f t="shared" si="28"/>
        <v>3.633089626691522E-7</v>
      </c>
      <c r="K203" s="85">
        <f t="shared" si="28"/>
        <v>0</v>
      </c>
      <c r="L203" s="86">
        <f t="shared" si="25"/>
        <v>0</v>
      </c>
    </row>
    <row r="204" spans="2:12" x14ac:dyDescent="0.2">
      <c r="B204" s="133" t="s">
        <v>191</v>
      </c>
      <c r="C204" s="134">
        <f t="shared" si="27"/>
        <v>200</v>
      </c>
      <c r="D204" s="332">
        <f>CONVERT(INDEX('Screening Emission Calculations'!$G$4:$G$54,MATCH($C204,'Screening Emission Calculations'!$C$4:$C$54,0)),"lbm","g")/8760/3600</f>
        <v>2.4573595234055525E-3</v>
      </c>
      <c r="E204" s="86">
        <f>CONVERT(INDEX('Screening Emission Calculations'!$G$83:$G$133,MATCH($C204,'Screening Emission Calculations'!$C$83:$C$133,0)),"lbm","g")/24/3600</f>
        <v>0.21228569320657575</v>
      </c>
      <c r="F204" s="84">
        <f t="shared" si="28"/>
        <v>2.4573595234055525E-2</v>
      </c>
      <c r="G204" s="85">
        <f t="shared" si="28"/>
        <v>4.9147190468111046E-4</v>
      </c>
      <c r="H204" s="85">
        <f t="shared" si="28"/>
        <v>9.451382782329048E-4</v>
      </c>
      <c r="I204" s="85">
        <f t="shared" si="28"/>
        <v>1.1169816015479784E-4</v>
      </c>
      <c r="J204" s="85">
        <f t="shared" si="28"/>
        <v>2.0477996028379604E-3</v>
      </c>
      <c r="K204" s="85">
        <f t="shared" si="28"/>
        <v>1.1169816015479784E-4</v>
      </c>
      <c r="L204" s="86">
        <f t="shared" si="25"/>
        <v>0</v>
      </c>
    </row>
    <row r="205" spans="2:12" x14ac:dyDescent="0.2">
      <c r="B205" s="133" t="s">
        <v>53</v>
      </c>
      <c r="C205" s="134" t="str">
        <f t="shared" si="27"/>
        <v>100-41-4</v>
      </c>
      <c r="D205" s="332">
        <f>CONVERT(INDEX('Screening Emission Calculations'!$G$4:$G$54,MATCH($C205,'Screening Emission Calculations'!$C$4:$C$54,0)),"lbm","g")/8760/3600</f>
        <v>1.1456466554799198E-6</v>
      </c>
      <c r="E205" s="86">
        <f>CONVERT(INDEX('Screening Emission Calculations'!$G$83:$G$133,MATCH($C205,'Screening Emission Calculations'!$C$83:$C$133,0)),"lbm","g")/24/3600</f>
        <v>9.8969805643784264E-5</v>
      </c>
      <c r="F205" s="84">
        <f t="shared" si="28"/>
        <v>2.8641166386997994E-6</v>
      </c>
      <c r="G205" s="85">
        <f t="shared" si="28"/>
        <v>4.406333290307384E-9</v>
      </c>
      <c r="H205" s="85">
        <f t="shared" si="28"/>
        <v>1.1456466554799198E-7</v>
      </c>
      <c r="I205" s="85">
        <f t="shared" si="28"/>
        <v>1.0414969595271998E-9</v>
      </c>
      <c r="J205" s="85">
        <f t="shared" si="28"/>
        <v>2.3867638655831662E-7</v>
      </c>
      <c r="K205" s="85">
        <f t="shared" si="28"/>
        <v>1.0414969595271998E-9</v>
      </c>
      <c r="L205" s="86">
        <f t="shared" si="25"/>
        <v>4.498627529262921E-9</v>
      </c>
    </row>
    <row r="206" spans="2:12" x14ac:dyDescent="0.2">
      <c r="B206" s="137" t="s">
        <v>141</v>
      </c>
      <c r="C206" s="138" t="str">
        <f t="shared" si="27"/>
        <v>206-44-0</v>
      </c>
      <c r="D206" s="332">
        <f>CONVERT(INDEX('Screening Emission Calculations'!$G$4:$G$54,MATCH($C206,'Screening Emission Calculations'!$C$4:$C$54,0)),"lbm","g")/8760/3600</f>
        <v>3.8884010436063158E-8</v>
      </c>
      <c r="E206" s="86">
        <f>CONVERT(INDEX('Screening Emission Calculations'!$G$83:$G$133,MATCH($C206,'Screening Emission Calculations'!$C$83:$C$133,0)),"lbm","g")/24/3600</f>
        <v>3.3591011129831744E-6</v>
      </c>
      <c r="F206" s="84">
        <f t="shared" si="28"/>
        <v>7.336605742653426E-5</v>
      </c>
      <c r="G206" s="85">
        <f t="shared" si="28"/>
        <v>0</v>
      </c>
      <c r="H206" s="85">
        <f t="shared" si="28"/>
        <v>1.944200521803158E-6</v>
      </c>
      <c r="I206" s="85">
        <f t="shared" si="28"/>
        <v>0</v>
      </c>
      <c r="J206" s="85">
        <f t="shared" si="28"/>
        <v>1.0232634325279778E-6</v>
      </c>
      <c r="K206" s="85">
        <f t="shared" si="28"/>
        <v>0</v>
      </c>
      <c r="L206" s="86">
        <f t="shared" si="25"/>
        <v>0</v>
      </c>
    </row>
    <row r="207" spans="2:12" x14ac:dyDescent="0.2">
      <c r="B207" s="137" t="s">
        <v>142</v>
      </c>
      <c r="C207" s="138" t="str">
        <f t="shared" si="27"/>
        <v>86-73-7</v>
      </c>
      <c r="D207" s="332">
        <f>CONVERT(INDEX('Screening Emission Calculations'!$G$4:$G$54,MATCH($C207,'Screening Emission Calculations'!$C$4:$C$54,0)),"lbm","g")/8760/3600</f>
        <v>2.295915078939669E-7</v>
      </c>
      <c r="E207" s="86">
        <f>CONVERT(INDEX('Screening Emission Calculations'!$G$83:$G$133,MATCH($C207,'Screening Emission Calculations'!$C$83:$C$133,0)),"lbm","g")/24/3600</f>
        <v>1.9833887529842776E-5</v>
      </c>
      <c r="F207" s="84">
        <f t="shared" si="28"/>
        <v>0</v>
      </c>
      <c r="G207" s="85">
        <f t="shared" si="28"/>
        <v>0</v>
      </c>
      <c r="H207" s="85">
        <f t="shared" si="28"/>
        <v>0</v>
      </c>
      <c r="I207" s="85">
        <f t="shared" si="28"/>
        <v>0</v>
      </c>
      <c r="J207" s="85">
        <f t="shared" si="28"/>
        <v>0</v>
      </c>
      <c r="K207" s="85">
        <f t="shared" si="28"/>
        <v>0</v>
      </c>
      <c r="L207" s="86">
        <f t="shared" si="25"/>
        <v>0</v>
      </c>
    </row>
    <row r="208" spans="2:12" x14ac:dyDescent="0.2">
      <c r="B208" s="133" t="s">
        <v>59</v>
      </c>
      <c r="C208" s="134" t="str">
        <f t="shared" si="27"/>
        <v>50-00-0</v>
      </c>
      <c r="D208" s="332">
        <f>CONVERT(INDEX('Screening Emission Calculations'!$G$4:$G$54,MATCH($C208,'Screening Emission Calculations'!$C$4:$C$54,0)),"lbm","g")/8760/3600</f>
        <v>2.8595195895333455E-4</v>
      </c>
      <c r="E208" s="86">
        <f>CONVERT(INDEX('Screening Emission Calculations'!$G$83:$G$133,MATCH($C208,'Screening Emission Calculations'!$C$83:$C$133,0)),"lbm","g")/24/3600</f>
        <v>2.4643735744089637E-2</v>
      </c>
      <c r="F208" s="84">
        <f t="shared" si="28"/>
        <v>1.6820703467843208E-3</v>
      </c>
      <c r="G208" s="85">
        <f t="shared" si="28"/>
        <v>3.1772439883703837E-5</v>
      </c>
      <c r="H208" s="85">
        <f t="shared" si="28"/>
        <v>6.6500455570542923E-5</v>
      </c>
      <c r="I208" s="85">
        <f t="shared" si="28"/>
        <v>7.148798973833364E-6</v>
      </c>
      <c r="J208" s="85">
        <f t="shared" si="28"/>
        <v>1.4297597947666727E-4</v>
      </c>
      <c r="K208" s="85">
        <f t="shared" si="28"/>
        <v>7.148798973833364E-6</v>
      </c>
      <c r="L208" s="86">
        <f t="shared" si="25"/>
        <v>5.029333825324416E-4</v>
      </c>
    </row>
    <row r="209" spans="2:12" x14ac:dyDescent="0.2">
      <c r="B209" s="133" t="s">
        <v>61</v>
      </c>
      <c r="C209" s="134" t="str">
        <f t="shared" si="27"/>
        <v>110-54-3</v>
      </c>
      <c r="D209" s="332">
        <f>CONVERT(INDEX('Screening Emission Calculations'!$G$4:$G$54,MATCH($C209,'Screening Emission Calculations'!$C$4:$C$54,0)),"lbm","g")/8760/3600</f>
        <v>2.8273298194871412E-6</v>
      </c>
      <c r="E209" s="86">
        <f>CONVERT(INDEX('Screening Emission Calculations'!$G$83:$G$133,MATCH($C209,'Screening Emission Calculations'!$C$83:$C$133,0)),"lbm","g")/24/3600</f>
        <v>2.4424658457044001E-4</v>
      </c>
      <c r="F209" s="84">
        <f t="shared" si="28"/>
        <v>0</v>
      </c>
      <c r="G209" s="85">
        <f t="shared" si="28"/>
        <v>4.0390425992673448E-9</v>
      </c>
      <c r="H209" s="85">
        <f t="shared" si="28"/>
        <v>0</v>
      </c>
      <c r="I209" s="85">
        <f t="shared" si="28"/>
        <v>9.1204187725391648E-10</v>
      </c>
      <c r="J209" s="85">
        <f t="shared" si="28"/>
        <v>0</v>
      </c>
      <c r="K209" s="85">
        <f t="shared" si="28"/>
        <v>9.1204187725391648E-10</v>
      </c>
      <c r="L209" s="86">
        <f t="shared" si="25"/>
        <v>0</v>
      </c>
    </row>
    <row r="210" spans="2:12" x14ac:dyDescent="0.2">
      <c r="B210" s="133" t="s">
        <v>143</v>
      </c>
      <c r="C210" s="134" t="str">
        <f t="shared" si="27"/>
        <v>18540-29-9</v>
      </c>
      <c r="D210" s="332">
        <f>CONVERT(INDEX('Screening Emission Calculations'!$G$4:$G$54,MATCH($C210,'Screening Emission Calculations'!$C$4:$C$54,0)),"lbm","g")/8760/3600</f>
        <v>6.5301517705180753E-9</v>
      </c>
      <c r="E210" s="86">
        <f>CONVERT(INDEX('Screening Emission Calculations'!$G$83:$G$133,MATCH($C210,'Screening Emission Calculations'!$C$83:$C$133,0)),"lbm","g")/24/3600</f>
        <v>5.7204129509738334E-7</v>
      </c>
      <c r="F210" s="84">
        <f t="shared" ref="F210:K219" si="29">IF(INDEX($B$6:$L$56,MATCH($C210,$C$6:$C$56,0),MATCH(F$5,$B$5:$L$5,0))="",0,$D210/INDEX($B$6:$L$56,MATCH($C210,$C$6:$C$56,0),MATCH(F$5,$B$5:$L$5,0)))</f>
        <v>2.106500571134863E-4</v>
      </c>
      <c r="G210" s="85">
        <f t="shared" si="29"/>
        <v>7.867652735563945E-8</v>
      </c>
      <c r="H210" s="85">
        <f t="shared" si="29"/>
        <v>1.2557984174073223E-5</v>
      </c>
      <c r="I210" s="85">
        <f t="shared" si="29"/>
        <v>7.420627011952358E-9</v>
      </c>
      <c r="J210" s="85">
        <f t="shared" si="29"/>
        <v>6.5301517705180749E-6</v>
      </c>
      <c r="K210" s="85">
        <f t="shared" si="29"/>
        <v>7.420627011952358E-9</v>
      </c>
      <c r="L210" s="86">
        <f t="shared" si="25"/>
        <v>1.9068043169912779E-6</v>
      </c>
    </row>
    <row r="211" spans="2:12" x14ac:dyDescent="0.2">
      <c r="B211" s="133" t="s">
        <v>64</v>
      </c>
      <c r="C211" s="134" t="str">
        <f t="shared" si="27"/>
        <v>7647-01-0</v>
      </c>
      <c r="D211" s="332">
        <f>CONVERT(INDEX('Screening Emission Calculations'!$G$4:$G$54,MATCH($C211,'Screening Emission Calculations'!$C$4:$C$54,0)),"lbm","g")/8760/3600</f>
        <v>1.9581098340909087E-5</v>
      </c>
      <c r="E211" s="86">
        <f>CONVERT(INDEX('Screening Emission Calculations'!$G$83:$G$133,MATCH($C211,'Screening Emission Calculations'!$C$83:$C$133,0)),"lbm","g")/24/3600</f>
        <v>1.691566494627248E-3</v>
      </c>
      <c r="F211" s="84">
        <f t="shared" si="29"/>
        <v>0</v>
      </c>
      <c r="G211" s="85">
        <f t="shared" si="29"/>
        <v>9.7905491704545424E-7</v>
      </c>
      <c r="H211" s="85">
        <f t="shared" si="29"/>
        <v>0</v>
      </c>
      <c r="I211" s="85">
        <f t="shared" si="29"/>
        <v>2.2251248114669417E-7</v>
      </c>
      <c r="J211" s="85">
        <f t="shared" si="29"/>
        <v>0</v>
      </c>
      <c r="K211" s="85">
        <f t="shared" si="29"/>
        <v>2.2251248114669417E-7</v>
      </c>
      <c r="L211" s="86">
        <f t="shared" si="25"/>
        <v>8.0550785458440378E-7</v>
      </c>
    </row>
    <row r="212" spans="2:12" x14ac:dyDescent="0.2">
      <c r="B212" s="137" t="s">
        <v>144</v>
      </c>
      <c r="C212" s="138" t="str">
        <f t="shared" si="27"/>
        <v>193-39-5</v>
      </c>
      <c r="D212" s="332">
        <f>CONVERT(INDEX('Screening Emission Calculations'!$G$4:$G$54,MATCH($C212,'Screening Emission Calculations'!$C$4:$C$54,0)),"lbm","g")/8760/3600</f>
        <v>1.1257789931178289E-9</v>
      </c>
      <c r="E212" s="86">
        <f>CONVERT(INDEX('Screening Emission Calculations'!$G$83:$G$133,MATCH($C212,'Screening Emission Calculations'!$C$83:$C$133,0)),"lbm","g")/24/3600</f>
        <v>9.7253483535944833E-8</v>
      </c>
      <c r="F212" s="84">
        <f t="shared" si="29"/>
        <v>1.8455393329800475E-6</v>
      </c>
      <c r="G212" s="85">
        <f t="shared" si="29"/>
        <v>0</v>
      </c>
      <c r="H212" s="85">
        <f t="shared" si="29"/>
        <v>5.1171772414446772E-8</v>
      </c>
      <c r="I212" s="85">
        <f t="shared" si="29"/>
        <v>0</v>
      </c>
      <c r="J212" s="85">
        <f t="shared" si="29"/>
        <v>2.6180906816693697E-8</v>
      </c>
      <c r="K212" s="85">
        <f t="shared" si="29"/>
        <v>0</v>
      </c>
      <c r="L212" s="86">
        <f t="shared" ref="L212:L230" si="30">IF(INDEX($B$6:$L$56,MATCH($C212,$C$6:$C$56,0),MATCH(L$4,$B$4:$L$4,0))="",0,$E212/INDEX($B$6:$L$56,MATCH($C212,$C$6:$C$56,0),MATCH(L$4,$B$4:$L$4,0)))</f>
        <v>0</v>
      </c>
    </row>
    <row r="213" spans="2:12" x14ac:dyDescent="0.2">
      <c r="B213" s="133" t="s">
        <v>68</v>
      </c>
      <c r="C213" s="134" t="str">
        <f t="shared" si="27"/>
        <v>7439-92-1</v>
      </c>
      <c r="D213" s="332">
        <f>CONVERT(INDEX('Screening Emission Calculations'!$G$4:$G$54,MATCH($C213,'Screening Emission Calculations'!$C$4:$C$54,0)),"lbm","g")/8760/3600</f>
        <v>3.7609480090664921E-8</v>
      </c>
      <c r="E213" s="86">
        <f>CONVERT(INDEX('Screening Emission Calculations'!$G$83:$G$133,MATCH($C213,'Screening Emission Calculations'!$C$83:$C$133,0)),"lbm","g")/24/3600</f>
        <v>3.2945904559422475E-6</v>
      </c>
      <c r="F213" s="84">
        <f t="shared" si="29"/>
        <v>0</v>
      </c>
      <c r="G213" s="85">
        <f t="shared" si="29"/>
        <v>2.5072986727109948E-7</v>
      </c>
      <c r="H213" s="85">
        <f t="shared" si="29"/>
        <v>0</v>
      </c>
      <c r="I213" s="85">
        <f t="shared" si="29"/>
        <v>5.6984060743431694E-8</v>
      </c>
      <c r="J213" s="85">
        <f t="shared" si="29"/>
        <v>0</v>
      </c>
      <c r="K213" s="85">
        <f t="shared" si="29"/>
        <v>5.6984060743431694E-8</v>
      </c>
      <c r="L213" s="86">
        <f t="shared" si="30"/>
        <v>2.1963936372948319E-5</v>
      </c>
    </row>
    <row r="214" spans="2:12" x14ac:dyDescent="0.2">
      <c r="B214" s="133" t="s">
        <v>70</v>
      </c>
      <c r="C214" s="134" t="str">
        <f t="shared" si="27"/>
        <v>7439-96-5</v>
      </c>
      <c r="D214" s="332">
        <f>CONVERT(INDEX('Screening Emission Calculations'!$G$4:$G$54,MATCH($C214,'Screening Emission Calculations'!$C$4:$C$54,0)),"lbm","g")/8760/3600</f>
        <v>4.3425715346984194E-8</v>
      </c>
      <c r="E214" s="86">
        <f>CONVERT(INDEX('Screening Emission Calculations'!$G$83:$G$133,MATCH($C214,'Screening Emission Calculations'!$C$83:$C$133,0)),"lbm","g")/24/3600</f>
        <v>3.8040926643958145E-6</v>
      </c>
      <c r="F214" s="84">
        <f t="shared" si="29"/>
        <v>0</v>
      </c>
      <c r="G214" s="85">
        <f t="shared" si="29"/>
        <v>4.8250794829982443E-7</v>
      </c>
      <c r="H214" s="85">
        <f t="shared" si="29"/>
        <v>0</v>
      </c>
      <c r="I214" s="85">
        <f t="shared" si="29"/>
        <v>1.0856428836746049E-7</v>
      </c>
      <c r="J214" s="85">
        <f t="shared" si="29"/>
        <v>0</v>
      </c>
      <c r="K214" s="85">
        <f t="shared" si="29"/>
        <v>1.0856428836746049E-7</v>
      </c>
      <c r="L214" s="86">
        <f t="shared" si="30"/>
        <v>1.2680308881319382E-5</v>
      </c>
    </row>
    <row r="215" spans="2:12" x14ac:dyDescent="0.2">
      <c r="B215" s="133" t="s">
        <v>72</v>
      </c>
      <c r="C215" s="134" t="str">
        <f t="shared" si="27"/>
        <v>7439-97-6</v>
      </c>
      <c r="D215" s="332">
        <f>CONVERT(INDEX('Screening Emission Calculations'!$G$4:$G$54,MATCH($C215,'Screening Emission Calculations'!$C$4:$C$54,0)),"lbm","g")/8760/3600</f>
        <v>1.5623413518402959E-9</v>
      </c>
      <c r="E215" s="86">
        <f>CONVERT(INDEX('Screening Emission Calculations'!$G$83:$G$133,MATCH($C215,'Screening Emission Calculations'!$C$83:$C$133,0)),"lbm","g")/24/3600</f>
        <v>1.3686110242120992E-7</v>
      </c>
      <c r="F215" s="84">
        <f t="shared" si="29"/>
        <v>0</v>
      </c>
      <c r="G215" s="85">
        <f t="shared" si="29"/>
        <v>2.029014742649735E-8</v>
      </c>
      <c r="H215" s="85">
        <f t="shared" si="29"/>
        <v>0</v>
      </c>
      <c r="I215" s="85">
        <f t="shared" si="29"/>
        <v>2.4799069076830093E-9</v>
      </c>
      <c r="J215" s="85">
        <f t="shared" si="29"/>
        <v>0</v>
      </c>
      <c r="K215" s="85">
        <f t="shared" si="29"/>
        <v>2.4799069076830093E-9</v>
      </c>
      <c r="L215" s="86">
        <f t="shared" si="30"/>
        <v>2.2810183736868322E-7</v>
      </c>
    </row>
    <row r="216" spans="2:12" x14ac:dyDescent="0.2">
      <c r="B216" s="133" t="s">
        <v>145</v>
      </c>
      <c r="C216" s="134" t="str">
        <f t="shared" si="27"/>
        <v>91-57-6</v>
      </c>
      <c r="D216" s="332">
        <f>CONVERT(INDEX('Screening Emission Calculations'!$G$4:$G$54,MATCH($C216,'Screening Emission Calculations'!$C$4:$C$54,0)),"lbm","g")/8760/3600</f>
        <v>1.2925739907275179E-6</v>
      </c>
      <c r="E216" s="86">
        <f>CONVERT(INDEX('Screening Emission Calculations'!$G$83:$G$133,MATCH($C216,'Screening Emission Calculations'!$C$83:$C$133,0)),"lbm","g")/24/3600</f>
        <v>1.1166252354564244E-4</v>
      </c>
      <c r="F216" s="84">
        <f t="shared" si="29"/>
        <v>0</v>
      </c>
      <c r="G216" s="85">
        <f t="shared" si="29"/>
        <v>0</v>
      </c>
      <c r="H216" s="85">
        <f t="shared" si="29"/>
        <v>0</v>
      </c>
      <c r="I216" s="85">
        <f t="shared" si="29"/>
        <v>0</v>
      </c>
      <c r="J216" s="85">
        <f t="shared" si="29"/>
        <v>0</v>
      </c>
      <c r="K216" s="85">
        <f t="shared" si="29"/>
        <v>0</v>
      </c>
      <c r="L216" s="86">
        <f t="shared" si="30"/>
        <v>0</v>
      </c>
    </row>
    <row r="217" spans="2:12" x14ac:dyDescent="0.2">
      <c r="B217" s="133" t="s">
        <v>146</v>
      </c>
      <c r="C217" s="134" t="str">
        <f t="shared" si="27"/>
        <v>91-20-3</v>
      </c>
      <c r="D217" s="332">
        <f>CONVERT(INDEX('Screening Emission Calculations'!$G$4:$G$54,MATCH($C217,'Screening Emission Calculations'!$C$4:$C$54,0)),"lbm","g")/8760/3600</f>
        <v>2.7697732792340753E-6</v>
      </c>
      <c r="E217" s="86">
        <f>CONVERT(INDEX('Screening Emission Calculations'!$G$83:$G$133,MATCH($C217,'Screening Emission Calculations'!$C$83:$C$133,0)),"lbm","g")/24/3600</f>
        <v>2.3927440612857282E-4</v>
      </c>
      <c r="F217" s="84">
        <f t="shared" si="29"/>
        <v>9.5509423421864665E-5</v>
      </c>
      <c r="G217" s="85">
        <f t="shared" si="29"/>
        <v>7.4858737276596623E-7</v>
      </c>
      <c r="H217" s="85">
        <f t="shared" si="29"/>
        <v>3.644438525307994E-6</v>
      </c>
      <c r="I217" s="85">
        <f t="shared" si="29"/>
        <v>1.7311082995212971E-7</v>
      </c>
      <c r="J217" s="85">
        <f t="shared" si="29"/>
        <v>7.9136379406687866E-6</v>
      </c>
      <c r="K217" s="85">
        <f t="shared" si="29"/>
        <v>1.7311082995212971E-7</v>
      </c>
      <c r="L217" s="86">
        <f t="shared" si="30"/>
        <v>1.196372030642864E-6</v>
      </c>
    </row>
    <row r="218" spans="2:12" x14ac:dyDescent="0.2">
      <c r="B218" s="133" t="s">
        <v>78</v>
      </c>
      <c r="C218" s="134">
        <f t="shared" si="27"/>
        <v>365</v>
      </c>
      <c r="D218" s="332">
        <f>CONVERT(INDEX('Screening Emission Calculations'!$G$4:$G$54,MATCH($C218,'Screening Emission Calculations'!$C$4:$C$54,0)),"lbm","g")/8760/3600</f>
        <v>1.884544206950976E-8</v>
      </c>
      <c r="E218" s="86">
        <f>CONVERT(INDEX('Screening Emission Calculations'!$G$83:$G$133,MATCH($C218,'Screening Emission Calculations'!$C$83:$C$133,0)),"lbm","g")/24/3600</f>
        <v>1.6508607252890552E-6</v>
      </c>
      <c r="F218" s="84">
        <f t="shared" si="29"/>
        <v>4.9593268603973056E-6</v>
      </c>
      <c r="G218" s="85">
        <f t="shared" si="29"/>
        <v>1.3461030049649829E-6</v>
      </c>
      <c r="H218" s="85">
        <f t="shared" si="29"/>
        <v>1.8845442069509759E-7</v>
      </c>
      <c r="I218" s="85">
        <f t="shared" si="29"/>
        <v>3.0395874305660903E-7</v>
      </c>
      <c r="J218" s="85">
        <f t="shared" si="29"/>
        <v>4.0968352325021218E-7</v>
      </c>
      <c r="K218" s="85">
        <f t="shared" si="29"/>
        <v>3.0395874305660903E-7</v>
      </c>
      <c r="L218" s="86">
        <f t="shared" si="30"/>
        <v>8.254303626445276E-6</v>
      </c>
    </row>
    <row r="219" spans="2:12" x14ac:dyDescent="0.2">
      <c r="B219" s="133" t="s">
        <v>147</v>
      </c>
      <c r="C219" s="134" t="str">
        <f t="shared" si="27"/>
        <v>198-55-0</v>
      </c>
      <c r="D219" s="332">
        <f>CONVERT(INDEX('Screening Emission Calculations'!$G$4:$G$54,MATCH($C219,'Screening Emission Calculations'!$C$4:$C$54,0)),"lbm","g")/8760/3600</f>
        <v>1.2383983699653381E-10</v>
      </c>
      <c r="E219" s="86">
        <f>CONVERT(INDEX('Screening Emission Calculations'!$G$83:$G$133,MATCH($C219,'Screening Emission Calculations'!$C$83:$C$133,0)),"lbm","g")/24/3600</f>
        <v>1.0698241503939603E-8</v>
      </c>
      <c r="F219" s="84">
        <f t="shared" si="29"/>
        <v>0</v>
      </c>
      <c r="G219" s="85">
        <f t="shared" si="29"/>
        <v>0</v>
      </c>
      <c r="H219" s="85">
        <f t="shared" si="29"/>
        <v>0</v>
      </c>
      <c r="I219" s="85">
        <f t="shared" si="29"/>
        <v>0</v>
      </c>
      <c r="J219" s="85">
        <f t="shared" si="29"/>
        <v>0</v>
      </c>
      <c r="K219" s="85">
        <f t="shared" si="29"/>
        <v>0</v>
      </c>
      <c r="L219" s="86">
        <f t="shared" si="30"/>
        <v>0</v>
      </c>
    </row>
    <row r="220" spans="2:12" x14ac:dyDescent="0.2">
      <c r="B220" s="133" t="s">
        <v>148</v>
      </c>
      <c r="C220" s="134" t="str">
        <f t="shared" si="27"/>
        <v>85-01-8</v>
      </c>
      <c r="D220" s="332">
        <f>CONVERT(INDEX('Screening Emission Calculations'!$G$4:$G$54,MATCH($C220,'Screening Emission Calculations'!$C$4:$C$54,0)),"lbm","g")/8760/3600</f>
        <v>4.7738218848617494E-7</v>
      </c>
      <c r="E220" s="86">
        <f>CONVERT(INDEX('Screening Emission Calculations'!$G$83:$G$133,MATCH($C220,'Screening Emission Calculations'!$C$83:$C$133,0)),"lbm","g")/24/3600</f>
        <v>4.1239960145032026E-5</v>
      </c>
      <c r="F220" s="84">
        <f t="shared" ref="F220:K230" si="31">IF(INDEX($B$6:$L$56,MATCH($C220,$C$6:$C$56,0),MATCH(F$5,$B$5:$L$5,0))="",0,$D220/INDEX($B$6:$L$56,MATCH($C220,$C$6:$C$56,0),MATCH(F$5,$B$5:$L$5,0)))</f>
        <v>0</v>
      </c>
      <c r="G220" s="85">
        <f t="shared" si="31"/>
        <v>0</v>
      </c>
      <c r="H220" s="85">
        <f t="shared" si="31"/>
        <v>0</v>
      </c>
      <c r="I220" s="85">
        <f t="shared" si="31"/>
        <v>0</v>
      </c>
      <c r="J220" s="85">
        <f t="shared" si="31"/>
        <v>0</v>
      </c>
      <c r="K220" s="85">
        <f t="shared" si="31"/>
        <v>0</v>
      </c>
      <c r="L220" s="86">
        <f t="shared" si="30"/>
        <v>0</v>
      </c>
    </row>
    <row r="221" spans="2:12" x14ac:dyDescent="0.2">
      <c r="B221" s="133" t="s">
        <v>83</v>
      </c>
      <c r="C221" s="134">
        <f t="shared" si="27"/>
        <v>504</v>
      </c>
      <c r="D221" s="332">
        <f>CONVERT(INDEX('Screening Emission Calculations'!$G$4:$G$54,MATCH($C221,'Screening Emission Calculations'!$C$4:$C$54,0)),"lbm","g")/8760/3600</f>
        <v>8.6910716514348856E-7</v>
      </c>
      <c r="E221" s="86">
        <f>CONVERT(INDEX('Screening Emission Calculations'!$G$83:$G$133,MATCH($C221,'Screening Emission Calculations'!$C$83:$C$133,0)),"lbm","g")/24/3600</f>
        <v>7.6133787666569593E-5</v>
      </c>
      <c r="F221" s="84">
        <f t="shared" si="31"/>
        <v>0</v>
      </c>
      <c r="G221" s="85">
        <f t="shared" si="31"/>
        <v>0</v>
      </c>
      <c r="H221" s="85">
        <f t="shared" si="31"/>
        <v>0</v>
      </c>
      <c r="I221" s="85">
        <f t="shared" si="31"/>
        <v>0</v>
      </c>
      <c r="J221" s="85">
        <f t="shared" si="31"/>
        <v>0</v>
      </c>
      <c r="K221" s="85">
        <f t="shared" si="31"/>
        <v>0</v>
      </c>
      <c r="L221" s="86">
        <f t="shared" si="30"/>
        <v>0</v>
      </c>
    </row>
    <row r="222" spans="2:12" x14ac:dyDescent="0.2">
      <c r="B222" s="133" t="s">
        <v>84</v>
      </c>
      <c r="C222" s="134" t="s">
        <v>85</v>
      </c>
      <c r="D222" s="332">
        <f>CONVERT(INDEX('Screening Emission Calculations'!$G$4:$G$54,MATCH($C222,'Screening Emission Calculations'!$C$4:$C$54,0)),"lbm","g")/8760/3600</f>
        <v>4.9399442942712124E-5</v>
      </c>
      <c r="E222" s="86">
        <f>CONVERT(INDEX('Screening Emission Calculations'!$G$83:$G$133,MATCH($C222,'Screening Emission Calculations'!$C$83:$C$133,0)),"lbm","g")/24/3600</f>
        <v>4.2675053809705134E-3</v>
      </c>
      <c r="F222" s="84">
        <f t="shared" si="31"/>
        <v>0</v>
      </c>
      <c r="G222" s="85">
        <f t="shared" si="31"/>
        <v>1.646648098090404E-8</v>
      </c>
      <c r="H222" s="85">
        <f t="shared" si="31"/>
        <v>0</v>
      </c>
      <c r="I222" s="85">
        <f t="shared" si="31"/>
        <v>3.7999571494393937E-9</v>
      </c>
      <c r="J222" s="85">
        <f t="shared" si="31"/>
        <v>0</v>
      </c>
      <c r="K222" s="85">
        <f t="shared" si="31"/>
        <v>3.7999571494393937E-9</v>
      </c>
      <c r="L222" s="86">
        <f t="shared" si="30"/>
        <v>0</v>
      </c>
    </row>
    <row r="223" spans="2:12" x14ac:dyDescent="0.2">
      <c r="B223" s="133" t="s">
        <v>149</v>
      </c>
      <c r="C223" s="134" t="s">
        <v>87</v>
      </c>
      <c r="D223" s="332">
        <f>CONVERT(INDEX('Screening Emission Calculations'!$G$4:$G$54,MATCH($C223,'Screening Emission Calculations'!$C$4:$C$54,0)),"lbm","g")/8760/3600</f>
        <v>1.3138149718806419E-7</v>
      </c>
      <c r="E223" s="86">
        <f>CONVERT(INDEX('Screening Emission Calculations'!$G$83:$G$133,MATCH($C223,'Screening Emission Calculations'!$C$83:$C$133,0)),"lbm","g")/24/3600</f>
        <v>1.134974835364498E-5</v>
      </c>
      <c r="F223" s="84">
        <f t="shared" si="31"/>
        <v>0</v>
      </c>
      <c r="G223" s="85">
        <f t="shared" si="31"/>
        <v>0</v>
      </c>
      <c r="H223" s="85">
        <f t="shared" si="31"/>
        <v>0</v>
      </c>
      <c r="I223" s="85">
        <f t="shared" si="31"/>
        <v>0</v>
      </c>
      <c r="J223" s="85">
        <f t="shared" si="31"/>
        <v>0</v>
      </c>
      <c r="K223" s="85">
        <f t="shared" si="31"/>
        <v>0</v>
      </c>
      <c r="L223" s="86">
        <f t="shared" si="30"/>
        <v>0</v>
      </c>
    </row>
    <row r="224" spans="2:12" x14ac:dyDescent="0.2">
      <c r="B224" s="133" t="s">
        <v>150</v>
      </c>
      <c r="C224" s="134">
        <f t="shared" ref="C224:C230" si="32">C50</f>
        <v>401</v>
      </c>
      <c r="D224" s="332">
        <f>CONVERT(INDEX('Screening Emission Calculations'!$G$4:$G$54,MATCH($C224,'Screening Emission Calculations'!$C$4:$C$54,0)),"lbm","g")/8760/3600</f>
        <v>0</v>
      </c>
      <c r="E224" s="86">
        <f>CONVERT(INDEX('Screening Emission Calculations'!$G$83:$G$133,MATCH($C224,'Screening Emission Calculations'!$C$83:$C$133,0)),"lbm","g")/24/3600</f>
        <v>0</v>
      </c>
      <c r="F224" s="84">
        <f t="shared" si="31"/>
        <v>0</v>
      </c>
      <c r="G224" s="85">
        <f t="shared" si="31"/>
        <v>0</v>
      </c>
      <c r="H224" s="85">
        <f t="shared" si="31"/>
        <v>0</v>
      </c>
      <c r="I224" s="85">
        <f t="shared" si="31"/>
        <v>0</v>
      </c>
      <c r="J224" s="85">
        <f t="shared" si="31"/>
        <v>0</v>
      </c>
      <c r="K224" s="85">
        <f t="shared" si="31"/>
        <v>0</v>
      </c>
      <c r="L224" s="86">
        <f t="shared" si="30"/>
        <v>0</v>
      </c>
    </row>
    <row r="225" spans="1:12" x14ac:dyDescent="0.2">
      <c r="B225" s="133" t="s">
        <v>89</v>
      </c>
      <c r="C225" s="134" t="str">
        <f t="shared" si="32"/>
        <v>7782-49-2</v>
      </c>
      <c r="D225" s="332">
        <f>CONVERT(INDEX('Screening Emission Calculations'!$G$4:$G$54,MATCH($C225,'Screening Emission Calculations'!$C$4:$C$54,0)),"lbm","g")/8760/3600</f>
        <v>3.8924017021060561E-8</v>
      </c>
      <c r="E225" s="86">
        <f>CONVERT(INDEX('Screening Emission Calculations'!$G$83:$G$133,MATCH($C225,'Screening Emission Calculations'!$C$83:$C$133,0)),"lbm","g")/24/3600</f>
        <v>3.4097438910449053E-6</v>
      </c>
      <c r="F225" s="84">
        <f t="shared" si="31"/>
        <v>0</v>
      </c>
      <c r="G225" s="85">
        <f t="shared" si="31"/>
        <v>0</v>
      </c>
      <c r="H225" s="85">
        <f t="shared" si="31"/>
        <v>0</v>
      </c>
      <c r="I225" s="85">
        <f t="shared" si="31"/>
        <v>0</v>
      </c>
      <c r="J225" s="85">
        <f t="shared" si="31"/>
        <v>0</v>
      </c>
      <c r="K225" s="85">
        <f t="shared" si="31"/>
        <v>0</v>
      </c>
      <c r="L225" s="86">
        <f t="shared" si="30"/>
        <v>1.7048719455224526E-6</v>
      </c>
    </row>
    <row r="226" spans="1:12" x14ac:dyDescent="0.2">
      <c r="B226" s="133" t="s">
        <v>91</v>
      </c>
      <c r="C226" s="134" t="str">
        <f t="shared" si="32"/>
        <v>7440-22-4</v>
      </c>
      <c r="D226" s="332">
        <f>CONVERT(INDEX('Screening Emission Calculations'!$G$4:$G$54,MATCH($C226,'Screening Emission Calculations'!$C$4:$C$54,0)),"lbm","g")/8760/3600</f>
        <v>4.965317173408018E-9</v>
      </c>
      <c r="E226" s="86">
        <f>CONVERT(INDEX('Screening Emission Calculations'!$G$83:$G$133,MATCH($C226,'Screening Emission Calculations'!$C$83:$C$133,0)),"lbm","g")/24/3600</f>
        <v>4.3496178439054237E-7</v>
      </c>
      <c r="F226" s="84">
        <f t="shared" si="31"/>
        <v>0</v>
      </c>
      <c r="G226" s="85">
        <f t="shared" si="31"/>
        <v>0</v>
      </c>
      <c r="H226" s="85">
        <f t="shared" si="31"/>
        <v>0</v>
      </c>
      <c r="I226" s="85">
        <f t="shared" si="31"/>
        <v>0</v>
      </c>
      <c r="J226" s="85">
        <f t="shared" si="31"/>
        <v>0</v>
      </c>
      <c r="K226" s="85">
        <f t="shared" si="31"/>
        <v>0</v>
      </c>
      <c r="L226" s="86">
        <f t="shared" si="30"/>
        <v>0</v>
      </c>
    </row>
    <row r="227" spans="1:12" x14ac:dyDescent="0.2">
      <c r="B227" s="133" t="s">
        <v>93</v>
      </c>
      <c r="C227" s="134" t="str">
        <f t="shared" si="32"/>
        <v>7440-28-0</v>
      </c>
      <c r="D227" s="332">
        <f>CONVERT(INDEX('Screening Emission Calculations'!$G$4:$G$54,MATCH($C227,'Screening Emission Calculations'!$C$4:$C$54,0)),"lbm","g")/8760/3600</f>
        <v>2.4829544636879671E-8</v>
      </c>
      <c r="E227" s="86">
        <f>CONVERT(INDEX('Screening Emission Calculations'!$G$83:$G$133,MATCH($C227,'Screening Emission Calculations'!$C$83:$C$133,0)),"lbm","g")/24/3600</f>
        <v>2.1750681101906589E-6</v>
      </c>
      <c r="F227" s="84">
        <f t="shared" si="31"/>
        <v>0</v>
      </c>
      <c r="G227" s="85">
        <f t="shared" si="31"/>
        <v>0</v>
      </c>
      <c r="H227" s="85">
        <f t="shared" si="31"/>
        <v>0</v>
      </c>
      <c r="I227" s="85">
        <f t="shared" si="31"/>
        <v>0</v>
      </c>
      <c r="J227" s="85">
        <f t="shared" si="31"/>
        <v>0</v>
      </c>
      <c r="K227" s="85">
        <f t="shared" si="31"/>
        <v>0</v>
      </c>
      <c r="L227" s="86">
        <f t="shared" si="30"/>
        <v>0</v>
      </c>
    </row>
    <row r="228" spans="1:12" x14ac:dyDescent="0.2">
      <c r="B228" s="133" t="s">
        <v>95</v>
      </c>
      <c r="C228" s="134" t="str">
        <f t="shared" si="32"/>
        <v>108-88-3</v>
      </c>
      <c r="D228" s="332">
        <f>CONVERT(INDEX('Screening Emission Calculations'!$G$4:$G$54,MATCH($C228,'Screening Emission Calculations'!$C$4:$C$54,0)),"lbm","g")/8760/3600</f>
        <v>1.1078087842897571E-5</v>
      </c>
      <c r="E228" s="86">
        <f>CONVERT(INDEX('Screening Emission Calculations'!$G$83:$G$133,MATCH($C228,'Screening Emission Calculations'!$C$83:$C$133,0)),"lbm","g")/24/3600</f>
        <v>9.5701078117934474E-4</v>
      </c>
      <c r="F228" s="84">
        <f t="shared" si="31"/>
        <v>0</v>
      </c>
      <c r="G228" s="85">
        <f t="shared" si="31"/>
        <v>2.2156175685795141E-9</v>
      </c>
      <c r="H228" s="85">
        <f t="shared" si="31"/>
        <v>0</v>
      </c>
      <c r="I228" s="85">
        <f t="shared" si="31"/>
        <v>5.0354944740443505E-10</v>
      </c>
      <c r="J228" s="85">
        <f t="shared" si="31"/>
        <v>0</v>
      </c>
      <c r="K228" s="85">
        <f t="shared" si="31"/>
        <v>5.0354944740443505E-10</v>
      </c>
      <c r="L228" s="86">
        <f t="shared" si="30"/>
        <v>1.276014374905793E-7</v>
      </c>
    </row>
    <row r="229" spans="1:12" x14ac:dyDescent="0.2">
      <c r="B229" s="133" t="s">
        <v>97</v>
      </c>
      <c r="C229" s="134" t="str">
        <f t="shared" si="32"/>
        <v>1330-20-7</v>
      </c>
      <c r="D229" s="332">
        <f>CONVERT(INDEX('Screening Emission Calculations'!$G$4:$G$54,MATCH($C229,'Screening Emission Calculations'!$C$4:$C$54,0)),"lbm","g")/8760/3600</f>
        <v>4.4564603846191378E-6</v>
      </c>
      <c r="E229" s="86">
        <f>CONVERT(INDEX('Screening Emission Calculations'!$G$83:$G$133,MATCH($C229,'Screening Emission Calculations'!$C$83:$C$133,0)),"lbm","g")/24/3600</f>
        <v>3.8498346415563779E-4</v>
      </c>
      <c r="F229" s="84">
        <f t="shared" si="31"/>
        <v>0</v>
      </c>
      <c r="G229" s="85">
        <f t="shared" si="31"/>
        <v>2.0256638111905173E-8</v>
      </c>
      <c r="H229" s="85">
        <f t="shared" si="31"/>
        <v>0</v>
      </c>
      <c r="I229" s="85">
        <f t="shared" si="31"/>
        <v>4.5942890563083895E-9</v>
      </c>
      <c r="J229" s="85">
        <f t="shared" si="31"/>
        <v>0</v>
      </c>
      <c r="K229" s="85">
        <f t="shared" si="31"/>
        <v>4.5942890563083895E-9</v>
      </c>
      <c r="L229" s="86">
        <f t="shared" si="30"/>
        <v>4.425097289145262E-8</v>
      </c>
    </row>
    <row r="230" spans="1:12" ht="15.75" thickBot="1" x14ac:dyDescent="0.25">
      <c r="B230" s="139" t="s">
        <v>99</v>
      </c>
      <c r="C230" s="140" t="str">
        <f t="shared" si="32"/>
        <v>7440-66-6</v>
      </c>
      <c r="D230" s="332">
        <f>CONVERT(INDEX('Screening Emission Calculations'!$G$4:$G$54,MATCH($C230,'Screening Emission Calculations'!$C$4:$C$54,0)),"lbm","g")/8760/3600</f>
        <v>5.4047066917949439E-7</v>
      </c>
      <c r="E230" s="333">
        <f>CONVERT(INDEX('Screening Emission Calculations'!$G$83:$G$133,MATCH($C230,'Screening Emission Calculations'!$C$83:$C$133,0)),"lbm","g")/24/3600</f>
        <v>4.7345230620123707E-5</v>
      </c>
      <c r="F230" s="84">
        <f t="shared" si="31"/>
        <v>0</v>
      </c>
      <c r="G230" s="85">
        <f t="shared" si="31"/>
        <v>0</v>
      </c>
      <c r="H230" s="85">
        <f t="shared" si="31"/>
        <v>0</v>
      </c>
      <c r="I230" s="85">
        <f t="shared" si="31"/>
        <v>0</v>
      </c>
      <c r="J230" s="85">
        <f t="shared" si="31"/>
        <v>0</v>
      </c>
      <c r="K230" s="85">
        <f t="shared" si="31"/>
        <v>0</v>
      </c>
      <c r="L230" s="86">
        <f t="shared" si="30"/>
        <v>0</v>
      </c>
    </row>
    <row r="231" spans="1:12" x14ac:dyDescent="0.2">
      <c r="B231" s="660" t="s">
        <v>1187</v>
      </c>
      <c r="C231" s="661"/>
      <c r="D231" s="661"/>
      <c r="E231" s="662"/>
      <c r="F231" s="150">
        <f t="shared" ref="F231:L231" si="33">SUM(F180:F230)</f>
        <v>2.9070516953723986E-2</v>
      </c>
      <c r="G231" s="151">
        <f t="shared" si="33"/>
        <v>7.2712471818417164E-4</v>
      </c>
      <c r="H231" s="151">
        <f t="shared" si="33"/>
        <v>1.0972601917284221E-3</v>
      </c>
      <c r="I231" s="151">
        <f t="shared" si="33"/>
        <v>1.3875363448809095E-4</v>
      </c>
      <c r="J231" s="151">
        <f t="shared" si="33"/>
        <v>2.3422788048902089E-3</v>
      </c>
      <c r="K231" s="151">
        <f t="shared" si="33"/>
        <v>1.3875363448809095E-4</v>
      </c>
      <c r="L231" s="152">
        <f t="shared" si="33"/>
        <v>7.8628192288857568E-4</v>
      </c>
    </row>
    <row r="232" spans="1:12" ht="13.5" x14ac:dyDescent="0.2">
      <c r="A232" s="147">
        <v>1</v>
      </c>
      <c r="B232" s="143" t="str">
        <f>$B$174</f>
        <v>If the toxic is listed in the Risk-Based Concentrations (Table 2) in OAR Chapter 340-245-8010, then it's considered a permitted toxic. Emission rate is normalized based on operational hours of 8,760 hrs/yr or 24 hrs/day.</v>
      </c>
      <c r="C232" s="143"/>
      <c r="D232" s="87"/>
      <c r="E232" s="143"/>
      <c r="F232" s="143"/>
      <c r="G232" s="143"/>
      <c r="H232" s="143"/>
      <c r="I232" s="143"/>
      <c r="J232" s="143"/>
      <c r="K232" s="143"/>
      <c r="L232" s="145"/>
    </row>
    <row r="233" spans="1:12" ht="13.5" x14ac:dyDescent="0.2">
      <c r="A233" s="147"/>
      <c r="B233" s="87"/>
      <c r="C233" s="87"/>
      <c r="D233" s="87"/>
      <c r="E233" s="87"/>
      <c r="F233" s="87"/>
      <c r="G233" s="87"/>
      <c r="H233" s="87"/>
      <c r="I233" s="87"/>
      <c r="J233" s="87"/>
      <c r="K233" s="87"/>
      <c r="L233" s="67"/>
    </row>
    <row r="234" spans="1:12" ht="15.75" thickBot="1" x14ac:dyDescent="0.25">
      <c r="B234" s="56" t="s">
        <v>204</v>
      </c>
    </row>
    <row r="235" spans="1:12" ht="33" customHeight="1" x14ac:dyDescent="0.2">
      <c r="B235" s="663" t="s">
        <v>1</v>
      </c>
      <c r="C235" s="681" t="s">
        <v>2</v>
      </c>
      <c r="D235" s="683" t="s">
        <v>205</v>
      </c>
      <c r="E235" s="681" t="s">
        <v>203</v>
      </c>
      <c r="F235" s="648" t="s">
        <v>1186</v>
      </c>
      <c r="G235" s="649"/>
      <c r="H235" s="649"/>
      <c r="I235" s="649"/>
      <c r="J235" s="649"/>
      <c r="K235" s="649"/>
      <c r="L235" s="650"/>
    </row>
    <row r="236" spans="1:12" x14ac:dyDescent="0.2">
      <c r="B236" s="664"/>
      <c r="C236" s="682"/>
      <c r="D236" s="684"/>
      <c r="E236" s="682"/>
      <c r="F236" s="686" t="s">
        <v>181</v>
      </c>
      <c r="G236" s="677"/>
      <c r="H236" s="687" t="s">
        <v>182</v>
      </c>
      <c r="I236" s="688"/>
      <c r="J236" s="688"/>
      <c r="K236" s="677"/>
      <c r="L236" s="653" t="s">
        <v>183</v>
      </c>
    </row>
    <row r="237" spans="1:12" ht="31.5" customHeight="1" thickBot="1" x14ac:dyDescent="0.25">
      <c r="B237" s="665"/>
      <c r="C237" s="654"/>
      <c r="D237" s="685"/>
      <c r="E237" s="654"/>
      <c r="F237" s="148" t="s">
        <v>184</v>
      </c>
      <c r="G237" s="149" t="s">
        <v>185</v>
      </c>
      <c r="H237" s="149" t="s">
        <v>186</v>
      </c>
      <c r="I237" s="149" t="s">
        <v>187</v>
      </c>
      <c r="J237" s="149" t="s">
        <v>188</v>
      </c>
      <c r="K237" s="149" t="s">
        <v>189</v>
      </c>
      <c r="L237" s="654"/>
    </row>
    <row r="238" spans="1:12" x14ac:dyDescent="0.2">
      <c r="B238" s="130" t="s">
        <v>4</v>
      </c>
      <c r="C238" s="131" t="str">
        <f t="shared" ref="C238:C256" si="34">C6</f>
        <v>106-99-0</v>
      </c>
      <c r="D238" s="332">
        <f>CONVERT(INDEX('Screening Emission Calculations'!$H$4:$H$54,MATCH($C238,'Screening Emission Calculations'!$C$4:$C$54,0)),"lbm","g")/8760/3600</f>
        <v>4.0805609274516533E-5</v>
      </c>
      <c r="E238" s="86">
        <f>CONVERT(INDEX('Screening Emission Calculations'!$H$83:$H$133,MATCH($C238,'Screening Emission Calculations'!$C$83:$C$133,0)),"lbm","g")/24/3600</f>
        <v>3.5251036606774146E-3</v>
      </c>
      <c r="F238" s="84">
        <f t="shared" ref="F238:K247" si="35">IF(INDEX($B$6:$L$56,MATCH($C238,$C$6:$C$56,0),MATCH(F$237,$B$5:$L$5,0))="",0,$D238/INDEX($B$6:$L$56,MATCH($C238,$C$6:$C$56,0),MATCH(F$237,$B$5:$L$5,0)))</f>
        <v>1.2365336143792889E-3</v>
      </c>
      <c r="G238" s="85">
        <f t="shared" si="35"/>
        <v>2.0402804637258267E-5</v>
      </c>
      <c r="H238" s="85">
        <f t="shared" si="35"/>
        <v>4.7448382877344809E-5</v>
      </c>
      <c r="I238" s="85">
        <f t="shared" si="35"/>
        <v>4.6370010539223326E-6</v>
      </c>
      <c r="J238" s="85">
        <f t="shared" si="35"/>
        <v>1.0201402318629132E-4</v>
      </c>
      <c r="K238" s="85">
        <f t="shared" si="35"/>
        <v>4.6370010539223326E-6</v>
      </c>
      <c r="L238" s="86">
        <f t="shared" ref="L238:L269" si="36">IF(INDEX($B$6:$L$56,MATCH($C238,$C$6:$C$56,0),MATCH(L$4,$B$4:$L$4,0))="",0,$E238/INDEX($B$6:$L$56,MATCH($C238,$C$6:$C$56,0),MATCH(L$4,$B$4:$L$4,0)))</f>
        <v>5.3410661525415374E-6</v>
      </c>
    </row>
    <row r="239" spans="1:12" ht="15.75" customHeight="1" x14ac:dyDescent="0.2">
      <c r="B239" s="132" t="s">
        <v>129</v>
      </c>
      <c r="C239" s="134" t="str">
        <f t="shared" si="34"/>
        <v>83-32-9</v>
      </c>
      <c r="D239" s="332">
        <f>CONVERT(INDEX('Screening Emission Calculations'!$H$4:$H$54,MATCH($C239,'Screening Emission Calculations'!$C$4:$C$54,0)),"lbm","g")/8760/3600</f>
        <v>1.3788585288968501E-7</v>
      </c>
      <c r="E239" s="86">
        <f>CONVERT(INDEX('Screening Emission Calculations'!$H$83:$H$133,MATCH($C239,'Screening Emission Calculations'!$C$83:$C$133,0)),"lbm","g")/24/3600</f>
        <v>1.1911644830668078E-5</v>
      </c>
      <c r="F239" s="84">
        <f t="shared" si="35"/>
        <v>0</v>
      </c>
      <c r="G239" s="85">
        <f t="shared" si="35"/>
        <v>0</v>
      </c>
      <c r="H239" s="85">
        <f t="shared" si="35"/>
        <v>0</v>
      </c>
      <c r="I239" s="85">
        <f t="shared" si="35"/>
        <v>0</v>
      </c>
      <c r="J239" s="85">
        <f t="shared" si="35"/>
        <v>0</v>
      </c>
      <c r="K239" s="85">
        <f t="shared" si="35"/>
        <v>0</v>
      </c>
      <c r="L239" s="86">
        <f t="shared" si="36"/>
        <v>0</v>
      </c>
    </row>
    <row r="240" spans="1:12" x14ac:dyDescent="0.2">
      <c r="B240" s="133" t="s">
        <v>130</v>
      </c>
      <c r="C240" s="134" t="str">
        <f t="shared" si="34"/>
        <v>208-96-8</v>
      </c>
      <c r="D240" s="332">
        <f>CONVERT(INDEX('Screening Emission Calculations'!$H$4:$H$54,MATCH($C240,'Screening Emission Calculations'!$C$4:$C$54,0)),"lbm","g")/8760/3600</f>
        <v>1.5200115226315398E-7</v>
      </c>
      <c r="E240" s="86">
        <f>CONVERT(INDEX('Screening Emission Calculations'!$H$83:$H$133,MATCH($C240,'Screening Emission Calculations'!$C$83:$C$133,0)),"lbm","g")/24/3600</f>
        <v>1.3131033399485431E-5</v>
      </c>
      <c r="F240" s="84">
        <f t="shared" si="35"/>
        <v>0</v>
      </c>
      <c r="G240" s="85">
        <f t="shared" si="35"/>
        <v>0</v>
      </c>
      <c r="H240" s="85">
        <f t="shared" si="35"/>
        <v>0</v>
      </c>
      <c r="I240" s="85">
        <f t="shared" si="35"/>
        <v>0</v>
      </c>
      <c r="J240" s="85">
        <f t="shared" si="35"/>
        <v>0</v>
      </c>
      <c r="K240" s="85">
        <f t="shared" si="35"/>
        <v>0</v>
      </c>
      <c r="L240" s="86">
        <f t="shared" si="36"/>
        <v>0</v>
      </c>
    </row>
    <row r="241" spans="2:12" x14ac:dyDescent="0.2">
      <c r="B241" s="133" t="s">
        <v>11</v>
      </c>
      <c r="C241" s="134" t="str">
        <f t="shared" si="34"/>
        <v>75-07-0</v>
      </c>
      <c r="D241" s="332">
        <f>CONVERT(INDEX('Screening Emission Calculations'!$H$4:$H$54,MATCH($C241,'Screening Emission Calculations'!$C$4:$C$54,0)),"lbm","g")/8760/3600</f>
        <v>1.4702407426278195E-4</v>
      </c>
      <c r="E241" s="86">
        <f>CONVERT(INDEX('Screening Emission Calculations'!$H$83:$H$133,MATCH($C241,'Screening Emission Calculations'!$C$83:$C$133,0)),"lbm","g")/24/3600</f>
        <v>1.2701074965081044E-2</v>
      </c>
      <c r="F241" s="84">
        <f t="shared" si="35"/>
        <v>3.2672016502840432E-4</v>
      </c>
      <c r="G241" s="85">
        <f t="shared" si="35"/>
        <v>1.0501719590198711E-6</v>
      </c>
      <c r="H241" s="85">
        <f t="shared" si="35"/>
        <v>1.2252006188565162E-5</v>
      </c>
      <c r="I241" s="85">
        <f t="shared" si="35"/>
        <v>2.3713560364964831E-7</v>
      </c>
      <c r="J241" s="85">
        <f t="shared" si="35"/>
        <v>2.6731649865960357E-5</v>
      </c>
      <c r="K241" s="85">
        <f t="shared" si="35"/>
        <v>2.3713560364964831E-7</v>
      </c>
      <c r="L241" s="86">
        <f t="shared" si="36"/>
        <v>2.7023563755491585E-5</v>
      </c>
    </row>
    <row r="242" spans="2:12" x14ac:dyDescent="0.2">
      <c r="B242" s="133" t="s">
        <v>13</v>
      </c>
      <c r="C242" s="134" t="str">
        <f t="shared" si="34"/>
        <v>107-02-8</v>
      </c>
      <c r="D242" s="332">
        <f>CONVERT(INDEX('Screening Emission Calculations'!$H$4:$H$54,MATCH($C242,'Screening Emission Calculations'!$C$4:$C$54,0)),"lbm","g")/8760/3600</f>
        <v>6.3629721913804528E-6</v>
      </c>
      <c r="E242" s="86">
        <f>CONVERT(INDEX('Screening Emission Calculations'!$H$83:$H$133,MATCH($C242,'Screening Emission Calculations'!$C$83:$C$133,0)),"lbm","g")/24/3600</f>
        <v>5.4968267753893448E-4</v>
      </c>
      <c r="F242" s="84">
        <f t="shared" si="35"/>
        <v>0</v>
      </c>
      <c r="G242" s="85">
        <f t="shared" si="35"/>
        <v>1.8179920546801296E-5</v>
      </c>
      <c r="H242" s="85">
        <f t="shared" si="35"/>
        <v>0</v>
      </c>
      <c r="I242" s="85">
        <f t="shared" si="35"/>
        <v>4.2419814609203016E-6</v>
      </c>
      <c r="J242" s="85">
        <f t="shared" si="35"/>
        <v>0</v>
      </c>
      <c r="K242" s="85">
        <f t="shared" si="35"/>
        <v>4.2419814609203016E-6</v>
      </c>
      <c r="L242" s="86">
        <f t="shared" si="36"/>
        <v>7.9664156165062966E-5</v>
      </c>
    </row>
    <row r="243" spans="2:12" x14ac:dyDescent="0.2">
      <c r="B243" s="133" t="s">
        <v>15</v>
      </c>
      <c r="C243" s="134" t="str">
        <f t="shared" si="34"/>
        <v>7664-41-7</v>
      </c>
      <c r="D243" s="332">
        <f>CONVERT(INDEX('Screening Emission Calculations'!$H$4:$H$54,MATCH($C243,'Screening Emission Calculations'!$C$4:$C$54,0)),"lbm","g")/8760/3600</f>
        <v>1.4774545993911722E-4</v>
      </c>
      <c r="E243" s="86">
        <f>CONVERT(INDEX('Screening Emission Calculations'!$H$83:$H$133,MATCH($C243,'Screening Emission Calculations'!$C$83:$C$133,0)),"lbm","g")/24/3600</f>
        <v>1.2942502290666671E-2</v>
      </c>
      <c r="F243" s="84">
        <f t="shared" si="35"/>
        <v>0</v>
      </c>
      <c r="G243" s="85">
        <f t="shared" si="35"/>
        <v>2.9549091987823442E-7</v>
      </c>
      <c r="H243" s="85">
        <f t="shared" si="35"/>
        <v>0</v>
      </c>
      <c r="I243" s="85">
        <f t="shared" si="35"/>
        <v>6.7157027245053278E-8</v>
      </c>
      <c r="J243" s="85">
        <f t="shared" si="35"/>
        <v>0</v>
      </c>
      <c r="K243" s="85">
        <f t="shared" si="35"/>
        <v>6.7157027245053278E-8</v>
      </c>
      <c r="L243" s="86">
        <f t="shared" si="36"/>
        <v>1.078541857555556E-5</v>
      </c>
    </row>
    <row r="244" spans="2:12" x14ac:dyDescent="0.2">
      <c r="B244" s="133" t="s">
        <v>132</v>
      </c>
      <c r="C244" s="134" t="str">
        <f t="shared" si="34"/>
        <v>120-12-7</v>
      </c>
      <c r="D244" s="332">
        <f>CONVERT(INDEX('Screening Emission Calculations'!$H$4:$H$54,MATCH($C244,'Screening Emission Calculations'!$C$4:$C$54,0)),"lbm","g")/8760/3600</f>
        <v>8.4856523823842224E-8</v>
      </c>
      <c r="E244" s="86">
        <f>CONVERT(INDEX('Screening Emission Calculations'!$H$83:$H$133,MATCH($C244,'Screening Emission Calculations'!$C$83:$C$133,0)),"lbm","g")/24/3600</f>
        <v>7.330561853676195E-6</v>
      </c>
      <c r="F244" s="84">
        <f t="shared" si="35"/>
        <v>0</v>
      </c>
      <c r="G244" s="85">
        <f t="shared" si="35"/>
        <v>0</v>
      </c>
      <c r="H244" s="85">
        <f t="shared" si="35"/>
        <v>0</v>
      </c>
      <c r="I244" s="85">
        <f t="shared" si="35"/>
        <v>0</v>
      </c>
      <c r="J244" s="85">
        <f t="shared" si="35"/>
        <v>0</v>
      </c>
      <c r="K244" s="85">
        <f t="shared" si="35"/>
        <v>0</v>
      </c>
      <c r="L244" s="86">
        <f t="shared" si="36"/>
        <v>0</v>
      </c>
    </row>
    <row r="245" spans="2:12" x14ac:dyDescent="0.2">
      <c r="B245" s="133" t="s">
        <v>19</v>
      </c>
      <c r="C245" s="134" t="str">
        <f t="shared" si="34"/>
        <v>7440-36-0</v>
      </c>
      <c r="D245" s="332">
        <f>CONVERT(INDEX('Screening Emission Calculations'!$H$4:$H$54,MATCH($C245,'Screening Emission Calculations'!$C$4:$C$54,0)),"lbm","g")/8760/3600</f>
        <v>5.8763406254165198E-8</v>
      </c>
      <c r="E245" s="86">
        <f>CONVERT(INDEX('Screening Emission Calculations'!$H$83:$H$133,MATCH($C245,'Screening Emission Calculations'!$C$83:$C$133,0)),"lbm","g")/24/3600</f>
        <v>5.1476743878648725E-6</v>
      </c>
      <c r="F245" s="84">
        <f t="shared" si="35"/>
        <v>0</v>
      </c>
      <c r="G245" s="85">
        <f t="shared" si="35"/>
        <v>1.9587802084721733E-7</v>
      </c>
      <c r="H245" s="85">
        <f t="shared" si="35"/>
        <v>0</v>
      </c>
      <c r="I245" s="85">
        <f t="shared" si="35"/>
        <v>4.5202620195511691E-8</v>
      </c>
      <c r="J245" s="85">
        <f t="shared" si="35"/>
        <v>0</v>
      </c>
      <c r="K245" s="85">
        <f t="shared" si="35"/>
        <v>4.5202620195511691E-8</v>
      </c>
      <c r="L245" s="86">
        <f t="shared" si="36"/>
        <v>5.1476743878648725E-6</v>
      </c>
    </row>
    <row r="246" spans="2:12" x14ac:dyDescent="0.2">
      <c r="B246" s="133" t="s">
        <v>21</v>
      </c>
      <c r="C246" s="134" t="str">
        <f t="shared" si="34"/>
        <v>7440-38-2</v>
      </c>
      <c r="D246" s="332">
        <f>CONVERT(INDEX('Screening Emission Calculations'!$H$4:$H$54,MATCH($C246,'Screening Emission Calculations'!$C$4:$C$54,0)),"lbm","g")/8760/3600</f>
        <v>5.112965787878425E-8</v>
      </c>
      <c r="E246" s="86">
        <f>CONVERT(INDEX('Screening Emission Calculations'!$H$83:$H$133,MATCH($C246,'Screening Emission Calculations'!$C$83:$C$133,0)),"lbm","g")/24/3600</f>
        <v>4.4789580301815016E-6</v>
      </c>
      <c r="F246" s="84">
        <f t="shared" si="35"/>
        <v>2.1304024116160104E-3</v>
      </c>
      <c r="G246" s="85">
        <f t="shared" si="35"/>
        <v>3.0076269340461323E-4</v>
      </c>
      <c r="H246" s="85">
        <f t="shared" si="35"/>
        <v>3.9330506060603271E-5</v>
      </c>
      <c r="I246" s="85">
        <f t="shared" si="35"/>
        <v>2.1304024116160106E-5</v>
      </c>
      <c r="J246" s="85">
        <f t="shared" si="35"/>
        <v>8.2467190127071376E-5</v>
      </c>
      <c r="K246" s="85">
        <f t="shared" si="35"/>
        <v>2.1304024116160106E-5</v>
      </c>
      <c r="L246" s="86">
        <f t="shared" si="36"/>
        <v>2.2394790150907506E-5</v>
      </c>
    </row>
    <row r="247" spans="2:12" x14ac:dyDescent="0.2">
      <c r="B247" s="133" t="s">
        <v>23</v>
      </c>
      <c r="C247" s="134" t="str">
        <f t="shared" si="34"/>
        <v>7440-39-3</v>
      </c>
      <c r="D247" s="332">
        <f>CONVERT(INDEX('Screening Emission Calculations'!$H$4:$H$54,MATCH($C247,'Screening Emission Calculations'!$C$4:$C$54,0)),"lbm","g")/8760/3600</f>
        <v>6.9051306092355442E-8</v>
      </c>
      <c r="E247" s="86">
        <f>CONVERT(INDEX('Screening Emission Calculations'!$H$83:$H$133,MATCH($C247,'Screening Emission Calculations'!$C$83:$C$133,0)),"lbm","g")/24/3600</f>
        <v>6.0488944136903367E-6</v>
      </c>
      <c r="F247" s="84">
        <f t="shared" si="35"/>
        <v>0</v>
      </c>
      <c r="G247" s="85">
        <f t="shared" si="35"/>
        <v>0</v>
      </c>
      <c r="H247" s="85">
        <f t="shared" si="35"/>
        <v>0</v>
      </c>
      <c r="I247" s="85">
        <f t="shared" si="35"/>
        <v>0</v>
      </c>
      <c r="J247" s="85">
        <f t="shared" si="35"/>
        <v>0</v>
      </c>
      <c r="K247" s="85">
        <f t="shared" si="35"/>
        <v>0</v>
      </c>
      <c r="L247" s="86">
        <f t="shared" si="36"/>
        <v>0</v>
      </c>
    </row>
    <row r="248" spans="2:12" x14ac:dyDescent="0.2">
      <c r="B248" s="133" t="s">
        <v>133</v>
      </c>
      <c r="C248" s="134" t="str">
        <f t="shared" si="34"/>
        <v>56-55-3</v>
      </c>
      <c r="D248" s="332">
        <f>CONVERT(INDEX('Screening Emission Calculations'!$H$4:$H$54,MATCH($C248,'Screening Emission Calculations'!$C$4:$C$54,0)),"lbm","g")/8760/3600</f>
        <v>9.111123682777879E-9</v>
      </c>
      <c r="E248" s="86">
        <f>CONVERT(INDEX('Screening Emission Calculations'!$H$83:$H$133,MATCH($C248,'Screening Emission Calculations'!$C$83:$C$133,0)),"lbm","g")/24/3600</f>
        <v>7.8708922665450187E-7</v>
      </c>
      <c r="F248" s="84">
        <f t="shared" ref="F248:K257" si="37">IF(INDEX($B$6:$L$56,MATCH($C248,$C$6:$C$56,0),MATCH(F$237,$B$5:$L$5,0))="",0,$D248/INDEX($B$6:$L$56,MATCH($C248,$C$6:$C$56,0),MATCH(F$237,$B$5:$L$5,0)))</f>
        <v>4.338630325132323E-5</v>
      </c>
      <c r="G248" s="85">
        <f t="shared" si="37"/>
        <v>0</v>
      </c>
      <c r="H248" s="85">
        <f t="shared" si="37"/>
        <v>1.1680927798433179E-6</v>
      </c>
      <c r="I248" s="85">
        <f t="shared" si="37"/>
        <v>0</v>
      </c>
      <c r="J248" s="85">
        <f t="shared" si="37"/>
        <v>6.0740824551852524E-7</v>
      </c>
      <c r="K248" s="85">
        <f t="shared" si="37"/>
        <v>0</v>
      </c>
      <c r="L248" s="86">
        <f t="shared" si="36"/>
        <v>0</v>
      </c>
    </row>
    <row r="249" spans="2:12" x14ac:dyDescent="0.2">
      <c r="B249" s="133" t="s">
        <v>27</v>
      </c>
      <c r="C249" s="134" t="str">
        <f t="shared" si="34"/>
        <v>71-43-2</v>
      </c>
      <c r="D249" s="332">
        <f>CONVERT(INDEX('Screening Emission Calculations'!$H$4:$H$54,MATCH($C249,'Screening Emission Calculations'!$C$4:$C$54,0)),"lbm","g")/8760/3600</f>
        <v>3.4968192308382842E-5</v>
      </c>
      <c r="E249" s="86">
        <f>CONVERT(INDEX('Screening Emission Calculations'!$H$83:$H$133,MATCH($C249,'Screening Emission Calculations'!$C$83:$C$133,0)),"lbm","g")/24/3600</f>
        <v>3.0208225022272414E-3</v>
      </c>
      <c r="F249" s="84">
        <f t="shared" si="37"/>
        <v>2.6898609467986803E-4</v>
      </c>
      <c r="G249" s="85">
        <f t="shared" si="37"/>
        <v>1.165606410279428E-5</v>
      </c>
      <c r="H249" s="85">
        <f t="shared" si="37"/>
        <v>1.0596421911631164E-5</v>
      </c>
      <c r="I249" s="85">
        <f t="shared" si="37"/>
        <v>2.6898609467986804E-6</v>
      </c>
      <c r="J249" s="85">
        <f t="shared" si="37"/>
        <v>2.3312128205588561E-5</v>
      </c>
      <c r="K249" s="85">
        <f t="shared" si="37"/>
        <v>2.6898609467986804E-6</v>
      </c>
      <c r="L249" s="86">
        <f t="shared" si="36"/>
        <v>1.0416629318024971E-4</v>
      </c>
    </row>
    <row r="250" spans="2:12" x14ac:dyDescent="0.2">
      <c r="B250" s="133" t="s">
        <v>190</v>
      </c>
      <c r="C250" s="134" t="str">
        <f t="shared" si="34"/>
        <v>50-32-8</v>
      </c>
      <c r="D250" s="332">
        <f>CONVERT(INDEX('Screening Emission Calculations'!$H$4:$H$54,MATCH($C250,'Screening Emission Calculations'!$C$4:$C$54,0)),"lbm","g")/8760/3600</f>
        <v>2.700084520781997E-9</v>
      </c>
      <c r="E250" s="86">
        <f>CONVERT(INDEX('Screening Emission Calculations'!$H$83:$H$133,MATCH($C250,'Screening Emission Calculations'!$C$83:$C$133,0)),"lbm","g")/24/3600</f>
        <v>2.3325415298457913E-7</v>
      </c>
      <c r="F250" s="84">
        <f t="shared" si="37"/>
        <v>6.2792663273999924E-5</v>
      </c>
      <c r="G250" s="85">
        <f t="shared" si="37"/>
        <v>1.3500422603909984E-6</v>
      </c>
      <c r="H250" s="85">
        <f t="shared" si="37"/>
        <v>1.687552825488748E-6</v>
      </c>
      <c r="I250" s="85">
        <f t="shared" si="37"/>
        <v>3.0682778645249963E-7</v>
      </c>
      <c r="J250" s="85">
        <f t="shared" si="37"/>
        <v>9.0002817359399899E-7</v>
      </c>
      <c r="K250" s="85">
        <f t="shared" si="37"/>
        <v>3.0682778645249963E-7</v>
      </c>
      <c r="L250" s="86">
        <f t="shared" si="36"/>
        <v>1.1662707649228956E-4</v>
      </c>
    </row>
    <row r="251" spans="2:12" x14ac:dyDescent="0.2">
      <c r="B251" s="133" t="s">
        <v>135</v>
      </c>
      <c r="C251" s="134" t="str">
        <f t="shared" si="34"/>
        <v>205-99-2</v>
      </c>
      <c r="D251" s="332">
        <f>CONVERT(INDEX('Screening Emission Calculations'!$H$4:$H$54,MATCH($C251,'Screening Emission Calculations'!$C$4:$C$54,0)),"lbm","g")/8760/3600</f>
        <v>8.3250909813341113E-9</v>
      </c>
      <c r="E251" s="86">
        <f>CONVERT(INDEX('Screening Emission Calculations'!$H$83:$H$133,MATCH($C251,'Screening Emission Calculations'!$C$83:$C$133,0)),"lbm","g")/24/3600</f>
        <v>7.1918565156925005E-7</v>
      </c>
      <c r="F251" s="84">
        <f t="shared" si="37"/>
        <v>1.5707718832705871E-4</v>
      </c>
      <c r="G251" s="85">
        <f t="shared" si="37"/>
        <v>0</v>
      </c>
      <c r="H251" s="85">
        <f t="shared" si="37"/>
        <v>4.1625454906670554E-6</v>
      </c>
      <c r="I251" s="85">
        <f t="shared" si="37"/>
        <v>0</v>
      </c>
      <c r="J251" s="85">
        <f t="shared" si="37"/>
        <v>2.1908134161405556E-6</v>
      </c>
      <c r="K251" s="85">
        <f t="shared" si="37"/>
        <v>0</v>
      </c>
      <c r="L251" s="86">
        <f t="shared" si="36"/>
        <v>0</v>
      </c>
    </row>
    <row r="252" spans="2:12" x14ac:dyDescent="0.2">
      <c r="B252" s="133" t="s">
        <v>136</v>
      </c>
      <c r="C252" s="134" t="str">
        <f t="shared" si="34"/>
        <v>192-97-2</v>
      </c>
      <c r="D252" s="332">
        <f>CONVERT(INDEX('Screening Emission Calculations'!$H$4:$H$54,MATCH($C252,'Screening Emission Calculations'!$C$4:$C$54,0)),"lbm","g")/8760/3600</f>
        <v>6.1693228128682974E-9</v>
      </c>
      <c r="E252" s="86">
        <f>CONVERT(INDEX('Screening Emission Calculations'!$H$83:$H$133,MATCH($C252,'Screening Emission Calculations'!$C$83:$C$133,0)),"lbm","g")/24/3600</f>
        <v>5.3295374871719493E-7</v>
      </c>
      <c r="F252" s="84">
        <f t="shared" si="37"/>
        <v>0</v>
      </c>
      <c r="G252" s="85">
        <f t="shared" si="37"/>
        <v>0</v>
      </c>
      <c r="H252" s="85">
        <f t="shared" si="37"/>
        <v>0</v>
      </c>
      <c r="I252" s="85">
        <f t="shared" si="37"/>
        <v>0</v>
      </c>
      <c r="J252" s="85">
        <f t="shared" si="37"/>
        <v>0</v>
      </c>
      <c r="K252" s="85">
        <f t="shared" si="37"/>
        <v>0</v>
      </c>
      <c r="L252" s="86">
        <f t="shared" si="36"/>
        <v>0</v>
      </c>
    </row>
    <row r="253" spans="2:12" x14ac:dyDescent="0.2">
      <c r="B253" s="133" t="s">
        <v>137</v>
      </c>
      <c r="C253" s="134" t="str">
        <f t="shared" si="34"/>
        <v>191-24-2</v>
      </c>
      <c r="D253" s="332">
        <f>CONVERT(INDEX('Screening Emission Calculations'!$H$4:$H$54,MATCH($C253,'Screening Emission Calculations'!$C$4:$C$54,0)),"lbm","g")/8760/3600</f>
        <v>4.1057685656089531E-9</v>
      </c>
      <c r="E253" s="86">
        <f>CONVERT(INDEX('Screening Emission Calculations'!$H$83:$H$133,MATCH($C253,'Screening Emission Calculations'!$C$83:$C$133,0)),"lbm","g")/24/3600</f>
        <v>3.5468799652407246E-7</v>
      </c>
      <c r="F253" s="84">
        <f t="shared" si="37"/>
        <v>8.7356777991679849E-7</v>
      </c>
      <c r="G253" s="85">
        <f t="shared" si="37"/>
        <v>0</v>
      </c>
      <c r="H253" s="85">
        <f t="shared" si="37"/>
        <v>2.4151579797699722E-8</v>
      </c>
      <c r="I253" s="85">
        <f t="shared" si="37"/>
        <v>0</v>
      </c>
      <c r="J253" s="85">
        <f t="shared" si="37"/>
        <v>1.2075789898849861E-8</v>
      </c>
      <c r="K253" s="85">
        <f t="shared" si="37"/>
        <v>0</v>
      </c>
      <c r="L253" s="86">
        <f t="shared" si="36"/>
        <v>0</v>
      </c>
    </row>
    <row r="254" spans="2:12" x14ac:dyDescent="0.2">
      <c r="B254" s="133" t="s">
        <v>138</v>
      </c>
      <c r="C254" s="134" t="str">
        <f t="shared" si="34"/>
        <v>207-08-9</v>
      </c>
      <c r="D254" s="332">
        <f>CONVERT(INDEX('Screening Emission Calculations'!$H$4:$H$54,MATCH($C254,'Screening Emission Calculations'!$C$4:$C$54,0)),"lbm","g")/8760/3600</f>
        <v>2.4502809170622845E-9</v>
      </c>
      <c r="E254" s="86">
        <f>CONVERT(INDEX('Screening Emission Calculations'!$H$83:$H$133,MATCH($C254,'Screening Emission Calculations'!$C$83:$C$133,0)),"lbm","g")/24/3600</f>
        <v>2.116741885243327E-7</v>
      </c>
      <c r="F254" s="84">
        <f t="shared" si="37"/>
        <v>1.7502006550444889E-6</v>
      </c>
      <c r="G254" s="85">
        <f t="shared" si="37"/>
        <v>0</v>
      </c>
      <c r="H254" s="85">
        <f t="shared" si="37"/>
        <v>4.7120786866582395E-8</v>
      </c>
      <c r="I254" s="85">
        <f t="shared" si="37"/>
        <v>0</v>
      </c>
      <c r="J254" s="85">
        <f t="shared" si="37"/>
        <v>2.4502809170622843E-8</v>
      </c>
      <c r="K254" s="85">
        <f t="shared" si="37"/>
        <v>0</v>
      </c>
      <c r="L254" s="86">
        <f t="shared" si="36"/>
        <v>0</v>
      </c>
    </row>
    <row r="255" spans="2:12" x14ac:dyDescent="0.2">
      <c r="B255" s="133" t="s">
        <v>39</v>
      </c>
      <c r="C255" s="134" t="str">
        <f t="shared" si="34"/>
        <v>7440-41-7</v>
      </c>
      <c r="D255" s="332">
        <f>CONVERT(INDEX('Screening Emission Calculations'!$H$4:$H$54,MATCH($C255,'Screening Emission Calculations'!$C$4:$C$54,0)),"lbm","g")/8760/3600</f>
        <v>8.8108859680245163E-10</v>
      </c>
      <c r="E255" s="86">
        <f>CONVERT(INDEX('Screening Emission Calculations'!$H$83:$H$133,MATCH($C255,'Screening Emission Calculations'!$C$83:$C$133,0)),"lbm","g")/24/3600</f>
        <v>7.7183361079894778E-8</v>
      </c>
      <c r="F255" s="84">
        <f t="shared" si="37"/>
        <v>2.0978299923867896E-6</v>
      </c>
      <c r="G255" s="85">
        <f t="shared" si="37"/>
        <v>1.2586979954320738E-7</v>
      </c>
      <c r="H255" s="85">
        <f t="shared" si="37"/>
        <v>8.0098963345677421E-8</v>
      </c>
      <c r="I255" s="85">
        <f t="shared" si="37"/>
        <v>2.8422212800079085E-8</v>
      </c>
      <c r="J255" s="85">
        <f t="shared" si="37"/>
        <v>1.7621771936049032E-7</v>
      </c>
      <c r="K255" s="85">
        <f t="shared" si="37"/>
        <v>2.8422212800079085E-8</v>
      </c>
      <c r="L255" s="86">
        <f t="shared" si="36"/>
        <v>3.8591680539947389E-6</v>
      </c>
    </row>
    <row r="256" spans="2:12" x14ac:dyDescent="0.2">
      <c r="B256" s="133" t="s">
        <v>41</v>
      </c>
      <c r="C256" s="134" t="str">
        <f t="shared" si="34"/>
        <v>7440-43-9</v>
      </c>
      <c r="D256" s="332">
        <f>CONVERT(INDEX('Screening Emission Calculations'!$H$4:$H$54,MATCH($C256,'Screening Emission Calculations'!$C$4:$C$54,0)),"lbm","g")/8760/3600</f>
        <v>1.4918283079178813E-8</v>
      </c>
      <c r="E256" s="86">
        <f>CONVERT(INDEX('Screening Emission Calculations'!$H$83:$H$133,MATCH($C256,'Screening Emission Calculations'!$C$83:$C$133,0)),"lbm","g")/24/3600</f>
        <v>1.3068415977360644E-6</v>
      </c>
      <c r="F256" s="84">
        <f t="shared" si="37"/>
        <v>2.6639791212819312E-5</v>
      </c>
      <c r="G256" s="85">
        <f t="shared" si="37"/>
        <v>2.9836566158357625E-6</v>
      </c>
      <c r="H256" s="85">
        <f t="shared" si="37"/>
        <v>1.0655916485127724E-6</v>
      </c>
      <c r="I256" s="85">
        <f t="shared" si="37"/>
        <v>4.0319683997780576E-7</v>
      </c>
      <c r="J256" s="85">
        <f t="shared" si="37"/>
        <v>2.2266094148028077E-6</v>
      </c>
      <c r="K256" s="85">
        <f t="shared" si="37"/>
        <v>4.0319683997780576E-7</v>
      </c>
      <c r="L256" s="86">
        <f t="shared" si="36"/>
        <v>4.3561386591202144E-5</v>
      </c>
    </row>
    <row r="257" spans="2:12" x14ac:dyDescent="0.2">
      <c r="B257" s="133" t="s">
        <v>43</v>
      </c>
      <c r="C257" s="134" t="s">
        <v>44</v>
      </c>
      <c r="D257" s="332">
        <f>CONVERT(INDEX('Screening Emission Calculations'!$H$4:$H$54,MATCH($C257,'Screening Emission Calculations'!$C$4:$C$54,0)),"lbm","g")/8760/3600</f>
        <v>3.7539658946197358E-8</v>
      </c>
      <c r="E257" s="86">
        <f>CONVERT(INDEX('Screening Emission Calculations'!$H$83:$H$133,MATCH($C257,'Screening Emission Calculations'!$C$83:$C$133,0)),"lbm","g")/24/3600</f>
        <v>3.2429656491972536E-6</v>
      </c>
      <c r="F257" s="84">
        <f t="shared" si="37"/>
        <v>0</v>
      </c>
      <c r="G257" s="85">
        <f t="shared" si="37"/>
        <v>7.5079317892394716E-10</v>
      </c>
      <c r="H257" s="85">
        <f t="shared" si="37"/>
        <v>0</v>
      </c>
      <c r="I257" s="85">
        <f t="shared" si="37"/>
        <v>1.7063481339180618E-10</v>
      </c>
      <c r="J257" s="85">
        <f t="shared" si="37"/>
        <v>0</v>
      </c>
      <c r="K257" s="85">
        <f t="shared" si="37"/>
        <v>1.7063481339180618E-10</v>
      </c>
      <c r="L257" s="86">
        <f t="shared" si="36"/>
        <v>0</v>
      </c>
    </row>
    <row r="258" spans="2:12" x14ac:dyDescent="0.2">
      <c r="B258" s="133" t="s">
        <v>139</v>
      </c>
      <c r="C258" s="134" t="str">
        <f t="shared" ref="C258:C279" si="38">C26</f>
        <v>218-01-9</v>
      </c>
      <c r="D258" s="332">
        <f>CONVERT(INDEX('Screening Emission Calculations'!$H$4:$H$54,MATCH($C258,'Screening Emission Calculations'!$C$4:$C$54,0)),"lbm","g")/8760/3600</f>
        <v>1.2575769446837764E-8</v>
      </c>
      <c r="E258" s="86">
        <f>CONVERT(INDEX('Screening Emission Calculations'!$H$83:$H$133,MATCH($C258,'Screening Emission Calculations'!$C$83:$C$133,0)),"lbm","g")/24/3600</f>
        <v>1.0863920843492473E-6</v>
      </c>
      <c r="F258" s="84">
        <f t="shared" ref="F258:K267" si="39">IF(INDEX($B$6:$L$56,MATCH($C258,$C$6:$C$56,0),MATCH(F$237,$B$5:$L$5,0))="",0,$D258/INDEX($B$6:$L$56,MATCH($C258,$C$6:$C$56,0),MATCH(F$237,$B$5:$L$5,0)))</f>
        <v>2.9245975457762242E-5</v>
      </c>
      <c r="G258" s="85">
        <f t="shared" si="39"/>
        <v>0</v>
      </c>
      <c r="H258" s="85">
        <f t="shared" si="39"/>
        <v>7.8598559042736021E-7</v>
      </c>
      <c r="I258" s="85">
        <f t="shared" si="39"/>
        <v>0</v>
      </c>
      <c r="J258" s="85">
        <f t="shared" si="39"/>
        <v>4.1919231489459217E-7</v>
      </c>
      <c r="K258" s="85">
        <f t="shared" si="39"/>
        <v>0</v>
      </c>
      <c r="L258" s="86">
        <f t="shared" si="36"/>
        <v>0</v>
      </c>
    </row>
    <row r="259" spans="2:12" x14ac:dyDescent="0.2">
      <c r="B259" s="133" t="s">
        <v>47</v>
      </c>
      <c r="C259" s="134" t="str">
        <f t="shared" si="38"/>
        <v>7440-48-4</v>
      </c>
      <c r="D259" s="332">
        <f>CONVERT(INDEX('Screening Emission Calculations'!$H$4:$H$54,MATCH($C259,'Screening Emission Calculations'!$C$4:$C$54,0)),"lbm","g")/8760/3600</f>
        <v>2.9089488702510461E-9</v>
      </c>
      <c r="E259" s="86">
        <f>CONVERT(INDEX('Screening Emission Calculations'!$H$83:$H$133,MATCH($C259,'Screening Emission Calculations'!$C$83:$C$133,0)),"lbm","g")/24/3600</f>
        <v>2.5482392103399168E-7</v>
      </c>
      <c r="F259" s="84">
        <f t="shared" si="39"/>
        <v>0</v>
      </c>
      <c r="G259" s="85">
        <f t="shared" si="39"/>
        <v>2.9089488702510459E-8</v>
      </c>
      <c r="H259" s="85">
        <f t="shared" si="39"/>
        <v>0</v>
      </c>
      <c r="I259" s="85">
        <f t="shared" si="39"/>
        <v>6.6112474323887415E-9</v>
      </c>
      <c r="J259" s="85">
        <f t="shared" si="39"/>
        <v>0</v>
      </c>
      <c r="K259" s="85">
        <f t="shared" si="39"/>
        <v>6.6112474323887415E-9</v>
      </c>
      <c r="L259" s="86">
        <f t="shared" si="36"/>
        <v>0</v>
      </c>
    </row>
    <row r="260" spans="2:12" x14ac:dyDescent="0.2">
      <c r="B260" s="133" t="s">
        <v>49</v>
      </c>
      <c r="C260" s="134" t="str">
        <f t="shared" si="38"/>
        <v>7440-50-8</v>
      </c>
      <c r="D260" s="332">
        <f>CONVERT(INDEX('Screening Emission Calculations'!$H$4:$H$54,MATCH($C260,'Screening Emission Calculations'!$C$4:$C$54,0)),"lbm","g")/8760/3600</f>
        <v>9.2735246619174211E-8</v>
      </c>
      <c r="E260" s="86">
        <f>CONVERT(INDEX('Screening Emission Calculations'!$H$83:$H$133,MATCH($C260,'Screening Emission Calculations'!$C$83:$C$133,0)),"lbm","g")/24/3600</f>
        <v>8.1236076038396614E-6</v>
      </c>
      <c r="F260" s="84">
        <f t="shared" si="39"/>
        <v>0</v>
      </c>
      <c r="G260" s="85">
        <f t="shared" si="39"/>
        <v>0</v>
      </c>
      <c r="H260" s="85">
        <f t="shared" si="39"/>
        <v>0</v>
      </c>
      <c r="I260" s="85">
        <f t="shared" si="39"/>
        <v>0</v>
      </c>
      <c r="J260" s="85">
        <f t="shared" si="39"/>
        <v>0</v>
      </c>
      <c r="K260" s="85">
        <f t="shared" si="39"/>
        <v>0</v>
      </c>
      <c r="L260" s="86">
        <f t="shared" si="36"/>
        <v>8.123607603839661E-8</v>
      </c>
    </row>
    <row r="261" spans="2:12" x14ac:dyDescent="0.2">
      <c r="B261" s="135" t="s">
        <v>140</v>
      </c>
      <c r="C261" s="136" t="str">
        <f t="shared" si="38"/>
        <v>53-70-3</v>
      </c>
      <c r="D261" s="332">
        <f>CONVERT(INDEX('Screening Emission Calculations'!$H$4:$H$54,MATCH($C261,'Screening Emission Calculations'!$C$4:$C$54,0)),"lbm","g")/8760/3600</f>
        <v>1.9464062923526762E-10</v>
      </c>
      <c r="E261" s="86">
        <f>CONVERT(INDEX('Screening Emission Calculations'!$H$83:$H$133,MATCH($C261,'Screening Emission Calculations'!$C$83:$C$133,0)),"lbm","g")/24/3600</f>
        <v>1.68145607143842E-8</v>
      </c>
      <c r="F261" s="84">
        <f t="shared" si="39"/>
        <v>4.5265262612852933E-5</v>
      </c>
      <c r="G261" s="85">
        <f t="shared" si="39"/>
        <v>0</v>
      </c>
      <c r="H261" s="85">
        <f t="shared" si="39"/>
        <v>1.2165039327204225E-6</v>
      </c>
      <c r="I261" s="85">
        <f t="shared" si="39"/>
        <v>0</v>
      </c>
      <c r="J261" s="85">
        <f t="shared" si="39"/>
        <v>6.4880209745089218E-7</v>
      </c>
      <c r="K261" s="85">
        <f t="shared" si="39"/>
        <v>0</v>
      </c>
      <c r="L261" s="86">
        <f t="shared" si="36"/>
        <v>0</v>
      </c>
    </row>
    <row r="262" spans="2:12" x14ac:dyDescent="0.2">
      <c r="B262" s="133" t="s">
        <v>191</v>
      </c>
      <c r="C262" s="134">
        <f t="shared" si="38"/>
        <v>200</v>
      </c>
      <c r="D262" s="332">
        <f>CONVERT(INDEX('Screening Emission Calculations'!$H$4:$H$54,MATCH($C262,'Screening Emission Calculations'!$C$4:$C$54,0)),"lbm","g")/8760/3600</f>
        <v>4.3883861308104712E-3</v>
      </c>
      <c r="E262" s="86">
        <f>CONVERT(INDEX('Screening Emission Calculations'!$H$83:$H$133,MATCH($C262,'Screening Emission Calculations'!$C$83:$C$133,0)),"lbm","g")/24/3600</f>
        <v>0.37910268439115896</v>
      </c>
      <c r="F262" s="84">
        <f t="shared" si="39"/>
        <v>4.3883861308104712E-2</v>
      </c>
      <c r="G262" s="85">
        <f t="shared" si="39"/>
        <v>8.7767722616209425E-4</v>
      </c>
      <c r="H262" s="85">
        <f t="shared" si="39"/>
        <v>1.6878408195424889E-3</v>
      </c>
      <c r="I262" s="85">
        <f t="shared" si="39"/>
        <v>1.9947209685502142E-4</v>
      </c>
      <c r="J262" s="85">
        <f t="shared" si="39"/>
        <v>3.6569884423420596E-3</v>
      </c>
      <c r="K262" s="85">
        <f t="shared" si="39"/>
        <v>1.9947209685502142E-4</v>
      </c>
      <c r="L262" s="86">
        <f t="shared" si="36"/>
        <v>0</v>
      </c>
    </row>
    <row r="263" spans="2:12" x14ac:dyDescent="0.2">
      <c r="B263" s="133" t="s">
        <v>53</v>
      </c>
      <c r="C263" s="134" t="str">
        <f t="shared" si="38"/>
        <v>100-41-4</v>
      </c>
      <c r="D263" s="332">
        <f>CONVERT(INDEX('Screening Emission Calculations'!$H$4:$H$54,MATCH($C263,'Screening Emission Calculations'!$C$4:$C$54,0)),"lbm","g")/8760/3600</f>
        <v>2.0459114125677561E-6</v>
      </c>
      <c r="E263" s="86">
        <f>CONVERT(INDEX('Screening Emission Calculations'!$H$83:$H$133,MATCH($C263,'Screening Emission Calculations'!$C$83:$C$133,0)),"lbm","g")/24/3600</f>
        <v>1.7674162788125034E-4</v>
      </c>
      <c r="F263" s="84">
        <f t="shared" si="39"/>
        <v>5.1147785314193896E-6</v>
      </c>
      <c r="G263" s="85">
        <f t="shared" si="39"/>
        <v>7.8688900483375238E-9</v>
      </c>
      <c r="H263" s="85">
        <f t="shared" si="39"/>
        <v>2.0459114125677562E-7</v>
      </c>
      <c r="I263" s="85">
        <f t="shared" si="39"/>
        <v>1.8599194659706873E-9</v>
      </c>
      <c r="J263" s="85">
        <f t="shared" si="39"/>
        <v>4.262315442849492E-7</v>
      </c>
      <c r="K263" s="85">
        <f t="shared" si="39"/>
        <v>1.8599194659706873E-9</v>
      </c>
      <c r="L263" s="86">
        <f t="shared" si="36"/>
        <v>8.0337103582386516E-9</v>
      </c>
    </row>
    <row r="264" spans="2:12" x14ac:dyDescent="0.2">
      <c r="B264" s="137" t="s">
        <v>141</v>
      </c>
      <c r="C264" s="138" t="str">
        <f t="shared" si="38"/>
        <v>206-44-0</v>
      </c>
      <c r="D264" s="332">
        <f>CONVERT(INDEX('Screening Emission Calculations'!$H$4:$H$54,MATCH($C264,'Screening Emission Calculations'!$C$4:$C$54,0)),"lbm","g")/8760/3600</f>
        <v>6.9439595827406246E-8</v>
      </c>
      <c r="E264" s="86">
        <f>CONVERT(INDEX('Screening Emission Calculations'!$H$83:$H$133,MATCH($C264,'Screening Emission Calculations'!$C$83:$C$133,0)),"lbm","g")/24/3600</f>
        <v>5.9987285522536797E-6</v>
      </c>
      <c r="F264" s="84">
        <f t="shared" si="39"/>
        <v>1.3101810533472876E-4</v>
      </c>
      <c r="G264" s="85">
        <f t="shared" si="39"/>
        <v>0</v>
      </c>
      <c r="H264" s="85">
        <f t="shared" si="39"/>
        <v>3.4719797913703122E-6</v>
      </c>
      <c r="I264" s="85">
        <f t="shared" si="39"/>
        <v>0</v>
      </c>
      <c r="J264" s="85">
        <f t="shared" si="39"/>
        <v>1.8273577849317433E-6</v>
      </c>
      <c r="K264" s="85">
        <f t="shared" si="39"/>
        <v>0</v>
      </c>
      <c r="L264" s="86">
        <f t="shared" si="36"/>
        <v>0</v>
      </c>
    </row>
    <row r="265" spans="2:12" x14ac:dyDescent="0.2">
      <c r="B265" s="137" t="s">
        <v>142</v>
      </c>
      <c r="C265" s="138" t="str">
        <f t="shared" si="38"/>
        <v>86-73-7</v>
      </c>
      <c r="D265" s="332">
        <f>CONVERT(INDEX('Screening Emission Calculations'!$H$4:$H$54,MATCH($C265,'Screening Emission Calculations'!$C$4:$C$54,0)),"lbm","g")/8760/3600</f>
        <v>4.1000764413887828E-7</v>
      </c>
      <c r="E265" s="86">
        <f>CONVERT(INDEX('Screening Emission Calculations'!$H$83:$H$133,MATCH($C265,'Screening Emission Calculations'!$C$83:$C$133,0)),"lbm","g")/24/3600</f>
        <v>3.5419626687507817E-5</v>
      </c>
      <c r="F265" s="84">
        <f t="shared" si="39"/>
        <v>0</v>
      </c>
      <c r="G265" s="85">
        <f t="shared" si="39"/>
        <v>0</v>
      </c>
      <c r="H265" s="85">
        <f t="shared" si="39"/>
        <v>0</v>
      </c>
      <c r="I265" s="85">
        <f t="shared" si="39"/>
        <v>0</v>
      </c>
      <c r="J265" s="85">
        <f t="shared" si="39"/>
        <v>0</v>
      </c>
      <c r="K265" s="85">
        <f t="shared" si="39"/>
        <v>0</v>
      </c>
      <c r="L265" s="86">
        <f t="shared" si="36"/>
        <v>0</v>
      </c>
    </row>
    <row r="266" spans="2:12" x14ac:dyDescent="0.2">
      <c r="B266" s="133" t="s">
        <v>59</v>
      </c>
      <c r="C266" s="134" t="str">
        <f t="shared" si="38"/>
        <v>50-00-0</v>
      </c>
      <c r="D266" s="332">
        <f>CONVERT(INDEX('Screening Emission Calculations'!$H$4:$H$54,MATCH($C266,'Screening Emission Calculations'!$C$4:$C$54,0)),"lbm","g")/8760/3600</f>
        <v>5.1065690583599645E-4</v>
      </c>
      <c r="E266" s="86">
        <f>CONVERT(INDEX('Screening Emission Calculations'!$H$83:$H$133,MATCH($C266,'Screening Emission Calculations'!$C$83:$C$133,0)),"lbm","g")/24/3600</f>
        <v>4.4009119186941725E-2</v>
      </c>
      <c r="F266" s="84">
        <f t="shared" si="39"/>
        <v>3.0038641519764494E-3</v>
      </c>
      <c r="G266" s="85">
        <f t="shared" si="39"/>
        <v>5.6739656203999606E-5</v>
      </c>
      <c r="H266" s="85">
        <f t="shared" si="39"/>
        <v>1.1875741996185964E-4</v>
      </c>
      <c r="I266" s="85">
        <f t="shared" si="39"/>
        <v>1.2766422645899911E-5</v>
      </c>
      <c r="J266" s="85">
        <f t="shared" si="39"/>
        <v>2.5532845291799822E-4</v>
      </c>
      <c r="K266" s="85">
        <f t="shared" si="39"/>
        <v>1.2766422645899911E-5</v>
      </c>
      <c r="L266" s="86">
        <f t="shared" si="36"/>
        <v>8.9814528952942294E-4</v>
      </c>
    </row>
    <row r="267" spans="2:12" x14ac:dyDescent="0.2">
      <c r="B267" s="133" t="s">
        <v>61</v>
      </c>
      <c r="C267" s="134" t="str">
        <f t="shared" si="38"/>
        <v>110-54-3</v>
      </c>
      <c r="D267" s="332">
        <f>CONVERT(INDEX('Screening Emission Calculations'!$H$4:$H$54,MATCH($C267,'Screening Emission Calculations'!$C$4:$C$54,0)),"lbm","g")/8760/3600</f>
        <v>5.0490841282635447E-6</v>
      </c>
      <c r="E267" s="86">
        <f>CONVERT(INDEX('Screening Emission Calculations'!$H$83:$H$133,MATCH($C267,'Screening Emission Calculations'!$C$83:$C$133,0)),"lbm","g")/24/3600</f>
        <v>4.3617887981703055E-4</v>
      </c>
      <c r="F267" s="84">
        <f t="shared" si="39"/>
        <v>0</v>
      </c>
      <c r="G267" s="85">
        <f t="shared" si="39"/>
        <v>7.2129773260907779E-9</v>
      </c>
      <c r="H267" s="85">
        <f t="shared" si="39"/>
        <v>0</v>
      </c>
      <c r="I267" s="85">
        <f t="shared" si="39"/>
        <v>1.6287368155688853E-9</v>
      </c>
      <c r="J267" s="85">
        <f t="shared" si="39"/>
        <v>0</v>
      </c>
      <c r="K267" s="85">
        <f t="shared" si="39"/>
        <v>1.6287368155688853E-9</v>
      </c>
      <c r="L267" s="86">
        <f t="shared" si="36"/>
        <v>0</v>
      </c>
    </row>
    <row r="268" spans="2:12" x14ac:dyDescent="0.2">
      <c r="B268" s="133" t="s">
        <v>143</v>
      </c>
      <c r="C268" s="134" t="str">
        <f t="shared" si="38"/>
        <v>18540-29-9</v>
      </c>
      <c r="D268" s="332">
        <f>CONVERT(INDEX('Screening Emission Calculations'!$H$4:$H$54,MATCH($C268,'Screening Emission Calculations'!$C$4:$C$54,0)),"lbm","g")/8760/3600</f>
        <v>1.1661634038032277E-8</v>
      </c>
      <c r="E268" s="86">
        <f>CONVERT(INDEX('Screening Emission Calculations'!$H$83:$H$133,MATCH($C268,'Screening Emission Calculations'!$C$83:$C$133,0)),"lbm","g")/24/3600</f>
        <v>1.0215591417316277E-6</v>
      </c>
      <c r="F268" s="84">
        <f t="shared" ref="F268:K277" si="40">IF(INDEX($B$6:$L$56,MATCH($C268,$C$6:$C$56,0),MATCH(F$237,$B$5:$L$5,0))="",0,$D268/INDEX($B$6:$L$56,MATCH($C268,$C$6:$C$56,0),MATCH(F$237,$B$5:$L$5,0)))</f>
        <v>3.7618174316233149E-4</v>
      </c>
      <c r="G268" s="85">
        <f t="shared" si="40"/>
        <v>1.4050161491605152E-7</v>
      </c>
      <c r="H268" s="85">
        <f t="shared" si="40"/>
        <v>2.2426219303908226E-5</v>
      </c>
      <c r="I268" s="85">
        <f t="shared" si="40"/>
        <v>1.3251856861400314E-8</v>
      </c>
      <c r="J268" s="85">
        <f t="shared" si="40"/>
        <v>1.1661634038032277E-5</v>
      </c>
      <c r="K268" s="85">
        <f t="shared" si="40"/>
        <v>1.3251856861400314E-8</v>
      </c>
      <c r="L268" s="86">
        <f t="shared" si="36"/>
        <v>3.4051971391054259E-6</v>
      </c>
    </row>
    <row r="269" spans="2:12" x14ac:dyDescent="0.2">
      <c r="B269" s="133" t="s">
        <v>64</v>
      </c>
      <c r="C269" s="134" t="str">
        <f t="shared" si="38"/>
        <v>7647-01-0</v>
      </c>
      <c r="D269" s="332">
        <f>CONVERT(INDEX('Screening Emission Calculations'!$H$4:$H$54,MATCH($C269,'Screening Emission Calculations'!$C$4:$C$54,0)),"lbm","g")/8760/3600</f>
        <v>3.4968192308382842E-5</v>
      </c>
      <c r="E269" s="86">
        <f>CONVERT(INDEX('Screening Emission Calculations'!$H$83:$H$133,MATCH($C269,'Screening Emission Calculations'!$C$83:$C$133,0)),"lbm","g")/24/3600</f>
        <v>3.0208225022272414E-3</v>
      </c>
      <c r="F269" s="84">
        <f t="shared" si="40"/>
        <v>0</v>
      </c>
      <c r="G269" s="85">
        <f t="shared" si="40"/>
        <v>1.7484096154191421E-6</v>
      </c>
      <c r="H269" s="85">
        <f t="shared" si="40"/>
        <v>0</v>
      </c>
      <c r="I269" s="85">
        <f t="shared" si="40"/>
        <v>3.9736582168616868E-7</v>
      </c>
      <c r="J269" s="85">
        <f t="shared" si="40"/>
        <v>0</v>
      </c>
      <c r="K269" s="85">
        <f t="shared" si="40"/>
        <v>3.9736582168616868E-7</v>
      </c>
      <c r="L269" s="86">
        <f t="shared" si="36"/>
        <v>1.438486905822496E-6</v>
      </c>
    </row>
    <row r="270" spans="2:12" x14ac:dyDescent="0.2">
      <c r="B270" s="137" t="s">
        <v>144</v>
      </c>
      <c r="C270" s="138" t="str">
        <f t="shared" si="38"/>
        <v>193-39-5</v>
      </c>
      <c r="D270" s="332">
        <f>CONVERT(INDEX('Screening Emission Calculations'!$H$4:$H$54,MATCH($C270,'Screening Emission Calculations'!$C$4:$C$54,0)),"lbm","g")/8760/3600</f>
        <v>2.0104314703244672E-9</v>
      </c>
      <c r="E270" s="86">
        <f>CONVERT(INDEX('Screening Emission Calculations'!$H$83:$H$133,MATCH($C270,'Screening Emission Calculations'!$C$83:$C$133,0)),"lbm","g")/24/3600</f>
        <v>1.7367659646752877E-7</v>
      </c>
      <c r="F270" s="84">
        <f t="shared" si="40"/>
        <v>3.2957892956138809E-6</v>
      </c>
      <c r="G270" s="85">
        <f t="shared" si="40"/>
        <v>0</v>
      </c>
      <c r="H270" s="85">
        <f t="shared" si="40"/>
        <v>9.1383248651112153E-8</v>
      </c>
      <c r="I270" s="85">
        <f t="shared" si="40"/>
        <v>0</v>
      </c>
      <c r="J270" s="85">
        <f t="shared" si="40"/>
        <v>4.675422024010389E-8</v>
      </c>
      <c r="K270" s="85">
        <f t="shared" si="40"/>
        <v>0</v>
      </c>
      <c r="L270" s="86">
        <f t="shared" ref="L270:L288" si="41">IF(INDEX($B$6:$L$56,MATCH($C270,$C$6:$C$56,0),MATCH(L$4,$B$4:$L$4,0))="",0,$E270/INDEX($B$6:$L$56,MATCH($C270,$C$6:$C$56,0),MATCH(L$4,$B$4:$L$4,0)))</f>
        <v>0</v>
      </c>
    </row>
    <row r="271" spans="2:12" x14ac:dyDescent="0.2">
      <c r="B271" s="133" t="s">
        <v>68</v>
      </c>
      <c r="C271" s="134" t="str">
        <f t="shared" si="38"/>
        <v>7439-92-1</v>
      </c>
      <c r="D271" s="332">
        <f>CONVERT(INDEX('Screening Emission Calculations'!$H$4:$H$54,MATCH($C271,'Screening Emission Calculations'!$C$4:$C$54,0)),"lbm","g")/8760/3600</f>
        <v>6.7163522164692287E-8</v>
      </c>
      <c r="E271" s="86">
        <f>CONVERT(INDEX('Screening Emission Calculations'!$H$83:$H$133,MATCH($C271,'Screening Emission Calculations'!$C$83:$C$133,0)),"lbm","g")/24/3600</f>
        <v>5.8835245416270454E-6</v>
      </c>
      <c r="F271" s="84">
        <f t="shared" si="40"/>
        <v>0</v>
      </c>
      <c r="G271" s="85">
        <f t="shared" si="40"/>
        <v>4.4775681443128193E-7</v>
      </c>
      <c r="H271" s="85">
        <f t="shared" si="40"/>
        <v>0</v>
      </c>
      <c r="I271" s="85">
        <f t="shared" si="40"/>
        <v>1.0176291237074588E-7</v>
      </c>
      <c r="J271" s="85">
        <f t="shared" si="40"/>
        <v>0</v>
      </c>
      <c r="K271" s="85">
        <f t="shared" si="40"/>
        <v>1.0176291237074588E-7</v>
      </c>
      <c r="L271" s="86">
        <f t="shared" si="41"/>
        <v>3.9223496944180305E-5</v>
      </c>
    </row>
    <row r="272" spans="2:12" x14ac:dyDescent="0.2">
      <c r="B272" s="133" t="s">
        <v>70</v>
      </c>
      <c r="C272" s="134" t="str">
        <f t="shared" si="38"/>
        <v>7439-96-5</v>
      </c>
      <c r="D272" s="332">
        <f>CONVERT(INDEX('Screening Emission Calculations'!$H$4:$H$54,MATCH($C272,'Screening Emission Calculations'!$C$4:$C$54,0)),"lbm","g")/8760/3600</f>
        <v>7.7550234360956451E-8</v>
      </c>
      <c r="E272" s="86">
        <f>CONVERT(INDEX('Screening Emission Calculations'!$H$83:$H$133,MATCH($C272,'Screening Emission Calculations'!$C$83:$C$133,0)),"lbm","g")/24/3600</f>
        <v>6.7934005300197867E-6</v>
      </c>
      <c r="F272" s="84">
        <f t="shared" si="40"/>
        <v>0</v>
      </c>
      <c r="G272" s="85">
        <f t="shared" si="40"/>
        <v>8.6166927067729396E-7</v>
      </c>
      <c r="H272" s="85">
        <f t="shared" si="40"/>
        <v>0</v>
      </c>
      <c r="I272" s="85">
        <f t="shared" si="40"/>
        <v>1.9387558590239111E-7</v>
      </c>
      <c r="J272" s="85">
        <f t="shared" si="40"/>
        <v>0</v>
      </c>
      <c r="K272" s="85">
        <f t="shared" si="40"/>
        <v>1.9387558590239111E-7</v>
      </c>
      <c r="L272" s="86">
        <f t="shared" si="41"/>
        <v>2.2644668433399291E-5</v>
      </c>
    </row>
    <row r="273" spans="2:12" x14ac:dyDescent="0.2">
      <c r="B273" s="133" t="s">
        <v>72</v>
      </c>
      <c r="C273" s="134" t="str">
        <f t="shared" si="38"/>
        <v>7439-97-6</v>
      </c>
      <c r="D273" s="332">
        <f>CONVERT(INDEX('Screening Emission Calculations'!$H$4:$H$54,MATCH($C273,'Screening Emission Calculations'!$C$4:$C$54,0)),"lbm","g")/8760/3600</f>
        <v>2.7900504808942145E-9</v>
      </c>
      <c r="E273" s="86">
        <f>CONVERT(INDEX('Screening Emission Calculations'!$H$83:$H$133,MATCH($C273,'Screening Emission Calculations'!$C$83:$C$133,0)),"lbm","g")/24/3600</f>
        <v>2.4440842212633316E-7</v>
      </c>
      <c r="F273" s="84">
        <f t="shared" si="40"/>
        <v>0</v>
      </c>
      <c r="G273" s="85">
        <f t="shared" si="40"/>
        <v>3.623442182979499E-8</v>
      </c>
      <c r="H273" s="85">
        <f t="shared" si="40"/>
        <v>0</v>
      </c>
      <c r="I273" s="85">
        <f t="shared" si="40"/>
        <v>4.4286515569749433E-9</v>
      </c>
      <c r="J273" s="85">
        <f t="shared" si="40"/>
        <v>0</v>
      </c>
      <c r="K273" s="85">
        <f t="shared" si="40"/>
        <v>4.4286515569749433E-9</v>
      </c>
      <c r="L273" s="86">
        <f t="shared" si="41"/>
        <v>4.0734737021055528E-7</v>
      </c>
    </row>
    <row r="274" spans="2:12" x14ac:dyDescent="0.2">
      <c r="B274" s="133" t="s">
        <v>145</v>
      </c>
      <c r="C274" s="134" t="str">
        <f t="shared" si="38"/>
        <v>91-57-6</v>
      </c>
      <c r="D274" s="332">
        <f>CONVERT(INDEX('Screening Emission Calculations'!$H$4:$H$54,MATCH($C274,'Screening Emission Calculations'!$C$4:$C$54,0)),"lbm","g")/8760/3600</f>
        <v>2.3082962504786271E-6</v>
      </c>
      <c r="E274" s="86">
        <f>CONVERT(INDEX('Screening Emission Calculations'!$H$83:$H$133,MATCH($C274,'Screening Emission Calculations'!$C$83:$C$133,0)),"lbm","g")/24/3600</f>
        <v>1.9940845651266324E-4</v>
      </c>
      <c r="F274" s="84">
        <f t="shared" si="40"/>
        <v>0</v>
      </c>
      <c r="G274" s="85">
        <f t="shared" si="40"/>
        <v>0</v>
      </c>
      <c r="H274" s="85">
        <f t="shared" si="40"/>
        <v>0</v>
      </c>
      <c r="I274" s="85">
        <f t="shared" si="40"/>
        <v>0</v>
      </c>
      <c r="J274" s="85">
        <f t="shared" si="40"/>
        <v>0</v>
      </c>
      <c r="K274" s="85">
        <f t="shared" si="40"/>
        <v>0</v>
      </c>
      <c r="L274" s="86">
        <f t="shared" si="41"/>
        <v>0</v>
      </c>
    </row>
    <row r="275" spans="2:12" x14ac:dyDescent="0.2">
      <c r="B275" s="133" t="s">
        <v>146</v>
      </c>
      <c r="C275" s="134" t="str">
        <f t="shared" si="38"/>
        <v>91-20-3</v>
      </c>
      <c r="D275" s="332">
        <f>CONVERT(INDEX('Screening Emission Calculations'!$H$4:$H$54,MATCH($C275,'Screening Emission Calculations'!$C$4:$C$54,0)),"lbm","g")/8760/3600</f>
        <v>4.9462988741815746E-6</v>
      </c>
      <c r="E275" s="86">
        <f>CONVERT(INDEX('Screening Emission Calculations'!$H$83:$H$133,MATCH($C275,'Screening Emission Calculations'!$C$83:$C$133,0)),"lbm","g")/24/3600</f>
        <v>4.2729949578454451E-4</v>
      </c>
      <c r="F275" s="84">
        <f t="shared" si="40"/>
        <v>1.7056203014419221E-4</v>
      </c>
      <c r="G275" s="85">
        <f t="shared" si="40"/>
        <v>1.3368375335625876E-6</v>
      </c>
      <c r="H275" s="85">
        <f t="shared" si="40"/>
        <v>6.5082879923441771E-6</v>
      </c>
      <c r="I275" s="85">
        <f t="shared" si="40"/>
        <v>3.0914367963634841E-7</v>
      </c>
      <c r="J275" s="85">
        <f t="shared" si="40"/>
        <v>1.4132282497661643E-5</v>
      </c>
      <c r="K275" s="85">
        <f t="shared" si="40"/>
        <v>3.0914367963634841E-7</v>
      </c>
      <c r="L275" s="86">
        <f t="shared" si="41"/>
        <v>2.1364974789227227E-6</v>
      </c>
    </row>
    <row r="276" spans="2:12" x14ac:dyDescent="0.2">
      <c r="B276" s="133" t="s">
        <v>78</v>
      </c>
      <c r="C276" s="134">
        <f t="shared" si="38"/>
        <v>365</v>
      </c>
      <c r="D276" s="332">
        <f>CONVERT(INDEX('Screening Emission Calculations'!$H$4:$H$54,MATCH($C276,'Screening Emission Calculations'!$C$4:$C$54,0)),"lbm","g")/8760/3600</f>
        <v>3.3654447311892253E-8</v>
      </c>
      <c r="E276" s="86">
        <f>CONVERT(INDEX('Screening Emission Calculations'!$H$83:$H$133,MATCH($C276,'Screening Emission Calculations'!$C$83:$C$133,0)),"lbm","g")/24/3600</f>
        <v>2.9481295845217621E-6</v>
      </c>
      <c r="F276" s="84">
        <f t="shared" si="40"/>
        <v>8.8564335031295398E-6</v>
      </c>
      <c r="G276" s="85">
        <f t="shared" si="40"/>
        <v>2.4038890937065895E-6</v>
      </c>
      <c r="H276" s="85">
        <f t="shared" si="40"/>
        <v>3.3654447311892252E-7</v>
      </c>
      <c r="I276" s="85">
        <f t="shared" si="40"/>
        <v>5.4281366632084278E-7</v>
      </c>
      <c r="J276" s="85">
        <f t="shared" si="40"/>
        <v>7.3161841982374464E-7</v>
      </c>
      <c r="K276" s="85">
        <f t="shared" si="40"/>
        <v>5.4281366632084278E-7</v>
      </c>
      <c r="L276" s="86">
        <f t="shared" si="41"/>
        <v>1.4740647922608809E-5</v>
      </c>
    </row>
    <row r="277" spans="2:12" x14ac:dyDescent="0.2">
      <c r="B277" s="133" t="s">
        <v>147</v>
      </c>
      <c r="C277" s="134" t="str">
        <f t="shared" si="38"/>
        <v>198-55-0</v>
      </c>
      <c r="D277" s="332">
        <f>CONVERT(INDEX('Screening Emission Calculations'!$H$4:$H$54,MATCH($C277,'Screening Emission Calculations'!$C$4:$C$54,0)),"lbm","g")/8760/3600</f>
        <v>2.211548688505555E-10</v>
      </c>
      <c r="E277" s="86">
        <f>CONVERT(INDEX('Screening Emission Calculations'!$H$83:$H$133,MATCH($C277,'Screening Emission Calculations'!$C$83:$C$133,0)),"lbm","g")/24/3600</f>
        <v>1.9105065495213424E-8</v>
      </c>
      <c r="F277" s="84">
        <f t="shared" si="40"/>
        <v>0</v>
      </c>
      <c r="G277" s="85">
        <f t="shared" si="40"/>
        <v>0</v>
      </c>
      <c r="H277" s="85">
        <f t="shared" si="40"/>
        <v>0</v>
      </c>
      <c r="I277" s="85">
        <f t="shared" si="40"/>
        <v>0</v>
      </c>
      <c r="J277" s="85">
        <f t="shared" si="40"/>
        <v>0</v>
      </c>
      <c r="K277" s="85">
        <f t="shared" si="40"/>
        <v>0</v>
      </c>
      <c r="L277" s="86">
        <f t="shared" si="41"/>
        <v>0</v>
      </c>
    </row>
    <row r="278" spans="2:12" x14ac:dyDescent="0.2">
      <c r="B278" s="133" t="s">
        <v>148</v>
      </c>
      <c r="C278" s="134" t="str">
        <f t="shared" si="38"/>
        <v>85-01-8</v>
      </c>
      <c r="D278" s="332">
        <f>CONVERT(INDEX('Screening Emission Calculations'!$H$4:$H$54,MATCH($C278,'Screening Emission Calculations'!$C$4:$C$54,0)),"lbm","g")/8760/3600</f>
        <v>8.5251561893775886E-7</v>
      </c>
      <c r="E278" s="86">
        <f>CONVERT(INDEX('Screening Emission Calculations'!$H$83:$H$133,MATCH($C278,'Screening Emission Calculations'!$C$83:$C$133,0)),"lbm","g")/24/3600</f>
        <v>7.3646882929375682E-5</v>
      </c>
      <c r="F278" s="84">
        <f t="shared" ref="F278:K288" si="42">IF(INDEX($B$6:$L$56,MATCH($C278,$C$6:$C$56,0),MATCH(F$237,$B$5:$L$5,0))="",0,$D278/INDEX($B$6:$L$56,MATCH($C278,$C$6:$C$56,0),MATCH(F$237,$B$5:$L$5,0)))</f>
        <v>0</v>
      </c>
      <c r="G278" s="85">
        <f t="shared" si="42"/>
        <v>0</v>
      </c>
      <c r="H278" s="85">
        <f t="shared" si="42"/>
        <v>0</v>
      </c>
      <c r="I278" s="85">
        <f t="shared" si="42"/>
        <v>0</v>
      </c>
      <c r="J278" s="85">
        <f t="shared" si="42"/>
        <v>0</v>
      </c>
      <c r="K278" s="85">
        <f t="shared" si="42"/>
        <v>0</v>
      </c>
      <c r="L278" s="86">
        <f t="shared" si="41"/>
        <v>0</v>
      </c>
    </row>
    <row r="279" spans="2:12" x14ac:dyDescent="0.2">
      <c r="B279" s="133" t="s">
        <v>83</v>
      </c>
      <c r="C279" s="134">
        <f t="shared" si="38"/>
        <v>504</v>
      </c>
      <c r="D279" s="332">
        <f>CONVERT(INDEX('Screening Emission Calculations'!$H$4:$H$54,MATCH($C279,'Screening Emission Calculations'!$C$4:$C$54,0)),"lbm","g")/8760/3600</f>
        <v>1.5520634214801657E-6</v>
      </c>
      <c r="E279" s="86">
        <f>CONVERT(INDEX('Screening Emission Calculations'!$H$83:$H$133,MATCH($C279,'Screening Emission Calculations'!$C$83:$C$133,0)),"lbm","g")/24/3600</f>
        <v>1.3596075572166254E-4</v>
      </c>
      <c r="F279" s="84">
        <f t="shared" si="42"/>
        <v>0</v>
      </c>
      <c r="G279" s="85">
        <f t="shared" si="42"/>
        <v>0</v>
      </c>
      <c r="H279" s="85">
        <f t="shared" si="42"/>
        <v>0</v>
      </c>
      <c r="I279" s="85">
        <f t="shared" si="42"/>
        <v>0</v>
      </c>
      <c r="J279" s="85">
        <f t="shared" si="42"/>
        <v>0</v>
      </c>
      <c r="K279" s="85">
        <f t="shared" si="42"/>
        <v>0</v>
      </c>
      <c r="L279" s="86">
        <f t="shared" si="41"/>
        <v>0</v>
      </c>
    </row>
    <row r="280" spans="2:12" x14ac:dyDescent="0.2">
      <c r="B280" s="133" t="s">
        <v>84</v>
      </c>
      <c r="C280" s="134" t="s">
        <v>85</v>
      </c>
      <c r="D280" s="332">
        <f>CONVERT(INDEX('Screening Emission Calculations'!$H$4:$H$54,MATCH($C280,'Screening Emission Calculations'!$C$4:$C$54,0)),"lbm","g")/8760/3600</f>
        <v>8.8218198523563787E-5</v>
      </c>
      <c r="E280" s="86">
        <f>CONVERT(INDEX('Screening Emission Calculations'!$H$83:$H$133,MATCH($C280,'Screening Emission Calculations'!$C$83:$C$133,0)),"lbm","g")/24/3600</f>
        <v>7.620969275613545E-3</v>
      </c>
      <c r="F280" s="84">
        <f t="shared" si="42"/>
        <v>0</v>
      </c>
      <c r="G280" s="85">
        <f t="shared" si="42"/>
        <v>2.9406066174521262E-8</v>
      </c>
      <c r="H280" s="85">
        <f t="shared" si="42"/>
        <v>0</v>
      </c>
      <c r="I280" s="85">
        <f t="shared" si="42"/>
        <v>6.7860152710433683E-9</v>
      </c>
      <c r="J280" s="85">
        <f t="shared" si="42"/>
        <v>0</v>
      </c>
      <c r="K280" s="85">
        <f t="shared" si="42"/>
        <v>6.7860152710433683E-9</v>
      </c>
      <c r="L280" s="86">
        <f t="shared" si="41"/>
        <v>0</v>
      </c>
    </row>
    <row r="281" spans="2:12" x14ac:dyDescent="0.2">
      <c r="B281" s="133" t="s">
        <v>149</v>
      </c>
      <c r="C281" s="134" t="s">
        <v>87</v>
      </c>
      <c r="D281" s="332">
        <f>CONVERT(INDEX('Screening Emission Calculations'!$H$4:$H$54,MATCH($C281,'Screening Emission Calculations'!$C$4:$C$54,0)),"lbm","g")/8760/3600</f>
        <v>2.3462286841373353E-7</v>
      </c>
      <c r="E281" s="86">
        <f>CONVERT(INDEX('Screening Emission Calculations'!$H$83:$H$133,MATCH($C281,'Screening Emission Calculations'!$C$83:$C$133,0)),"lbm","g")/24/3600</f>
        <v>2.026853530748284E-5</v>
      </c>
      <c r="F281" s="84">
        <f t="shared" si="42"/>
        <v>0</v>
      </c>
      <c r="G281" s="85">
        <f t="shared" si="42"/>
        <v>0</v>
      </c>
      <c r="H281" s="85">
        <f t="shared" si="42"/>
        <v>0</v>
      </c>
      <c r="I281" s="85">
        <f t="shared" si="42"/>
        <v>0</v>
      </c>
      <c r="J281" s="85">
        <f t="shared" si="42"/>
        <v>0</v>
      </c>
      <c r="K281" s="85">
        <f t="shared" si="42"/>
        <v>0</v>
      </c>
      <c r="L281" s="86">
        <f t="shared" si="41"/>
        <v>0</v>
      </c>
    </row>
    <row r="282" spans="2:12" x14ac:dyDescent="0.2">
      <c r="B282" s="133" t="s">
        <v>150</v>
      </c>
      <c r="C282" s="134">
        <f t="shared" ref="C282:C288" si="43">C50</f>
        <v>401</v>
      </c>
      <c r="D282" s="332">
        <f>CONVERT(INDEX('Screening Emission Calculations'!$H$4:$H$54,MATCH($C282,'Screening Emission Calculations'!$C$4:$C$54,0)),"lbm","g")/8760/3600</f>
        <v>0</v>
      </c>
      <c r="E282" s="86">
        <f>CONVERT(INDEX('Screening Emission Calculations'!$H$83:$H$133,MATCH($C282,'Screening Emission Calculations'!$C$83:$C$133,0)),"lbm","g")/24/3600</f>
        <v>0</v>
      </c>
      <c r="F282" s="84">
        <f t="shared" si="42"/>
        <v>0</v>
      </c>
      <c r="G282" s="85">
        <f t="shared" si="42"/>
        <v>0</v>
      </c>
      <c r="H282" s="85">
        <f t="shared" si="42"/>
        <v>0</v>
      </c>
      <c r="I282" s="85">
        <f t="shared" si="42"/>
        <v>0</v>
      </c>
      <c r="J282" s="85">
        <f t="shared" si="42"/>
        <v>0</v>
      </c>
      <c r="K282" s="85">
        <f t="shared" si="42"/>
        <v>0</v>
      </c>
      <c r="L282" s="86">
        <f t="shared" si="41"/>
        <v>0</v>
      </c>
    </row>
    <row r="283" spans="2:12" x14ac:dyDescent="0.2">
      <c r="B283" s="133" t="s">
        <v>89</v>
      </c>
      <c r="C283" s="134" t="str">
        <f t="shared" si="43"/>
        <v>7782-49-2</v>
      </c>
      <c r="D283" s="332">
        <f>CONVERT(INDEX('Screening Emission Calculations'!$H$4:$H$54,MATCH($C283,'Screening Emission Calculations'!$C$4:$C$54,0)),"lbm","g")/8760/3600</f>
        <v>6.9511040132186048E-8</v>
      </c>
      <c r="E283" s="86">
        <f>CONVERT(INDEX('Screening Emission Calculations'!$H$83:$H$133,MATCH($C283,'Screening Emission Calculations'!$C$83:$C$133,0)),"lbm","g")/24/3600</f>
        <v>6.0891671155794979E-6</v>
      </c>
      <c r="F283" s="84">
        <f t="shared" si="42"/>
        <v>0</v>
      </c>
      <c r="G283" s="85">
        <f t="shared" si="42"/>
        <v>0</v>
      </c>
      <c r="H283" s="85">
        <f t="shared" si="42"/>
        <v>0</v>
      </c>
      <c r="I283" s="85">
        <f t="shared" si="42"/>
        <v>0</v>
      </c>
      <c r="J283" s="85">
        <f t="shared" si="42"/>
        <v>0</v>
      </c>
      <c r="K283" s="85">
        <f t="shared" si="42"/>
        <v>0</v>
      </c>
      <c r="L283" s="86">
        <f t="shared" si="41"/>
        <v>3.044583557789749E-6</v>
      </c>
    </row>
    <row r="284" spans="2:12" x14ac:dyDescent="0.2">
      <c r="B284" s="133" t="s">
        <v>91</v>
      </c>
      <c r="C284" s="134" t="str">
        <f t="shared" si="43"/>
        <v>7440-22-4</v>
      </c>
      <c r="D284" s="332">
        <f>CONVERT(INDEX('Screening Emission Calculations'!$H$4:$H$54,MATCH($C284,'Screening Emission Calculations'!$C$4:$C$54,0)),"lbm","g")/8760/3600</f>
        <v>8.8671310857522868E-9</v>
      </c>
      <c r="E284" s="86">
        <f>CONVERT(INDEX('Screening Emission Calculations'!$H$83:$H$133,MATCH($C284,'Screening Emission Calculations'!$C$83:$C$133,0)),"lbm","g")/24/3600</f>
        <v>7.7676068311190048E-7</v>
      </c>
      <c r="F284" s="84">
        <f t="shared" si="42"/>
        <v>0</v>
      </c>
      <c r="G284" s="85">
        <f t="shared" si="42"/>
        <v>0</v>
      </c>
      <c r="H284" s="85">
        <f t="shared" si="42"/>
        <v>0</v>
      </c>
      <c r="I284" s="85">
        <f t="shared" si="42"/>
        <v>0</v>
      </c>
      <c r="J284" s="85">
        <f t="shared" si="42"/>
        <v>0</v>
      </c>
      <c r="K284" s="85">
        <f t="shared" si="42"/>
        <v>0</v>
      </c>
      <c r="L284" s="86">
        <f t="shared" si="41"/>
        <v>0</v>
      </c>
    </row>
    <row r="285" spans="2:12" x14ac:dyDescent="0.2">
      <c r="B285" s="133" t="s">
        <v>93</v>
      </c>
      <c r="C285" s="134" t="str">
        <f t="shared" si="43"/>
        <v>7440-28-0</v>
      </c>
      <c r="D285" s="332">
        <f>CONVERT(INDEX('Screening Emission Calculations'!$H$4:$H$54,MATCH($C285,'Screening Emission Calculations'!$C$4:$C$54,0)),"lbm","g")/8760/3600</f>
        <v>4.4340939240269105E-8</v>
      </c>
      <c r="E285" s="86">
        <f>CONVERT(INDEX('Screening Emission Calculations'!$H$83:$H$133,MATCH($C285,'Screening Emission Calculations'!$C$83:$C$133,0)),"lbm","g")/24/3600</f>
        <v>3.8842662774475745E-6</v>
      </c>
      <c r="F285" s="84">
        <f t="shared" si="42"/>
        <v>0</v>
      </c>
      <c r="G285" s="85">
        <f t="shared" si="42"/>
        <v>0</v>
      </c>
      <c r="H285" s="85">
        <f t="shared" si="42"/>
        <v>0</v>
      </c>
      <c r="I285" s="85">
        <f t="shared" si="42"/>
        <v>0</v>
      </c>
      <c r="J285" s="85">
        <f t="shared" si="42"/>
        <v>0</v>
      </c>
      <c r="K285" s="85">
        <f t="shared" si="42"/>
        <v>0</v>
      </c>
      <c r="L285" s="86">
        <f t="shared" si="41"/>
        <v>0</v>
      </c>
    </row>
    <row r="286" spans="2:12" x14ac:dyDescent="0.2">
      <c r="B286" s="133" t="s">
        <v>95</v>
      </c>
      <c r="C286" s="134" t="str">
        <f t="shared" si="43"/>
        <v>108-88-3</v>
      </c>
      <c r="D286" s="332">
        <f>CONVERT(INDEX('Screening Emission Calculations'!$H$4:$H$54,MATCH($C286,'Screening Emission Calculations'!$C$4:$C$54,0)),"lbm","g")/8760/3600</f>
        <v>1.9783400264646006E-5</v>
      </c>
      <c r="E286" s="86">
        <f>CONVERT(INDEX('Screening Emission Calculations'!$H$83:$H$133,MATCH($C286,'Screening Emission Calculations'!$C$83:$C$133,0)),"lbm","g")/24/3600</f>
        <v>1.7090428971269526E-3</v>
      </c>
      <c r="F286" s="84">
        <f t="shared" si="42"/>
        <v>0</v>
      </c>
      <c r="G286" s="85">
        <f t="shared" si="42"/>
        <v>3.9566800529292013E-9</v>
      </c>
      <c r="H286" s="85">
        <f t="shared" si="42"/>
        <v>0</v>
      </c>
      <c r="I286" s="85">
        <f t="shared" si="42"/>
        <v>8.9924546657481843E-10</v>
      </c>
      <c r="J286" s="85">
        <f t="shared" si="42"/>
        <v>0</v>
      </c>
      <c r="K286" s="85">
        <f t="shared" si="42"/>
        <v>8.9924546657481843E-10</v>
      </c>
      <c r="L286" s="86">
        <f t="shared" si="41"/>
        <v>2.2787238628359369E-7</v>
      </c>
    </row>
    <row r="287" spans="2:12" x14ac:dyDescent="0.2">
      <c r="B287" s="133" t="s">
        <v>97</v>
      </c>
      <c r="C287" s="134" t="str">
        <f t="shared" si="43"/>
        <v>1330-20-7</v>
      </c>
      <c r="D287" s="332">
        <f>CONVERT(INDEX('Screening Emission Calculations'!$H$4:$H$54,MATCH($C287,'Screening Emission Calculations'!$C$4:$C$54,0)),"lbm","g")/8760/3600</f>
        <v>7.9584076965938403E-6</v>
      </c>
      <c r="E287" s="86">
        <f>CONVERT(INDEX('Screening Emission Calculations'!$H$83:$H$133,MATCH($C287,'Screening Emission Calculations'!$C$83:$C$133,0)),"lbm","g")/24/3600</f>
        <v>6.8750871762981764E-4</v>
      </c>
      <c r="F287" s="84">
        <f t="shared" si="42"/>
        <v>0</v>
      </c>
      <c r="G287" s="85">
        <f t="shared" si="42"/>
        <v>3.6174580439062913E-8</v>
      </c>
      <c r="H287" s="85">
        <f t="shared" si="42"/>
        <v>0</v>
      </c>
      <c r="I287" s="85">
        <f t="shared" si="42"/>
        <v>8.2045440171070512E-9</v>
      </c>
      <c r="J287" s="85">
        <f t="shared" si="42"/>
        <v>0</v>
      </c>
      <c r="K287" s="85">
        <f t="shared" si="42"/>
        <v>8.2045440171070512E-9</v>
      </c>
      <c r="L287" s="86">
        <f t="shared" si="41"/>
        <v>7.9023990532162951E-8</v>
      </c>
    </row>
    <row r="288" spans="2:12" ht="15.75" thickBot="1" x14ac:dyDescent="0.25">
      <c r="B288" s="139" t="s">
        <v>99</v>
      </c>
      <c r="C288" s="140" t="str">
        <f t="shared" si="43"/>
        <v>7440-66-6</v>
      </c>
      <c r="D288" s="332">
        <f>CONVERT(INDEX('Screening Emission Calculations'!$H$4:$H$54,MATCH($C288,'Screening Emission Calculations'!$C$4:$C$54,0)),"lbm","g")/8760/3600</f>
        <v>9.6517988765851293E-7</v>
      </c>
      <c r="E288" s="86">
        <f>CONVERT(INDEX('Screening Emission Calculations'!$H$83:$H$133,MATCH($C288,'Screening Emission Calculations'!$C$83:$C$133,0)),"lbm","g")/24/3600</f>
        <v>8.4549758158885735E-5</v>
      </c>
      <c r="F288" s="84">
        <f t="shared" si="42"/>
        <v>0</v>
      </c>
      <c r="G288" s="85">
        <f t="shared" si="42"/>
        <v>0</v>
      </c>
      <c r="H288" s="85">
        <f t="shared" si="42"/>
        <v>0</v>
      </c>
      <c r="I288" s="85">
        <f t="shared" si="42"/>
        <v>0</v>
      </c>
      <c r="J288" s="85">
        <f t="shared" si="42"/>
        <v>0</v>
      </c>
      <c r="K288" s="85">
        <f t="shared" si="42"/>
        <v>0</v>
      </c>
      <c r="L288" s="86">
        <f t="shared" si="41"/>
        <v>0</v>
      </c>
    </row>
    <row r="289" spans="1:12" x14ac:dyDescent="0.2">
      <c r="B289" s="660" t="s">
        <v>1188</v>
      </c>
      <c r="C289" s="661"/>
      <c r="D289" s="661"/>
      <c r="E289" s="662"/>
      <c r="F289" s="150">
        <f>SUM(F238:F288)</f>
        <v>5.1914525408319319E-2</v>
      </c>
      <c r="G289" s="151">
        <f t="shared" ref="G289:L289" si="44">SUM(G238:G288)</f>
        <v>1.2985092324735411E-3</v>
      </c>
      <c r="H289" s="151">
        <f t="shared" si="44"/>
        <v>1.9595022060908125E-3</v>
      </c>
      <c r="I289" s="151">
        <f t="shared" si="44"/>
        <v>2.4778813168666025E-4</v>
      </c>
      <c r="J289" s="151">
        <f t="shared" si="44"/>
        <v>4.1828734151307754E-3</v>
      </c>
      <c r="K289" s="151">
        <f t="shared" si="44"/>
        <v>2.4778813168666025E-4</v>
      </c>
      <c r="L289" s="152">
        <f t="shared" si="44"/>
        <v>1.4041529749498349E-3</v>
      </c>
    </row>
    <row r="290" spans="1:12" ht="13.5" x14ac:dyDescent="0.2">
      <c r="A290" s="147">
        <v>1</v>
      </c>
      <c r="B290" s="143" t="str">
        <f>$B$174</f>
        <v>If the toxic is listed in the Risk-Based Concentrations (Table 2) in OAR Chapter 340-245-8010, then it's considered a permitted toxic. Emission rate is normalized based on operational hours of 8,760 hrs/yr or 24 hrs/day.</v>
      </c>
      <c r="C290" s="144"/>
      <c r="D290" s="144"/>
      <c r="E290" s="144"/>
      <c r="F290" s="144"/>
      <c r="G290" s="144"/>
      <c r="H290" s="144"/>
      <c r="I290" s="144"/>
      <c r="J290" s="144"/>
      <c r="K290" s="144"/>
      <c r="L290" s="144"/>
    </row>
    <row r="291" spans="1:12" ht="13.5" x14ac:dyDescent="0.2">
      <c r="A291" s="147"/>
      <c r="B291" s="87"/>
      <c r="C291" s="87"/>
      <c r="D291" s="87"/>
      <c r="E291" s="87"/>
      <c r="F291" s="87"/>
      <c r="G291" s="87"/>
      <c r="H291" s="87"/>
      <c r="I291" s="87"/>
      <c r="J291" s="87"/>
      <c r="K291" s="87"/>
      <c r="L291" s="67"/>
    </row>
    <row r="292" spans="1:12" ht="15.75" thickBot="1" x14ac:dyDescent="0.25">
      <c r="B292" s="56" t="s">
        <v>206</v>
      </c>
    </row>
    <row r="293" spans="1:12" ht="32.25" customHeight="1" x14ac:dyDescent="0.2">
      <c r="B293" s="666" t="s">
        <v>1</v>
      </c>
      <c r="C293" s="681" t="s">
        <v>2</v>
      </c>
      <c r="D293" s="683" t="s">
        <v>195</v>
      </c>
      <c r="E293" s="657" t="s">
        <v>196</v>
      </c>
      <c r="F293" s="648" t="s">
        <v>1186</v>
      </c>
      <c r="G293" s="649"/>
      <c r="H293" s="649"/>
      <c r="I293" s="649"/>
      <c r="J293" s="649"/>
      <c r="K293" s="649"/>
      <c r="L293" s="650"/>
    </row>
    <row r="294" spans="1:12" x14ac:dyDescent="0.2">
      <c r="B294" s="667"/>
      <c r="C294" s="682"/>
      <c r="D294" s="684"/>
      <c r="E294" s="658"/>
      <c r="F294" s="651" t="s">
        <v>181</v>
      </c>
      <c r="G294" s="652"/>
      <c r="H294" s="652" t="s">
        <v>182</v>
      </c>
      <c r="I294" s="652"/>
      <c r="J294" s="652"/>
      <c r="K294" s="652"/>
      <c r="L294" s="655" t="s">
        <v>183</v>
      </c>
    </row>
    <row r="295" spans="1:12" ht="27.75" thickBot="1" x14ac:dyDescent="0.25">
      <c r="B295" s="668"/>
      <c r="C295" s="654"/>
      <c r="D295" s="685"/>
      <c r="E295" s="659"/>
      <c r="F295" s="148" t="s">
        <v>184</v>
      </c>
      <c r="G295" s="149" t="s">
        <v>185</v>
      </c>
      <c r="H295" s="149" t="s">
        <v>186</v>
      </c>
      <c r="I295" s="149" t="s">
        <v>187</v>
      </c>
      <c r="J295" s="149" t="s">
        <v>188</v>
      </c>
      <c r="K295" s="149" t="s">
        <v>189</v>
      </c>
      <c r="L295" s="656"/>
    </row>
    <row r="296" spans="1:12" x14ac:dyDescent="0.2">
      <c r="B296" s="130" t="s">
        <v>4</v>
      </c>
      <c r="C296" s="131" t="str">
        <f t="shared" ref="C296:C327" si="45">C6</f>
        <v>106-99-0</v>
      </c>
      <c r="D296" s="332">
        <f>CONVERT(INDEX('Screening Emission Calculations'!$I$4:$I$54,MATCH($C296,'Screening Emission Calculations'!$C$4:$C$54,0)),"lbm","g")/8760/3600</f>
        <v>4.4142516575002702E-5</v>
      </c>
      <c r="E296" s="86">
        <f>CONVERT(INDEX('Screening Emission Calculations'!$I$83:$I$133,MATCH($C296,'Screening Emission Calculations'!$C$83:$C$133,0)),"lbm","g")/24/3600</f>
        <v>3.8133714833963627E-3</v>
      </c>
      <c r="F296" s="84">
        <f t="shared" ref="F296:K305" si="46">IF(INDEX($B$6:$L$56,MATCH($C296,$C$6:$C$56,0),MATCH(F$295,$B$5:$L$5,0))="",0,$D296/INDEX($B$6:$L$56,MATCH($C296,$C$6:$C$56,0),MATCH(F$295,$B$5:$L$5,0)))</f>
        <v>1.3376520174243243E-3</v>
      </c>
      <c r="G296" s="85">
        <f t="shared" si="46"/>
        <v>2.2071258287501351E-5</v>
      </c>
      <c r="H296" s="85">
        <f t="shared" si="46"/>
        <v>5.1328507645351977E-5</v>
      </c>
      <c r="I296" s="85">
        <f t="shared" si="46"/>
        <v>5.0161950653412159E-6</v>
      </c>
      <c r="J296" s="85">
        <f t="shared" si="46"/>
        <v>1.1035629143750675E-4</v>
      </c>
      <c r="K296" s="85">
        <f t="shared" si="46"/>
        <v>5.0161950653412159E-6</v>
      </c>
      <c r="L296" s="86">
        <f t="shared" ref="L296:L327" si="47">IF(INDEX($B$6:$L$56,MATCH($C296,$C$6:$C$56,0),MATCH(L$4,$B$4:$L$4,0))="",0,$E296/INDEX($B$6:$L$56,MATCH($C296,$C$6:$C$56,0),MATCH(L$4,$B$4:$L$4,0)))</f>
        <v>5.7778355809035799E-6</v>
      </c>
    </row>
    <row r="297" spans="1:12" x14ac:dyDescent="0.2">
      <c r="B297" s="132" t="s">
        <v>129</v>
      </c>
      <c r="C297" s="131" t="str">
        <f t="shared" si="45"/>
        <v>83-32-9</v>
      </c>
      <c r="D297" s="332">
        <f>CONVERT(INDEX('Screening Emission Calculations'!$I$4:$I$54,MATCH($C297,'Screening Emission Calculations'!$C$4:$C$54,0)),"lbm","g")/8760/3600</f>
        <v>1.4916156515870132E-7</v>
      </c>
      <c r="E297" s="86">
        <f>CONVERT(INDEX('Screening Emission Calculations'!$I$83:$I$133,MATCH($C297,'Screening Emission Calculations'!$C$83:$C$133,0)),"lbm","g")/24/3600</f>
        <v>1.2885727935979716E-5</v>
      </c>
      <c r="F297" s="84">
        <f t="shared" si="46"/>
        <v>0</v>
      </c>
      <c r="G297" s="85">
        <f t="shared" si="46"/>
        <v>0</v>
      </c>
      <c r="H297" s="85">
        <f t="shared" si="46"/>
        <v>0</v>
      </c>
      <c r="I297" s="85">
        <f t="shared" si="46"/>
        <v>0</v>
      </c>
      <c r="J297" s="85">
        <f t="shared" si="46"/>
        <v>0</v>
      </c>
      <c r="K297" s="85">
        <f t="shared" si="46"/>
        <v>0</v>
      </c>
      <c r="L297" s="86">
        <f t="shared" si="47"/>
        <v>0</v>
      </c>
    </row>
    <row r="298" spans="1:12" x14ac:dyDescent="0.2">
      <c r="B298" s="133" t="s">
        <v>130</v>
      </c>
      <c r="C298" s="131" t="str">
        <f t="shared" si="45"/>
        <v>208-96-8</v>
      </c>
      <c r="D298" s="332">
        <f>CONVERT(INDEX('Screening Emission Calculations'!$I$4:$I$54,MATCH($C298,'Screening Emission Calculations'!$C$4:$C$54,0)),"lbm","g")/8760/3600</f>
        <v>1.644311530323371E-7</v>
      </c>
      <c r="E298" s="86">
        <f>CONVERT(INDEX('Screening Emission Calculations'!$I$83:$I$133,MATCH($C298,'Screening Emission Calculations'!$C$83:$C$133,0)),"lbm","g")/24/3600</f>
        <v>1.4204832859723728E-5</v>
      </c>
      <c r="F298" s="84">
        <f t="shared" si="46"/>
        <v>0</v>
      </c>
      <c r="G298" s="85">
        <f t="shared" si="46"/>
        <v>0</v>
      </c>
      <c r="H298" s="85">
        <f t="shared" si="46"/>
        <v>0</v>
      </c>
      <c r="I298" s="85">
        <f t="shared" si="46"/>
        <v>0</v>
      </c>
      <c r="J298" s="85">
        <f t="shared" si="46"/>
        <v>0</v>
      </c>
      <c r="K298" s="85">
        <f t="shared" si="46"/>
        <v>0</v>
      </c>
      <c r="L298" s="86">
        <f t="shared" si="47"/>
        <v>0</v>
      </c>
    </row>
    <row r="299" spans="1:12" x14ac:dyDescent="0.2">
      <c r="B299" s="133" t="s">
        <v>11</v>
      </c>
      <c r="C299" s="131" t="str">
        <f t="shared" si="45"/>
        <v>75-07-0</v>
      </c>
      <c r="D299" s="332">
        <f>CONVERT(INDEX('Screening Emission Calculations'!$I$4:$I$54,MATCH($C299,'Screening Emission Calculations'!$C$4:$C$54,0)),"lbm","g")/8760/3600</f>
        <v>1.5904707098987863E-4</v>
      </c>
      <c r="E299" s="86">
        <f>CONVERT(INDEX('Screening Emission Calculations'!$I$83:$I$133,MATCH($C299,'Screening Emission Calculations'!$C$83:$C$133,0)),"lbm","g")/24/3600</f>
        <v>1.3739714272973181E-2</v>
      </c>
      <c r="F299" s="84">
        <f t="shared" si="46"/>
        <v>3.5343793553306363E-4</v>
      </c>
      <c r="G299" s="85">
        <f t="shared" si="46"/>
        <v>1.1360505070705616E-6</v>
      </c>
      <c r="H299" s="85">
        <f t="shared" si="46"/>
        <v>1.3253922582489886E-5</v>
      </c>
      <c r="I299" s="85">
        <f t="shared" si="46"/>
        <v>2.5652753385464294E-7</v>
      </c>
      <c r="J299" s="85">
        <f t="shared" si="46"/>
        <v>2.8917649270887025E-5</v>
      </c>
      <c r="K299" s="85">
        <f t="shared" si="46"/>
        <v>2.5652753385464294E-7</v>
      </c>
      <c r="L299" s="86">
        <f t="shared" si="47"/>
        <v>2.9233434623347192E-5</v>
      </c>
    </row>
    <row r="300" spans="1:12" x14ac:dyDescent="0.2">
      <c r="B300" s="133" t="s">
        <v>13</v>
      </c>
      <c r="C300" s="131" t="str">
        <f t="shared" si="45"/>
        <v>107-02-8</v>
      </c>
      <c r="D300" s="332">
        <f>CONVERT(INDEX('Screening Emission Calculations'!$I$4:$I$54,MATCH($C300,'Screening Emission Calculations'!$C$4:$C$54,0)),"lbm","g")/8760/3600</f>
        <v>6.8833087023578268E-6</v>
      </c>
      <c r="E300" s="86">
        <f>CONVERT(INDEX('Screening Emission Calculations'!$I$83:$I$133,MATCH($C300,'Screening Emission Calculations'!$C$83:$C$133,0)),"lbm","g")/24/3600</f>
        <v>5.9463336378627726E-4</v>
      </c>
      <c r="F300" s="84">
        <f t="shared" si="46"/>
        <v>0</v>
      </c>
      <c r="G300" s="85">
        <f t="shared" si="46"/>
        <v>1.9666596292450934E-5</v>
      </c>
      <c r="H300" s="85">
        <f t="shared" si="46"/>
        <v>0</v>
      </c>
      <c r="I300" s="85">
        <f t="shared" si="46"/>
        <v>4.5888724682385515E-6</v>
      </c>
      <c r="J300" s="85">
        <f t="shared" si="46"/>
        <v>0</v>
      </c>
      <c r="K300" s="85">
        <f t="shared" si="46"/>
        <v>4.5888724682385515E-6</v>
      </c>
      <c r="L300" s="86">
        <f t="shared" si="47"/>
        <v>8.6178748374822792E-5</v>
      </c>
    </row>
    <row r="301" spans="1:12" x14ac:dyDescent="0.2">
      <c r="B301" s="133" t="s">
        <v>15</v>
      </c>
      <c r="C301" s="131" t="str">
        <f t="shared" si="45"/>
        <v>7664-41-7</v>
      </c>
      <c r="D301" s="332">
        <f>CONVERT(INDEX('Screening Emission Calculations'!$I$4:$I$54,MATCH($C301,'Screening Emission Calculations'!$C$4:$C$54,0)),"lbm","g")/8760/3600</f>
        <v>1.5982744848554034E-4</v>
      </c>
      <c r="E301" s="86">
        <f>CONVERT(INDEX('Screening Emission Calculations'!$I$83:$I$133,MATCH($C301,'Screening Emission Calculations'!$C$83:$C$133,0)),"lbm","g")/24/3600</f>
        <v>1.4000884487333335E-2</v>
      </c>
      <c r="F301" s="84">
        <f t="shared" si="46"/>
        <v>0</v>
      </c>
      <c r="G301" s="85">
        <f t="shared" si="46"/>
        <v>3.1965489697108066E-7</v>
      </c>
      <c r="H301" s="85">
        <f t="shared" si="46"/>
        <v>0</v>
      </c>
      <c r="I301" s="85">
        <f t="shared" si="46"/>
        <v>7.2648840220700158E-8</v>
      </c>
      <c r="J301" s="85">
        <f t="shared" si="46"/>
        <v>0</v>
      </c>
      <c r="K301" s="85">
        <f t="shared" si="46"/>
        <v>7.2648840220700158E-8</v>
      </c>
      <c r="L301" s="86">
        <f t="shared" si="47"/>
        <v>1.1667403739444446E-5</v>
      </c>
    </row>
    <row r="302" spans="1:12" x14ac:dyDescent="0.2">
      <c r="B302" s="133" t="s">
        <v>132</v>
      </c>
      <c r="C302" s="131" t="str">
        <f t="shared" si="45"/>
        <v>120-12-7</v>
      </c>
      <c r="D302" s="332">
        <f>CONVERT(INDEX('Screening Emission Calculations'!$I$4:$I$54,MATCH($C302,'Screening Emission Calculations'!$C$4:$C$54,0)),"lbm","g")/8760/3600</f>
        <v>9.1795725538408769E-8</v>
      </c>
      <c r="E302" s="86">
        <f>CONVERT(INDEX('Screening Emission Calculations'!$I$83:$I$133,MATCH($C302,'Screening Emission Calculations'!$C$83:$C$133,0)),"lbm","g")/24/3600</f>
        <v>7.9300236875048574E-6</v>
      </c>
      <c r="F302" s="84">
        <f t="shared" si="46"/>
        <v>0</v>
      </c>
      <c r="G302" s="85">
        <f t="shared" si="46"/>
        <v>0</v>
      </c>
      <c r="H302" s="85">
        <f t="shared" si="46"/>
        <v>0</v>
      </c>
      <c r="I302" s="85">
        <f t="shared" si="46"/>
        <v>0</v>
      </c>
      <c r="J302" s="85">
        <f t="shared" si="46"/>
        <v>0</v>
      </c>
      <c r="K302" s="85">
        <f t="shared" si="46"/>
        <v>0</v>
      </c>
      <c r="L302" s="86">
        <f t="shared" si="47"/>
        <v>0</v>
      </c>
    </row>
    <row r="303" spans="1:12" x14ac:dyDescent="0.2">
      <c r="B303" s="133" t="s">
        <v>19</v>
      </c>
      <c r="C303" s="131" t="str">
        <f t="shared" si="45"/>
        <v>7440-36-0</v>
      </c>
      <c r="D303" s="332">
        <f>CONVERT(INDEX('Screening Emission Calculations'!$I$4:$I$54,MATCH($C303,'Screening Emission Calculations'!$C$4:$C$54,0)),"lbm","g")/8760/3600</f>
        <v>6.3568824989903015E-8</v>
      </c>
      <c r="E303" s="86">
        <f>CONVERT(INDEX('Screening Emission Calculations'!$I$83:$I$133,MATCH($C303,'Screening Emission Calculations'!$C$83:$C$133,0)),"lbm","g")/24/3600</f>
        <v>5.5686290691155038E-6</v>
      </c>
      <c r="F303" s="84">
        <f t="shared" si="46"/>
        <v>0</v>
      </c>
      <c r="G303" s="85">
        <f t="shared" si="46"/>
        <v>2.1189608329967673E-7</v>
      </c>
      <c r="H303" s="85">
        <f t="shared" si="46"/>
        <v>0</v>
      </c>
      <c r="I303" s="85">
        <f t="shared" si="46"/>
        <v>4.889909614607924E-8</v>
      </c>
      <c r="J303" s="85">
        <f t="shared" si="46"/>
        <v>0</v>
      </c>
      <c r="K303" s="85">
        <f t="shared" si="46"/>
        <v>4.889909614607924E-8</v>
      </c>
      <c r="L303" s="86">
        <f t="shared" si="47"/>
        <v>5.5686290691155038E-6</v>
      </c>
    </row>
    <row r="304" spans="1:12" x14ac:dyDescent="0.2">
      <c r="B304" s="133" t="s">
        <v>21</v>
      </c>
      <c r="C304" s="131" t="str">
        <f t="shared" si="45"/>
        <v>7440-38-2</v>
      </c>
      <c r="D304" s="332">
        <f>CONVERT(INDEX('Screening Emission Calculations'!$I$4:$I$54,MATCH($C304,'Screening Emission Calculations'!$C$4:$C$54,0)),"lbm","g")/8760/3600</f>
        <v>5.5310821490367071E-8</v>
      </c>
      <c r="E304" s="86">
        <f>CONVERT(INDEX('Screening Emission Calculations'!$I$83:$I$133,MATCH($C304,'Screening Emission Calculations'!$C$83:$C$133,0)),"lbm","g")/24/3600</f>
        <v>4.845227962556157E-6</v>
      </c>
      <c r="F304" s="84">
        <f t="shared" si="46"/>
        <v>2.3046175620986277E-3</v>
      </c>
      <c r="G304" s="85">
        <f t="shared" si="46"/>
        <v>3.2535777347274746E-4</v>
      </c>
      <c r="H304" s="85">
        <f t="shared" si="46"/>
        <v>4.2546785761820826E-5</v>
      </c>
      <c r="I304" s="85">
        <f t="shared" si="46"/>
        <v>2.3046175620986282E-5</v>
      </c>
      <c r="J304" s="85">
        <f t="shared" si="46"/>
        <v>8.9211002403817851E-5</v>
      </c>
      <c r="K304" s="85">
        <f t="shared" si="46"/>
        <v>2.3046175620986282E-5</v>
      </c>
      <c r="L304" s="86">
        <f t="shared" si="47"/>
        <v>2.4226139812780783E-5</v>
      </c>
    </row>
    <row r="305" spans="2:12" x14ac:dyDescent="0.2">
      <c r="B305" s="133" t="s">
        <v>23</v>
      </c>
      <c r="C305" s="131" t="str">
        <f t="shared" si="45"/>
        <v>7440-39-3</v>
      </c>
      <c r="D305" s="332">
        <f>CONVERT(INDEX('Screening Emission Calculations'!$I$4:$I$54,MATCH($C305,'Screening Emission Calculations'!$C$4:$C$54,0)),"lbm","g")/8760/3600</f>
        <v>7.4698025048505987E-8</v>
      </c>
      <c r="E305" s="86">
        <f>CONVERT(INDEX('Screening Emission Calculations'!$I$83:$I$133,MATCH($C305,'Screening Emission Calculations'!$C$83:$C$133,0)),"lbm","g")/24/3600</f>
        <v>6.5435469942491269E-6</v>
      </c>
      <c r="F305" s="84">
        <f t="shared" si="46"/>
        <v>0</v>
      </c>
      <c r="G305" s="85">
        <f t="shared" si="46"/>
        <v>0</v>
      </c>
      <c r="H305" s="85">
        <f t="shared" si="46"/>
        <v>0</v>
      </c>
      <c r="I305" s="85">
        <f t="shared" si="46"/>
        <v>0</v>
      </c>
      <c r="J305" s="85">
        <f t="shared" si="46"/>
        <v>0</v>
      </c>
      <c r="K305" s="85">
        <f t="shared" si="46"/>
        <v>0</v>
      </c>
      <c r="L305" s="86">
        <f t="shared" si="47"/>
        <v>0</v>
      </c>
    </row>
    <row r="306" spans="2:12" x14ac:dyDescent="0.2">
      <c r="B306" s="133" t="s">
        <v>133</v>
      </c>
      <c r="C306" s="131" t="str">
        <f t="shared" si="45"/>
        <v>56-55-3</v>
      </c>
      <c r="D306" s="332">
        <f>CONVERT(INDEX('Screening Emission Calculations'!$I$4:$I$54,MATCH($C306,'Screening Emission Calculations'!$C$4:$C$54,0)),"lbm","g")/8760/3600</f>
        <v>9.8561922082386882E-9</v>
      </c>
      <c r="E306" s="86">
        <f>CONVERT(INDEX('Screening Emission Calculations'!$I$83:$I$133,MATCH($C306,'Screening Emission Calculations'!$C$83:$C$133,0)),"lbm","g")/24/3600</f>
        <v>8.514539998622298E-7</v>
      </c>
      <c r="F306" s="84">
        <f t="shared" ref="F306:K315" si="48">IF(INDEX($B$6:$L$56,MATCH($C306,$C$6:$C$56,0),MATCH(F$295,$B$5:$L$5,0))="",0,$D306/INDEX($B$6:$L$56,MATCH($C306,$C$6:$C$56,0),MATCH(F$295,$B$5:$L$5,0)))</f>
        <v>4.6934248610660421E-5</v>
      </c>
      <c r="G306" s="85">
        <f t="shared" si="48"/>
        <v>0</v>
      </c>
      <c r="H306" s="85">
        <f t="shared" si="48"/>
        <v>1.2636143856716267E-6</v>
      </c>
      <c r="I306" s="85">
        <f t="shared" si="48"/>
        <v>0</v>
      </c>
      <c r="J306" s="85">
        <f t="shared" si="48"/>
        <v>6.5707948054924594E-7</v>
      </c>
      <c r="K306" s="85">
        <f t="shared" si="48"/>
        <v>0</v>
      </c>
      <c r="L306" s="86">
        <f t="shared" si="47"/>
        <v>0</v>
      </c>
    </row>
    <row r="307" spans="2:12" ht="13.5" customHeight="1" x14ac:dyDescent="0.2">
      <c r="B307" s="133" t="s">
        <v>27</v>
      </c>
      <c r="C307" s="131" t="str">
        <f t="shared" si="45"/>
        <v>71-43-2</v>
      </c>
      <c r="D307" s="332">
        <f>CONVERT(INDEX('Screening Emission Calculations'!$I$4:$I$54,MATCH($C307,'Screening Emission Calculations'!$C$4:$C$54,0)),"lbm","g")/8760/3600</f>
        <v>3.7827740744816026E-5</v>
      </c>
      <c r="E307" s="86">
        <f>CONVERT(INDEX('Screening Emission Calculations'!$I$83:$I$133,MATCH($C307,'Screening Emission Calculations'!$C$83:$C$133,0)),"lbm","g")/24/3600</f>
        <v>3.2678523797458241E-3</v>
      </c>
      <c r="F307" s="84">
        <f t="shared" si="48"/>
        <v>2.9098262111396941E-4</v>
      </c>
      <c r="G307" s="85">
        <f t="shared" si="48"/>
        <v>1.2609246914938676E-5</v>
      </c>
      <c r="H307" s="85">
        <f t="shared" si="48"/>
        <v>1.1462951740853342E-5</v>
      </c>
      <c r="I307" s="85">
        <f t="shared" si="48"/>
        <v>2.9098262111396943E-6</v>
      </c>
      <c r="J307" s="85">
        <f t="shared" si="48"/>
        <v>2.5218493829877352E-5</v>
      </c>
      <c r="K307" s="85">
        <f t="shared" si="48"/>
        <v>2.9098262111396943E-6</v>
      </c>
      <c r="L307" s="86">
        <f t="shared" si="47"/>
        <v>1.1268456481882152E-4</v>
      </c>
    </row>
    <row r="308" spans="2:12" ht="13.5" customHeight="1" x14ac:dyDescent="0.2">
      <c r="B308" s="133" t="s">
        <v>190</v>
      </c>
      <c r="C308" s="131" t="str">
        <f t="shared" si="45"/>
        <v>50-32-8</v>
      </c>
      <c r="D308" s="332">
        <f>CONVERT(INDEX('Screening Emission Calculations'!$I$4:$I$54,MATCH($C308,'Screening Emission Calculations'!$C$4:$C$54,0)),"lbm","g")/8760/3600</f>
        <v>2.9208858250515529E-9</v>
      </c>
      <c r="E308" s="86">
        <f>CONVERT(INDEX('Screening Emission Calculations'!$I$83:$I$133,MATCH($C308,'Screening Emission Calculations'!$C$83:$C$133,0)),"lbm","g")/24/3600</f>
        <v>2.5232867484079475E-7</v>
      </c>
      <c r="F308" s="84">
        <f t="shared" si="48"/>
        <v>6.7927577326780297E-5</v>
      </c>
      <c r="G308" s="85">
        <f t="shared" si="48"/>
        <v>1.4604429125257765E-6</v>
      </c>
      <c r="H308" s="85">
        <f t="shared" si="48"/>
        <v>1.8255536406572206E-6</v>
      </c>
      <c r="I308" s="85">
        <f t="shared" si="48"/>
        <v>3.3191884375585828E-7</v>
      </c>
      <c r="J308" s="85">
        <f t="shared" si="48"/>
        <v>9.7362860835051758E-7</v>
      </c>
      <c r="K308" s="85">
        <f t="shared" si="48"/>
        <v>3.3191884375585828E-7</v>
      </c>
      <c r="L308" s="86">
        <f t="shared" si="47"/>
        <v>1.2616433742039738E-4</v>
      </c>
    </row>
    <row r="309" spans="2:12" x14ac:dyDescent="0.2">
      <c r="B309" s="133" t="s">
        <v>135</v>
      </c>
      <c r="C309" s="131" t="str">
        <f t="shared" si="45"/>
        <v>205-99-2</v>
      </c>
      <c r="D309" s="332">
        <f>CONVERT(INDEX('Screening Emission Calculations'!$I$4:$I$54,MATCH($C309,'Screening Emission Calculations'!$C$4:$C$54,0)),"lbm","g")/8760/3600</f>
        <v>9.0058811316768533E-9</v>
      </c>
      <c r="E309" s="86">
        <f>CONVERT(INDEX('Screening Emission Calculations'!$I$83:$I$133,MATCH($C309,'Screening Emission Calculations'!$C$83:$C$133,0)),"lbm","g")/24/3600</f>
        <v>7.7799756232841749E-7</v>
      </c>
      <c r="F309" s="84">
        <f t="shared" si="48"/>
        <v>1.6992228550333685E-4</v>
      </c>
      <c r="G309" s="85">
        <f t="shared" si="48"/>
        <v>0</v>
      </c>
      <c r="H309" s="85">
        <f t="shared" si="48"/>
        <v>4.5029405658384264E-6</v>
      </c>
      <c r="I309" s="85">
        <f t="shared" si="48"/>
        <v>0</v>
      </c>
      <c r="J309" s="85">
        <f t="shared" si="48"/>
        <v>2.3699687188623299E-6</v>
      </c>
      <c r="K309" s="85">
        <f t="shared" si="48"/>
        <v>0</v>
      </c>
      <c r="L309" s="86">
        <f t="shared" si="47"/>
        <v>0</v>
      </c>
    </row>
    <row r="310" spans="2:12" x14ac:dyDescent="0.2">
      <c r="B310" s="133" t="s">
        <v>136</v>
      </c>
      <c r="C310" s="131" t="str">
        <f t="shared" si="45"/>
        <v>192-97-2</v>
      </c>
      <c r="D310" s="332">
        <f>CONVERT(INDEX('Screening Emission Calculations'!$I$4:$I$54,MATCH($C310,'Screening Emission Calculations'!$C$4:$C$54,0)),"lbm","g")/8760/3600</f>
        <v>6.6738235101822946E-9</v>
      </c>
      <c r="E310" s="86">
        <f>CONVERT(INDEX('Screening Emission Calculations'!$I$83:$I$133,MATCH($C310,'Screening Emission Calculations'!$C$83:$C$133,0)),"lbm","g")/24/3600</f>
        <v>5.7653641508425529E-7</v>
      </c>
      <c r="F310" s="84">
        <f t="shared" si="48"/>
        <v>0</v>
      </c>
      <c r="G310" s="85">
        <f t="shared" si="48"/>
        <v>0</v>
      </c>
      <c r="H310" s="85">
        <f t="shared" si="48"/>
        <v>0</v>
      </c>
      <c r="I310" s="85">
        <f t="shared" si="48"/>
        <v>0</v>
      </c>
      <c r="J310" s="85">
        <f t="shared" si="48"/>
        <v>0</v>
      </c>
      <c r="K310" s="85">
        <f t="shared" si="48"/>
        <v>0</v>
      </c>
      <c r="L310" s="86">
        <f t="shared" si="47"/>
        <v>0</v>
      </c>
    </row>
    <row r="311" spans="2:12" x14ac:dyDescent="0.2">
      <c r="B311" s="133" t="s">
        <v>137</v>
      </c>
      <c r="C311" s="131" t="str">
        <f t="shared" si="45"/>
        <v>191-24-2</v>
      </c>
      <c r="D311" s="332">
        <f>CONVERT(INDEX('Screening Emission Calculations'!$I$4:$I$54,MATCH($C311,'Screening Emission Calculations'!$C$4:$C$54,0)),"lbm","g")/8760/3600</f>
        <v>4.4415206679367875E-9</v>
      </c>
      <c r="E311" s="86">
        <f>CONVERT(INDEX('Screening Emission Calculations'!$I$83:$I$133,MATCH($C311,'Screening Emission Calculations'!$C$83:$C$133,0)),"lbm","g")/24/3600</f>
        <v>3.8369285605291013E-7</v>
      </c>
      <c r="F311" s="84">
        <f t="shared" si="48"/>
        <v>9.4500439743335902E-7</v>
      </c>
      <c r="G311" s="85">
        <f t="shared" si="48"/>
        <v>0</v>
      </c>
      <c r="H311" s="85">
        <f t="shared" si="48"/>
        <v>2.6126592164334042E-8</v>
      </c>
      <c r="I311" s="85">
        <f t="shared" si="48"/>
        <v>0</v>
      </c>
      <c r="J311" s="85">
        <f t="shared" si="48"/>
        <v>1.3063296082167021E-8</v>
      </c>
      <c r="K311" s="85">
        <f t="shared" si="48"/>
        <v>0</v>
      </c>
      <c r="L311" s="86">
        <f t="shared" si="47"/>
        <v>0</v>
      </c>
    </row>
    <row r="312" spans="2:12" x14ac:dyDescent="0.2">
      <c r="B312" s="133" t="s">
        <v>138</v>
      </c>
      <c r="C312" s="131" t="str">
        <f t="shared" si="45"/>
        <v>207-08-9</v>
      </c>
      <c r="D312" s="332">
        <f>CONVERT(INDEX('Screening Emission Calculations'!$I$4:$I$54,MATCH($C312,'Screening Emission Calculations'!$C$4:$C$54,0)),"lbm","g")/8760/3600</f>
        <v>2.6506543565416771E-9</v>
      </c>
      <c r="E312" s="86">
        <f>CONVERT(INDEX('Screening Emission Calculations'!$I$83:$I$133,MATCH($C312,'Screening Emission Calculations'!$C$83:$C$133,0)),"lbm","g")/24/3600</f>
        <v>2.2898399366066829E-7</v>
      </c>
      <c r="F312" s="84">
        <f t="shared" si="48"/>
        <v>1.8933245403869122E-6</v>
      </c>
      <c r="G312" s="85">
        <f t="shared" si="48"/>
        <v>0</v>
      </c>
      <c r="H312" s="85">
        <f t="shared" si="48"/>
        <v>5.0974122241186103E-8</v>
      </c>
      <c r="I312" s="85">
        <f t="shared" si="48"/>
        <v>0</v>
      </c>
      <c r="J312" s="85">
        <f t="shared" si="48"/>
        <v>2.650654356541677E-8</v>
      </c>
      <c r="K312" s="85">
        <f t="shared" si="48"/>
        <v>0</v>
      </c>
      <c r="L312" s="86">
        <f t="shared" si="47"/>
        <v>0</v>
      </c>
    </row>
    <row r="313" spans="2:12" x14ac:dyDescent="0.2">
      <c r="B313" s="133" t="s">
        <v>39</v>
      </c>
      <c r="C313" s="131" t="str">
        <f t="shared" si="45"/>
        <v>7440-41-7</v>
      </c>
      <c r="D313" s="332">
        <f>CONVERT(INDEX('Screening Emission Calculations'!$I$4:$I$54,MATCH($C313,'Screening Emission Calculations'!$C$4:$C$54,0)),"lbm","g")/8760/3600</f>
        <v>9.5314023439143742E-10</v>
      </c>
      <c r="E313" s="86">
        <f>CONVERT(INDEX('Screening Emission Calculations'!$I$83:$I$133,MATCH($C313,'Screening Emission Calculations'!$C$83:$C$133,0)),"lbm","g")/24/3600</f>
        <v>8.3495084532689909E-8</v>
      </c>
      <c r="F313" s="84">
        <f t="shared" si="48"/>
        <v>2.2693815104558031E-6</v>
      </c>
      <c r="G313" s="85">
        <f t="shared" si="48"/>
        <v>1.361628906273482E-7</v>
      </c>
      <c r="H313" s="85">
        <f t="shared" si="48"/>
        <v>8.6649112217403413E-8</v>
      </c>
      <c r="I313" s="85">
        <f t="shared" si="48"/>
        <v>3.0746459173917338E-8</v>
      </c>
      <c r="J313" s="85">
        <f t="shared" si="48"/>
        <v>1.9062804687828747E-7</v>
      </c>
      <c r="K313" s="85">
        <f t="shared" si="48"/>
        <v>3.0746459173917338E-8</v>
      </c>
      <c r="L313" s="86">
        <f t="shared" si="47"/>
        <v>4.1747542266344954E-6</v>
      </c>
    </row>
    <row r="314" spans="2:12" x14ac:dyDescent="0.2">
      <c r="B314" s="133" t="s">
        <v>41</v>
      </c>
      <c r="C314" s="131" t="str">
        <f t="shared" si="45"/>
        <v>7440-43-9</v>
      </c>
      <c r="D314" s="332">
        <f>CONVERT(INDEX('Screening Emission Calculations'!$I$4:$I$54,MATCH($C314,'Screening Emission Calculations'!$C$4:$C$54,0)),"lbm","g")/8760/3600</f>
        <v>1.6138236134719142E-8</v>
      </c>
      <c r="E314" s="86">
        <f>CONVERT(INDEX('Screening Emission Calculations'!$I$83:$I$133,MATCH($C314,'Screening Emission Calculations'!$C$83:$C$133,0)),"lbm","g")/24/3600</f>
        <v>1.4137094854013965E-6</v>
      </c>
      <c r="F314" s="84">
        <f t="shared" si="48"/>
        <v>2.881827881199847E-5</v>
      </c>
      <c r="G314" s="85">
        <f t="shared" si="48"/>
        <v>3.2276472269438283E-6</v>
      </c>
      <c r="H314" s="85">
        <f t="shared" si="48"/>
        <v>1.1527311524799387E-6</v>
      </c>
      <c r="I314" s="85">
        <f t="shared" si="48"/>
        <v>4.3616854418159844E-7</v>
      </c>
      <c r="J314" s="85">
        <f t="shared" si="48"/>
        <v>2.4086919604058418E-6</v>
      </c>
      <c r="K314" s="85">
        <f t="shared" si="48"/>
        <v>4.3616854418159844E-7</v>
      </c>
      <c r="L314" s="86">
        <f t="shared" si="47"/>
        <v>4.7123649513379884E-5</v>
      </c>
    </row>
    <row r="315" spans="2:12" x14ac:dyDescent="0.2">
      <c r="B315" s="133" t="s">
        <v>43</v>
      </c>
      <c r="C315" s="131" t="str">
        <f t="shared" si="45"/>
        <v>108-90-7</v>
      </c>
      <c r="D315" s="332">
        <f>CONVERT(INDEX('Screening Emission Calculations'!$I$4:$I$54,MATCH($C315,'Screening Emission Calculations'!$C$4:$C$54,0)),"lbm","g")/8760/3600</f>
        <v>4.0609490869367711E-8</v>
      </c>
      <c r="E315" s="86">
        <f>CONVERT(INDEX('Screening Emission Calculations'!$I$83:$I$133,MATCH($C315,'Screening Emission Calculations'!$C$83:$C$133,0)),"lbm","g")/24/3600</f>
        <v>3.5081614382671222E-6</v>
      </c>
      <c r="F315" s="84">
        <f t="shared" si="48"/>
        <v>0</v>
      </c>
      <c r="G315" s="85">
        <f t="shared" si="48"/>
        <v>8.1218981738735426E-10</v>
      </c>
      <c r="H315" s="85">
        <f t="shared" si="48"/>
        <v>0</v>
      </c>
      <c r="I315" s="85">
        <f t="shared" si="48"/>
        <v>1.8458859486076232E-10</v>
      </c>
      <c r="J315" s="85">
        <f t="shared" si="48"/>
        <v>0</v>
      </c>
      <c r="K315" s="85">
        <f t="shared" si="48"/>
        <v>1.8458859486076232E-10</v>
      </c>
      <c r="L315" s="86">
        <f t="shared" si="47"/>
        <v>0</v>
      </c>
    </row>
    <row r="316" spans="2:12" x14ac:dyDescent="0.2">
      <c r="B316" s="133" t="s">
        <v>139</v>
      </c>
      <c r="C316" s="131" t="str">
        <f t="shared" si="45"/>
        <v>218-01-9</v>
      </c>
      <c r="D316" s="332">
        <f>CONVERT(INDEX('Screening Emission Calculations'!$I$4:$I$54,MATCH($C316,'Screening Emission Calculations'!$C$4:$C$54,0)),"lbm","g")/8760/3600</f>
        <v>1.3604161808144593E-8</v>
      </c>
      <c r="E316" s="86">
        <f>CONVERT(INDEX('Screening Emission Calculations'!$I$83:$I$133,MATCH($C316,'Screening Emission Calculations'!$C$83:$C$133,0)),"lbm","g")/24/3600</f>
        <v>1.1752325585366857E-6</v>
      </c>
      <c r="F316" s="84">
        <f t="shared" ref="F316:K325" si="49">IF(INDEX($B$6:$L$56,MATCH($C316,$C$6:$C$56,0),MATCH(F$295,$B$5:$L$5,0))="",0,$D316/INDEX($B$6:$L$56,MATCH($C316,$C$6:$C$56,0),MATCH(F$295,$B$5:$L$5,0)))</f>
        <v>3.1637585600336264E-5</v>
      </c>
      <c r="G316" s="85">
        <f t="shared" si="49"/>
        <v>0</v>
      </c>
      <c r="H316" s="85">
        <f t="shared" si="49"/>
        <v>8.5026011300903708E-7</v>
      </c>
      <c r="I316" s="85">
        <f t="shared" si="49"/>
        <v>0</v>
      </c>
      <c r="J316" s="85">
        <f t="shared" si="49"/>
        <v>4.5347206027148645E-7</v>
      </c>
      <c r="K316" s="85">
        <f t="shared" si="49"/>
        <v>0</v>
      </c>
      <c r="L316" s="86">
        <f t="shared" si="47"/>
        <v>0</v>
      </c>
    </row>
    <row r="317" spans="2:12" x14ac:dyDescent="0.2">
      <c r="B317" s="133" t="s">
        <v>47</v>
      </c>
      <c r="C317" s="131" t="str">
        <f t="shared" si="45"/>
        <v>7440-48-4</v>
      </c>
      <c r="D317" s="332">
        <f>CONVERT(INDEX('Screening Emission Calculations'!$I$4:$I$54,MATCH($C317,'Screening Emission Calculations'!$C$4:$C$54,0)),"lbm","g")/8760/3600</f>
        <v>3.1468302030986786E-9</v>
      </c>
      <c r="E317" s="86">
        <f>CONVERT(INDEX('Screening Emission Calculations'!$I$83:$I$133,MATCH($C317,'Screening Emission Calculations'!$C$83:$C$133,0)),"lbm","g")/24/3600</f>
        <v>2.7566232579144428E-7</v>
      </c>
      <c r="F317" s="84">
        <f t="shared" si="49"/>
        <v>0</v>
      </c>
      <c r="G317" s="85">
        <f t="shared" si="49"/>
        <v>3.1468302030986786E-8</v>
      </c>
      <c r="H317" s="85">
        <f t="shared" si="49"/>
        <v>0</v>
      </c>
      <c r="I317" s="85">
        <f t="shared" si="49"/>
        <v>7.1518868252242694E-9</v>
      </c>
      <c r="J317" s="85">
        <f t="shared" si="49"/>
        <v>0</v>
      </c>
      <c r="K317" s="85">
        <f t="shared" si="49"/>
        <v>7.1518868252242694E-9</v>
      </c>
      <c r="L317" s="86">
        <f t="shared" si="47"/>
        <v>0</v>
      </c>
    </row>
    <row r="318" spans="2:12" x14ac:dyDescent="0.2">
      <c r="B318" s="133" t="s">
        <v>49</v>
      </c>
      <c r="C318" s="131" t="str">
        <f t="shared" si="45"/>
        <v>7440-50-8</v>
      </c>
      <c r="D318" s="332">
        <f>CONVERT(INDEX('Screening Emission Calculations'!$I$4:$I$54,MATCH($C318,'Screening Emission Calculations'!$C$4:$C$54,0)),"lbm","g")/8760/3600</f>
        <v>1.0031873641279827E-7</v>
      </c>
      <c r="E318" s="86">
        <f>CONVERT(INDEX('Screening Emission Calculations'!$I$83:$I$133,MATCH($C318,'Screening Emission Calculations'!$C$83:$C$133,0)),"lbm","g")/24/3600</f>
        <v>8.787921309761128E-6</v>
      </c>
      <c r="F318" s="84">
        <f t="shared" si="49"/>
        <v>0</v>
      </c>
      <c r="G318" s="85">
        <f t="shared" si="49"/>
        <v>0</v>
      </c>
      <c r="H318" s="85">
        <f t="shared" si="49"/>
        <v>0</v>
      </c>
      <c r="I318" s="85">
        <f t="shared" si="49"/>
        <v>0</v>
      </c>
      <c r="J318" s="85">
        <f t="shared" si="49"/>
        <v>0</v>
      </c>
      <c r="K318" s="85">
        <f t="shared" si="49"/>
        <v>0</v>
      </c>
      <c r="L318" s="86">
        <f t="shared" si="47"/>
        <v>8.7879213097611277E-8</v>
      </c>
    </row>
    <row r="319" spans="2:12" x14ac:dyDescent="0.2">
      <c r="B319" s="135" t="s">
        <v>140</v>
      </c>
      <c r="C319" s="131" t="str">
        <f t="shared" si="45"/>
        <v>53-70-3</v>
      </c>
      <c r="D319" s="332">
        <f>CONVERT(INDEX('Screening Emission Calculations'!$I$4:$I$54,MATCH($C319,'Screening Emission Calculations'!$C$4:$C$54,0)),"lbm","g")/8760/3600</f>
        <v>2.1055750312132921E-10</v>
      </c>
      <c r="E319" s="86">
        <f>CONVERT(INDEX('Screening Emission Calculations'!$I$83:$I$133,MATCH($C319,'Screening Emission Calculations'!$C$83:$C$133,0)),"lbm","g")/24/3600</f>
        <v>1.8189583202710011E-8</v>
      </c>
      <c r="F319" s="84">
        <f t="shared" si="49"/>
        <v>4.8966861191006791E-5</v>
      </c>
      <c r="G319" s="85">
        <f t="shared" si="49"/>
        <v>0</v>
      </c>
      <c r="H319" s="85">
        <f t="shared" si="49"/>
        <v>1.3159843945083073E-6</v>
      </c>
      <c r="I319" s="85">
        <f t="shared" si="49"/>
        <v>0</v>
      </c>
      <c r="J319" s="85">
        <f t="shared" si="49"/>
        <v>7.0185834373776409E-7</v>
      </c>
      <c r="K319" s="85">
        <f t="shared" si="49"/>
        <v>0</v>
      </c>
      <c r="L319" s="86">
        <f t="shared" si="47"/>
        <v>0</v>
      </c>
    </row>
    <row r="320" spans="2:12" x14ac:dyDescent="0.2">
      <c r="B320" s="133" t="s">
        <v>191</v>
      </c>
      <c r="C320" s="131">
        <f t="shared" si="45"/>
        <v>200</v>
      </c>
      <c r="D320" s="332">
        <f>CONVERT(INDEX('Screening Emission Calculations'!$I$4:$I$54,MATCH($C320,'Screening Emission Calculations'!$C$4:$C$54,0)),"lbm","g")/8760/3600</f>
        <v>4.7472494826290854E-3</v>
      </c>
      <c r="E320" s="86">
        <f>CONVERT(INDEX('Screening Emission Calculations'!$I$83:$I$133,MATCH($C320,'Screening Emission Calculations'!$C$83:$C$133,0)),"lbm","g")/24/3600</f>
        <v>0.41010407213342659</v>
      </c>
      <c r="F320" s="84">
        <f t="shared" si="49"/>
        <v>4.7472494826290852E-2</v>
      </c>
      <c r="G320" s="85">
        <f t="shared" si="49"/>
        <v>9.4944989652581712E-4</v>
      </c>
      <c r="H320" s="85">
        <f t="shared" si="49"/>
        <v>1.8258651856265713E-3</v>
      </c>
      <c r="I320" s="85">
        <f t="shared" si="49"/>
        <v>2.1578406739223115E-4</v>
      </c>
      <c r="J320" s="85">
        <f t="shared" si="49"/>
        <v>3.9560412355242377E-3</v>
      </c>
      <c r="K320" s="85">
        <f t="shared" si="49"/>
        <v>2.1578406739223115E-4</v>
      </c>
      <c r="L320" s="86">
        <f t="shared" si="47"/>
        <v>0</v>
      </c>
    </row>
    <row r="321" spans="2:12" x14ac:dyDescent="0.2">
      <c r="B321" s="133" t="s">
        <v>53</v>
      </c>
      <c r="C321" s="131" t="str">
        <f t="shared" si="45"/>
        <v>100-41-4</v>
      </c>
      <c r="D321" s="332">
        <f>CONVERT(INDEX('Screening Emission Calculations'!$I$4:$I$54,MATCH($C321,'Screening Emission Calculations'!$C$4:$C$54,0)),"lbm","g")/8760/3600</f>
        <v>2.2132172523805399E-6</v>
      </c>
      <c r="E321" s="86">
        <f>CONVERT(INDEX('Screening Emission Calculations'!$I$83:$I$133,MATCH($C321,'Screening Emission Calculations'!$C$83:$C$133,0)),"lbm","g")/24/3600</f>
        <v>1.9119479838555821E-4</v>
      </c>
      <c r="F321" s="84">
        <f t="shared" si="49"/>
        <v>5.533043130951349E-6</v>
      </c>
      <c r="G321" s="85">
        <f t="shared" si="49"/>
        <v>8.5123740476174614E-9</v>
      </c>
      <c r="H321" s="85">
        <f t="shared" si="49"/>
        <v>2.2132172523805399E-7</v>
      </c>
      <c r="I321" s="85">
        <f t="shared" si="49"/>
        <v>2.0120156839823089E-9</v>
      </c>
      <c r="J321" s="85">
        <f t="shared" si="49"/>
        <v>4.6108692757927914E-7</v>
      </c>
      <c r="K321" s="85">
        <f t="shared" si="49"/>
        <v>2.0120156839823089E-9</v>
      </c>
      <c r="L321" s="86">
        <f t="shared" si="47"/>
        <v>8.6906726538890101E-9</v>
      </c>
    </row>
    <row r="322" spans="2:12" x14ac:dyDescent="0.2">
      <c r="B322" s="137" t="s">
        <v>141</v>
      </c>
      <c r="C322" s="131" t="str">
        <f t="shared" si="45"/>
        <v>206-44-0</v>
      </c>
      <c r="D322" s="332">
        <f>CONVERT(INDEX('Screening Emission Calculations'!$I$4:$I$54,MATCH($C322,'Screening Emission Calculations'!$C$4:$C$54,0)),"lbm","g")/8760/3600</f>
        <v>7.51180674488063E-8</v>
      </c>
      <c r="E322" s="86">
        <f>CONVERT(INDEX('Screening Emission Calculations'!$I$83:$I$133,MATCH($C322,'Screening Emission Calculations'!$C$83:$C$133,0)),"lbm","g")/24/3600</f>
        <v>6.4892787843304995E-6</v>
      </c>
      <c r="F322" s="84">
        <f t="shared" si="49"/>
        <v>1.417322027335968E-4</v>
      </c>
      <c r="G322" s="85">
        <f t="shared" si="49"/>
        <v>0</v>
      </c>
      <c r="H322" s="85">
        <f t="shared" si="49"/>
        <v>3.7559033724403151E-6</v>
      </c>
      <c r="I322" s="85">
        <f t="shared" si="49"/>
        <v>0</v>
      </c>
      <c r="J322" s="85">
        <f t="shared" si="49"/>
        <v>1.9767912486527976E-6</v>
      </c>
      <c r="K322" s="85">
        <f t="shared" si="49"/>
        <v>0</v>
      </c>
      <c r="L322" s="86">
        <f t="shared" si="47"/>
        <v>0</v>
      </c>
    </row>
    <row r="323" spans="2:12" x14ac:dyDescent="0.2">
      <c r="B323" s="137" t="s">
        <v>142</v>
      </c>
      <c r="C323" s="131" t="str">
        <f t="shared" si="45"/>
        <v>86-73-7</v>
      </c>
      <c r="D323" s="332">
        <f>CONVERT(INDEX('Screening Emission Calculations'!$I$4:$I$54,MATCH($C323,'Screening Emission Calculations'!$C$4:$C$54,0)),"lbm","g")/8760/3600</f>
        <v>4.4353630662687067E-7</v>
      </c>
      <c r="E323" s="86">
        <f>CONVERT(INDEX('Screening Emission Calculations'!$I$83:$I$133,MATCH($C323,'Screening Emission Calculations'!$C$83:$C$133,0)),"lbm","g")/24/3600</f>
        <v>3.8316091486719917E-5</v>
      </c>
      <c r="F323" s="84">
        <f t="shared" si="49"/>
        <v>0</v>
      </c>
      <c r="G323" s="85">
        <f t="shared" si="49"/>
        <v>0</v>
      </c>
      <c r="H323" s="85">
        <f t="shared" si="49"/>
        <v>0</v>
      </c>
      <c r="I323" s="85">
        <f t="shared" si="49"/>
        <v>0</v>
      </c>
      <c r="J323" s="85">
        <f t="shared" si="49"/>
        <v>0</v>
      </c>
      <c r="K323" s="85">
        <f t="shared" si="49"/>
        <v>0</v>
      </c>
      <c r="L323" s="86">
        <f t="shared" si="47"/>
        <v>0</v>
      </c>
    </row>
    <row r="324" spans="2:12" x14ac:dyDescent="0.2">
      <c r="B324" s="133" t="s">
        <v>59</v>
      </c>
      <c r="C324" s="131" t="str">
        <f t="shared" si="45"/>
        <v>50-00-0</v>
      </c>
      <c r="D324" s="332">
        <f>CONVERT(INDEX('Screening Emission Calculations'!$I$4:$I$54,MATCH($C324,'Screening Emission Calculations'!$C$4:$C$54,0)),"lbm","g")/8760/3600</f>
        <v>5.5241623224781865E-4</v>
      </c>
      <c r="E324" s="86">
        <f>CONVERT(INDEX('Screening Emission Calculations'!$I$83:$I$133,MATCH($C324,'Screening Emission Calculations'!$C$83:$C$133,0)),"lbm","g")/24/3600</f>
        <v>4.7607995755967344E-2</v>
      </c>
      <c r="F324" s="84">
        <f t="shared" si="49"/>
        <v>3.2495072485165801E-3</v>
      </c>
      <c r="G324" s="85">
        <f t="shared" si="49"/>
        <v>6.1379581360868744E-5</v>
      </c>
      <c r="H324" s="85">
        <f t="shared" si="49"/>
        <v>1.2846889122042294E-4</v>
      </c>
      <c r="I324" s="85">
        <f t="shared" si="49"/>
        <v>1.3810405806195466E-5</v>
      </c>
      <c r="J324" s="85">
        <f t="shared" si="49"/>
        <v>2.7620811612390933E-4</v>
      </c>
      <c r="K324" s="85">
        <f t="shared" si="49"/>
        <v>1.3810405806195466E-5</v>
      </c>
      <c r="L324" s="86">
        <f t="shared" si="47"/>
        <v>9.7159175012178256E-4</v>
      </c>
    </row>
    <row r="325" spans="2:12" x14ac:dyDescent="0.2">
      <c r="B325" s="133" t="s">
        <v>61</v>
      </c>
      <c r="C325" s="131" t="str">
        <f t="shared" si="45"/>
        <v>110-54-3</v>
      </c>
      <c r="D325" s="332">
        <f>CONVERT(INDEX('Screening Emission Calculations'!$I$4:$I$54,MATCH($C325,'Screening Emission Calculations'!$C$4:$C$54,0)),"lbm","g")/8760/3600</f>
        <v>5.461976521929956E-6</v>
      </c>
      <c r="E325" s="86">
        <f>CONVERT(INDEX('Screening Emission Calculations'!$I$83:$I$133,MATCH($C325,'Screening Emission Calculations'!$C$83:$C$133,0)),"lbm","g")/24/3600</f>
        <v>4.7184771344692801E-4</v>
      </c>
      <c r="F325" s="84">
        <f t="shared" si="49"/>
        <v>0</v>
      </c>
      <c r="G325" s="85">
        <f t="shared" si="49"/>
        <v>7.8028236027570795E-9</v>
      </c>
      <c r="H325" s="85">
        <f t="shared" si="49"/>
        <v>0</v>
      </c>
      <c r="I325" s="85">
        <f t="shared" si="49"/>
        <v>1.7619279102999859E-9</v>
      </c>
      <c r="J325" s="85">
        <f t="shared" si="49"/>
        <v>0</v>
      </c>
      <c r="K325" s="85">
        <f t="shared" si="49"/>
        <v>1.7619279102999859E-9</v>
      </c>
      <c r="L325" s="86">
        <f t="shared" si="47"/>
        <v>0</v>
      </c>
    </row>
    <row r="326" spans="2:12" x14ac:dyDescent="0.2">
      <c r="B326" s="133" t="s">
        <v>143</v>
      </c>
      <c r="C326" s="131" t="str">
        <f t="shared" si="45"/>
        <v>18540-29-9</v>
      </c>
      <c r="D326" s="332">
        <f>CONVERT(INDEX('Screening Emission Calculations'!$I$4:$I$54,MATCH($C326,'Screening Emission Calculations'!$C$4:$C$54,0)),"lbm","g")/8760/3600</f>
        <v>1.2615272335534916E-8</v>
      </c>
      <c r="E326" s="86">
        <f>CONVERT(INDEX('Screening Emission Calculations'!$I$83:$I$133,MATCH($C326,'Screening Emission Calculations'!$C$83:$C$133,0)),"lbm","g")/24/3600</f>
        <v>1.1050978565928588E-6</v>
      </c>
      <c r="F326" s="84">
        <f t="shared" ref="F326:K335" si="50">IF(INDEX($B$6:$L$56,MATCH($C326,$C$6:$C$56,0),MATCH(F$295,$B$5:$L$5,0))="",0,$D326/INDEX($B$6:$L$56,MATCH($C326,$C$6:$C$56,0),MATCH(F$295,$B$5:$L$5,0)))</f>
        <v>4.0694426888822311E-4</v>
      </c>
      <c r="G326" s="85">
        <f t="shared" si="50"/>
        <v>1.51991232958252E-7</v>
      </c>
      <c r="H326" s="85">
        <f t="shared" si="50"/>
        <v>2.4260139106797917E-5</v>
      </c>
      <c r="I326" s="85">
        <f t="shared" si="50"/>
        <v>1.4335536744926042E-8</v>
      </c>
      <c r="J326" s="85">
        <f t="shared" si="50"/>
        <v>1.2615272335534917E-5</v>
      </c>
      <c r="K326" s="85">
        <f t="shared" si="50"/>
        <v>1.4335536744926042E-8</v>
      </c>
      <c r="L326" s="86">
        <f t="shared" si="47"/>
        <v>3.6836595219761962E-6</v>
      </c>
    </row>
    <row r="327" spans="2:12" x14ac:dyDescent="0.2">
      <c r="B327" s="133" t="s">
        <v>64</v>
      </c>
      <c r="C327" s="131" t="str">
        <f t="shared" si="45"/>
        <v>7647-01-0</v>
      </c>
      <c r="D327" s="332">
        <f>CONVERT(INDEX('Screening Emission Calculations'!$I$4:$I$54,MATCH($C327,'Screening Emission Calculations'!$C$4:$C$54,0)),"lbm","g")/8760/3600</f>
        <v>3.7827740744816026E-5</v>
      </c>
      <c r="E327" s="86">
        <f>CONVERT(INDEX('Screening Emission Calculations'!$I$83:$I$133,MATCH($C327,'Screening Emission Calculations'!$C$83:$C$133,0)),"lbm","g")/24/3600</f>
        <v>3.2678523797458241E-3</v>
      </c>
      <c r="F327" s="84">
        <f t="shared" si="50"/>
        <v>0</v>
      </c>
      <c r="G327" s="85">
        <f t="shared" si="50"/>
        <v>1.8913870372408014E-6</v>
      </c>
      <c r="H327" s="85">
        <f t="shared" si="50"/>
        <v>0</v>
      </c>
      <c r="I327" s="85">
        <f t="shared" si="50"/>
        <v>4.2986069028200032E-7</v>
      </c>
      <c r="J327" s="85">
        <f t="shared" si="50"/>
        <v>0</v>
      </c>
      <c r="K327" s="85">
        <f t="shared" si="50"/>
        <v>4.2986069028200032E-7</v>
      </c>
      <c r="L327" s="86">
        <f t="shared" si="47"/>
        <v>1.5561201808313448E-6</v>
      </c>
    </row>
    <row r="328" spans="2:12" x14ac:dyDescent="0.2">
      <c r="B328" s="137" t="s">
        <v>144</v>
      </c>
      <c r="C328" s="131" t="str">
        <f t="shared" ref="C328:C346" si="51">C38</f>
        <v>193-39-5</v>
      </c>
      <c r="D328" s="332">
        <f>CONVERT(INDEX('Screening Emission Calculations'!$I$4:$I$54,MATCH($C328,'Screening Emission Calculations'!$C$4:$C$54,0)),"lbm","g")/8760/3600</f>
        <v>2.1748359129911882E-9</v>
      </c>
      <c r="E328" s="86">
        <f>CONVERT(INDEX('Screening Emission Calculations'!$I$83:$I$133,MATCH($C328,'Screening Emission Calculations'!$C$83:$C$133,0)),"lbm","g")/24/3600</f>
        <v>1.8787912187959305E-7</v>
      </c>
      <c r="F328" s="84">
        <f t="shared" si="50"/>
        <v>3.5653047753953908E-6</v>
      </c>
      <c r="G328" s="85">
        <f t="shared" si="50"/>
        <v>0</v>
      </c>
      <c r="H328" s="85">
        <f t="shared" si="50"/>
        <v>9.8856177863235829E-8</v>
      </c>
      <c r="I328" s="85">
        <f t="shared" si="50"/>
        <v>0</v>
      </c>
      <c r="J328" s="85">
        <f t="shared" si="50"/>
        <v>5.0577579371888101E-8</v>
      </c>
      <c r="K328" s="85">
        <f t="shared" si="50"/>
        <v>0</v>
      </c>
      <c r="L328" s="86">
        <f t="shared" ref="L328:L346" si="52">IF(INDEX($B$6:$L$56,MATCH($C328,$C$6:$C$56,0),MATCH(L$4,$B$4:$L$4,0))="",0,$E328/INDEX($B$6:$L$56,MATCH($C328,$C$6:$C$56,0),MATCH(L$4,$B$4:$L$4,0)))</f>
        <v>0</v>
      </c>
    </row>
    <row r="329" spans="2:12" x14ac:dyDescent="0.2">
      <c r="B329" s="133" t="s">
        <v>68</v>
      </c>
      <c r="C329" s="131" t="str">
        <f t="shared" si="51"/>
        <v>7439-92-1</v>
      </c>
      <c r="D329" s="332">
        <f>CONVERT(INDEX('Screening Emission Calculations'!$I$4:$I$54,MATCH($C329,'Screening Emission Calculations'!$C$4:$C$54,0)),"lbm","g")/8760/3600</f>
        <v>7.2655866266945175E-8</v>
      </c>
      <c r="E329" s="86">
        <f>CONVERT(INDEX('Screening Emission Calculations'!$I$83:$I$133,MATCH($C329,'Screening Emission Calculations'!$C$83:$C$133,0)),"lbm","g")/24/3600</f>
        <v>6.3646538849843974E-6</v>
      </c>
      <c r="F329" s="84">
        <f t="shared" si="50"/>
        <v>0</v>
      </c>
      <c r="G329" s="85">
        <f t="shared" si="50"/>
        <v>4.8437244177963449E-7</v>
      </c>
      <c r="H329" s="85">
        <f t="shared" si="50"/>
        <v>0</v>
      </c>
      <c r="I329" s="85">
        <f t="shared" si="50"/>
        <v>1.1008464585900784E-7</v>
      </c>
      <c r="J329" s="85">
        <f t="shared" si="50"/>
        <v>0</v>
      </c>
      <c r="K329" s="85">
        <f t="shared" si="50"/>
        <v>1.1008464585900784E-7</v>
      </c>
      <c r="L329" s="86">
        <f t="shared" si="52"/>
        <v>4.2431025899895985E-5</v>
      </c>
    </row>
    <row r="330" spans="2:12" x14ac:dyDescent="0.2">
      <c r="B330" s="133" t="s">
        <v>70</v>
      </c>
      <c r="C330" s="131" t="str">
        <f t="shared" si="51"/>
        <v>7439-96-5</v>
      </c>
      <c r="D330" s="332">
        <f>CONVERT(INDEX('Screening Emission Calculations'!$I$4:$I$54,MATCH($C330,'Screening Emission Calculations'!$C$4:$C$54,0)),"lbm","g")/8760/3600</f>
        <v>8.3891959133464564E-8</v>
      </c>
      <c r="E330" s="86">
        <f>CONVERT(INDEX('Screening Emission Calculations'!$I$83:$I$133,MATCH($C330,'Screening Emission Calculations'!$C$83:$C$133,0)),"lbm","g")/24/3600</f>
        <v>7.3489356200914983E-6</v>
      </c>
      <c r="F330" s="84">
        <f t="shared" si="50"/>
        <v>0</v>
      </c>
      <c r="G330" s="85">
        <f t="shared" si="50"/>
        <v>9.3213287926071736E-7</v>
      </c>
      <c r="H330" s="85">
        <f t="shared" si="50"/>
        <v>0</v>
      </c>
      <c r="I330" s="85">
        <f t="shared" si="50"/>
        <v>2.097298978336614E-7</v>
      </c>
      <c r="J330" s="85">
        <f t="shared" si="50"/>
        <v>0</v>
      </c>
      <c r="K330" s="85">
        <f t="shared" si="50"/>
        <v>2.097298978336614E-7</v>
      </c>
      <c r="L330" s="86">
        <f t="shared" si="52"/>
        <v>2.4496452066971663E-5</v>
      </c>
    </row>
    <row r="331" spans="2:12" x14ac:dyDescent="0.2">
      <c r="B331" s="133" t="s">
        <v>72</v>
      </c>
      <c r="C331" s="131" t="str">
        <f t="shared" si="51"/>
        <v>7439-97-6</v>
      </c>
      <c r="D331" s="332">
        <f>CONVERT(INDEX('Screening Emission Calculations'!$I$4:$I$54,MATCH($C331,'Screening Emission Calculations'!$C$4:$C$54,0)),"lbm","g")/8760/3600</f>
        <v>3.0182088146121986E-9</v>
      </c>
      <c r="E331" s="86">
        <f>CONVERT(INDEX('Screening Emission Calculations'!$I$83:$I$133,MATCH($C331,'Screening Emission Calculations'!$C$83:$C$133,0)),"lbm","g")/24/3600</f>
        <v>2.6439509216002861E-7</v>
      </c>
      <c r="F331" s="84">
        <f t="shared" si="50"/>
        <v>0</v>
      </c>
      <c r="G331" s="85">
        <f t="shared" si="50"/>
        <v>3.9197517072885696E-8</v>
      </c>
      <c r="H331" s="85">
        <f t="shared" si="50"/>
        <v>0</v>
      </c>
      <c r="I331" s="85">
        <f t="shared" si="50"/>
        <v>4.7908076422415848E-9</v>
      </c>
      <c r="J331" s="85">
        <f t="shared" si="50"/>
        <v>0</v>
      </c>
      <c r="K331" s="85">
        <f t="shared" si="50"/>
        <v>4.7908076422415848E-9</v>
      </c>
      <c r="L331" s="86">
        <f t="shared" si="52"/>
        <v>4.4065848693338101E-7</v>
      </c>
    </row>
    <row r="332" spans="2:12" x14ac:dyDescent="0.2">
      <c r="B332" s="133" t="s">
        <v>145</v>
      </c>
      <c r="C332" s="131" t="str">
        <f t="shared" si="51"/>
        <v>91-57-6</v>
      </c>
      <c r="D332" s="332">
        <f>CONVERT(INDEX('Screening Emission Calculations'!$I$4:$I$54,MATCH($C332,'Screening Emission Calculations'!$C$4:$C$54,0)),"lbm","g")/8760/3600</f>
        <v>2.4970587943261776E-6</v>
      </c>
      <c r="E332" s="86">
        <f>CONVERT(INDEX('Screening Emission Calculations'!$I$83:$I$133,MATCH($C332,'Screening Emission Calculations'!$C$83:$C$133,0)),"lbm","g")/24/3600</f>
        <v>2.1571522281626883E-4</v>
      </c>
      <c r="F332" s="84">
        <f t="shared" si="50"/>
        <v>0</v>
      </c>
      <c r="G332" s="85">
        <f t="shared" si="50"/>
        <v>0</v>
      </c>
      <c r="H332" s="85">
        <f t="shared" si="50"/>
        <v>0</v>
      </c>
      <c r="I332" s="85">
        <f t="shared" si="50"/>
        <v>0</v>
      </c>
      <c r="J332" s="85">
        <f t="shared" si="50"/>
        <v>0</v>
      </c>
      <c r="K332" s="85">
        <f t="shared" si="50"/>
        <v>0</v>
      </c>
      <c r="L332" s="86">
        <f t="shared" si="52"/>
        <v>0</v>
      </c>
    </row>
    <row r="333" spans="2:12" x14ac:dyDescent="0.2">
      <c r="B333" s="133" t="s">
        <v>146</v>
      </c>
      <c r="C333" s="131" t="str">
        <f t="shared" si="51"/>
        <v>91-20-3</v>
      </c>
      <c r="D333" s="332">
        <f>CONVERT(INDEX('Screening Emission Calculations'!$I$4:$I$54,MATCH($C333,'Screening Emission Calculations'!$C$4:$C$54,0)),"lbm","g")/8760/3600</f>
        <v>5.350785931649695E-6</v>
      </c>
      <c r="E333" s="86">
        <f>CONVERT(INDEX('Screening Emission Calculations'!$I$83:$I$133,MATCH($C333,'Screening Emission Calculations'!$C$83:$C$133,0)),"lbm","g")/24/3600</f>
        <v>4.6224221156131797E-4</v>
      </c>
      <c r="F333" s="84">
        <f t="shared" si="50"/>
        <v>1.8450985971205845E-4</v>
      </c>
      <c r="G333" s="85">
        <f t="shared" si="50"/>
        <v>1.4461583599053228E-6</v>
      </c>
      <c r="H333" s="85">
        <f t="shared" si="50"/>
        <v>7.0405078048022305E-6</v>
      </c>
      <c r="I333" s="85">
        <f t="shared" si="50"/>
        <v>3.3442412072810594E-7</v>
      </c>
      <c r="J333" s="85">
        <f t="shared" si="50"/>
        <v>1.5287959804713414E-5</v>
      </c>
      <c r="K333" s="85">
        <f t="shared" si="50"/>
        <v>3.3442412072810594E-7</v>
      </c>
      <c r="L333" s="86">
        <f t="shared" si="52"/>
        <v>2.3112110578065899E-6</v>
      </c>
    </row>
    <row r="334" spans="2:12" x14ac:dyDescent="0.2">
      <c r="B334" s="133" t="s">
        <v>78</v>
      </c>
      <c r="C334" s="131">
        <f t="shared" si="51"/>
        <v>365</v>
      </c>
      <c r="D334" s="332">
        <f>CONVERT(INDEX('Screening Emission Calculations'!$I$4:$I$54,MATCH($C334,'Screening Emission Calculations'!$C$4:$C$54,0)),"lbm","g")/8760/3600</f>
        <v>3.6406563330388112E-8</v>
      </c>
      <c r="E334" s="86">
        <f>CONVERT(INDEX('Screening Emission Calculations'!$I$83:$I$133,MATCH($C334,'Screening Emission Calculations'!$C$83:$C$133,0)),"lbm","g")/24/3600</f>
        <v>3.1892149477419992E-6</v>
      </c>
      <c r="F334" s="84">
        <f t="shared" si="50"/>
        <v>9.5806745606284498E-6</v>
      </c>
      <c r="G334" s="85">
        <f t="shared" si="50"/>
        <v>2.6004688093134367E-6</v>
      </c>
      <c r="H334" s="85">
        <f t="shared" si="50"/>
        <v>3.6406563330388111E-7</v>
      </c>
      <c r="I334" s="85">
        <f t="shared" si="50"/>
        <v>5.8720263436109861E-7</v>
      </c>
      <c r="J334" s="85">
        <f t="shared" si="50"/>
        <v>7.9144702892148066E-7</v>
      </c>
      <c r="K334" s="85">
        <f t="shared" si="50"/>
        <v>5.8720263436109861E-7</v>
      </c>
      <c r="L334" s="86">
        <f t="shared" si="52"/>
        <v>1.5946074738709995E-5</v>
      </c>
    </row>
    <row r="335" spans="2:12" x14ac:dyDescent="0.2">
      <c r="B335" s="133" t="s">
        <v>147</v>
      </c>
      <c r="C335" s="131" t="str">
        <f t="shared" si="51"/>
        <v>198-55-0</v>
      </c>
      <c r="D335" s="332">
        <f>CONVERT(INDEX('Screening Emission Calculations'!$I$4:$I$54,MATCH($C335,'Screening Emission Calculations'!$C$4:$C$54,0)),"lbm","g")/8760/3600</f>
        <v>2.392399632659046E-10</v>
      </c>
      <c r="E335" s="86">
        <f>CONVERT(INDEX('Screening Emission Calculations'!$I$83:$I$133,MATCH($C335,'Screening Emission Calculations'!$C$83:$C$133,0)),"lbm","g")/24/3600</f>
        <v>2.0667395617485549E-8</v>
      </c>
      <c r="F335" s="84">
        <f t="shared" si="50"/>
        <v>0</v>
      </c>
      <c r="G335" s="85">
        <f t="shared" si="50"/>
        <v>0</v>
      </c>
      <c r="H335" s="85">
        <f t="shared" si="50"/>
        <v>0</v>
      </c>
      <c r="I335" s="85">
        <f t="shared" si="50"/>
        <v>0</v>
      </c>
      <c r="J335" s="85">
        <f t="shared" si="50"/>
        <v>0</v>
      </c>
      <c r="K335" s="85">
        <f t="shared" si="50"/>
        <v>0</v>
      </c>
      <c r="L335" s="86">
        <f t="shared" si="52"/>
        <v>0</v>
      </c>
    </row>
    <row r="336" spans="2:12" x14ac:dyDescent="0.2">
      <c r="B336" s="133" t="s">
        <v>148</v>
      </c>
      <c r="C336" s="131" t="str">
        <f t="shared" si="51"/>
        <v>85-01-8</v>
      </c>
      <c r="D336" s="332">
        <f>CONVERT(INDEX('Screening Emission Calculations'!$I$4:$I$54,MATCH($C336,'Screening Emission Calculations'!$C$4:$C$54,0)),"lbm","g")/8760/3600</f>
        <v>9.2223068123407094E-7</v>
      </c>
      <c r="E336" s="86">
        <f>CONVERT(INDEX('Screening Emission Calculations'!$I$83:$I$133,MATCH($C336,'Screening Emission Calculations'!$C$83:$C$133,0)),"lbm","g")/24/3600</f>
        <v>7.9669408402572285E-5</v>
      </c>
      <c r="F336" s="84">
        <f t="shared" ref="F336:K346" si="53">IF(INDEX($B$6:$L$56,MATCH($C336,$C$6:$C$56,0),MATCH(F$295,$B$5:$L$5,0))="",0,$D336/INDEX($B$6:$L$56,MATCH($C336,$C$6:$C$56,0),MATCH(F$295,$B$5:$L$5,0)))</f>
        <v>0</v>
      </c>
      <c r="G336" s="85">
        <f t="shared" si="53"/>
        <v>0</v>
      </c>
      <c r="H336" s="85">
        <f t="shared" si="53"/>
        <v>0</v>
      </c>
      <c r="I336" s="85">
        <f t="shared" si="53"/>
        <v>0</v>
      </c>
      <c r="J336" s="85">
        <f t="shared" si="53"/>
        <v>0</v>
      </c>
      <c r="K336" s="85">
        <f t="shared" si="53"/>
        <v>0</v>
      </c>
      <c r="L336" s="86">
        <f t="shared" si="52"/>
        <v>0</v>
      </c>
    </row>
    <row r="337" spans="1:12" x14ac:dyDescent="0.2">
      <c r="B337" s="133" t="s">
        <v>83</v>
      </c>
      <c r="C337" s="131">
        <f t="shared" si="51"/>
        <v>504</v>
      </c>
      <c r="D337" s="332">
        <f>CONVERT(INDEX('Screening Emission Calculations'!$I$4:$I$54,MATCH($C337,'Screening Emission Calculations'!$C$4:$C$54,0)),"lbm","g")/8760/3600</f>
        <v>1.678984495666628E-6</v>
      </c>
      <c r="E337" s="86">
        <f>CONVERT(INDEX('Screening Emission Calculations'!$I$83:$I$133,MATCH($C337,'Screening Emission Calculations'!$C$83:$C$133,0)),"lbm","g")/24/3600</f>
        <v>1.4707904182039661E-4</v>
      </c>
      <c r="F337" s="84">
        <f t="shared" si="53"/>
        <v>0</v>
      </c>
      <c r="G337" s="85">
        <f t="shared" si="53"/>
        <v>0</v>
      </c>
      <c r="H337" s="85">
        <f t="shared" si="53"/>
        <v>0</v>
      </c>
      <c r="I337" s="85">
        <f t="shared" si="53"/>
        <v>0</v>
      </c>
      <c r="J337" s="85">
        <f t="shared" si="53"/>
        <v>0</v>
      </c>
      <c r="K337" s="85">
        <f t="shared" si="53"/>
        <v>0</v>
      </c>
      <c r="L337" s="86">
        <f t="shared" si="52"/>
        <v>0</v>
      </c>
    </row>
    <row r="338" spans="1:12" x14ac:dyDescent="0.2">
      <c r="B338" s="133" t="s">
        <v>84</v>
      </c>
      <c r="C338" s="131" t="str">
        <f t="shared" si="51"/>
        <v>115-07-1</v>
      </c>
      <c r="D338" s="332">
        <f>CONVERT(INDEX('Screening Emission Calculations'!$I$4:$I$54,MATCH($C338,'Screening Emission Calculations'!$C$4:$C$54,0)),"lbm","g")/8760/3600</f>
        <v>9.5432303543014092E-5</v>
      </c>
      <c r="E338" s="86">
        <f>CONVERT(INDEX('Screening Emission Calculations'!$I$83:$I$133,MATCH($C338,'Screening Emission Calculations'!$C$83:$C$133,0)),"lbm","g")/24/3600</f>
        <v>8.2441793799277376E-3</v>
      </c>
      <c r="F338" s="84">
        <f t="shared" si="53"/>
        <v>0</v>
      </c>
      <c r="G338" s="85">
        <f t="shared" si="53"/>
        <v>3.1810767847671367E-8</v>
      </c>
      <c r="H338" s="85">
        <f t="shared" si="53"/>
        <v>0</v>
      </c>
      <c r="I338" s="85">
        <f t="shared" si="53"/>
        <v>7.3409464263856996E-9</v>
      </c>
      <c r="J338" s="85">
        <f t="shared" si="53"/>
        <v>0</v>
      </c>
      <c r="K338" s="85">
        <f t="shared" si="53"/>
        <v>7.3409464263856996E-9</v>
      </c>
      <c r="L338" s="86">
        <f t="shared" si="52"/>
        <v>0</v>
      </c>
    </row>
    <row r="339" spans="1:12" x14ac:dyDescent="0.2">
      <c r="B339" s="133" t="s">
        <v>149</v>
      </c>
      <c r="C339" s="131" t="str">
        <f t="shared" si="51"/>
        <v>129-00-0</v>
      </c>
      <c r="D339" s="332">
        <f>CONVERT(INDEX('Screening Emission Calculations'!$I$4:$I$54,MATCH($C339,'Screening Emission Calculations'!$C$4:$C$54,0)),"lbm","g")/8760/3600</f>
        <v>2.5380931793354813E-7</v>
      </c>
      <c r="E339" s="86">
        <f>CONVERT(INDEX('Screening Emission Calculations'!$I$83:$I$133,MATCH($C339,'Screening Emission Calculations'!$C$83:$C$133,0)),"lbm","g")/24/3600</f>
        <v>2.1926008989169516E-5</v>
      </c>
      <c r="F339" s="84">
        <f t="shared" si="53"/>
        <v>0</v>
      </c>
      <c r="G339" s="85">
        <f t="shared" si="53"/>
        <v>0</v>
      </c>
      <c r="H339" s="85">
        <f t="shared" si="53"/>
        <v>0</v>
      </c>
      <c r="I339" s="85">
        <f t="shared" si="53"/>
        <v>0</v>
      </c>
      <c r="J339" s="85">
        <f t="shared" si="53"/>
        <v>0</v>
      </c>
      <c r="K339" s="85">
        <f t="shared" si="53"/>
        <v>0</v>
      </c>
      <c r="L339" s="86">
        <f t="shared" si="52"/>
        <v>0</v>
      </c>
    </row>
    <row r="340" spans="1:12" x14ac:dyDescent="0.2">
      <c r="B340" s="133" t="s">
        <v>150</v>
      </c>
      <c r="C340" s="131">
        <f t="shared" si="51"/>
        <v>401</v>
      </c>
      <c r="D340" s="332">
        <f>CONVERT(INDEX('Screening Emission Calculations'!$I$4:$I$54,MATCH($C340,'Screening Emission Calculations'!$C$4:$C$54,0)),"lbm","g")/8760/3600</f>
        <v>0</v>
      </c>
      <c r="E340" s="86">
        <f>CONVERT(INDEX('Screening Emission Calculations'!$I$83:$I$133,MATCH($C340,'Screening Emission Calculations'!$C$83:$C$133,0)),"lbm","g")/24/3600</f>
        <v>0</v>
      </c>
      <c r="F340" s="84">
        <f t="shared" si="53"/>
        <v>0</v>
      </c>
      <c r="G340" s="85">
        <f t="shared" si="53"/>
        <v>0</v>
      </c>
      <c r="H340" s="85">
        <f t="shared" si="53"/>
        <v>0</v>
      </c>
      <c r="I340" s="85">
        <f t="shared" si="53"/>
        <v>0</v>
      </c>
      <c r="J340" s="85">
        <f t="shared" si="53"/>
        <v>0</v>
      </c>
      <c r="K340" s="85">
        <f t="shared" si="53"/>
        <v>0</v>
      </c>
      <c r="L340" s="86">
        <f t="shared" si="52"/>
        <v>0</v>
      </c>
    </row>
    <row r="341" spans="1:12" x14ac:dyDescent="0.2">
      <c r="B341" s="133" t="s">
        <v>89</v>
      </c>
      <c r="C341" s="131" t="str">
        <f t="shared" si="51"/>
        <v>7782-49-2</v>
      </c>
      <c r="D341" s="332">
        <f>CONVERT(INDEX('Screening Emission Calculations'!$I$4:$I$54,MATCH($C341,'Screening Emission Calculations'!$C$4:$C$54,0)),"lbm","g")/8760/3600</f>
        <v>7.5195354161687227E-8</v>
      </c>
      <c r="E341" s="86">
        <f>CONVERT(INDEX('Screening Emission Calculations'!$I$83:$I$133,MATCH($C341,'Screening Emission Calculations'!$C$83:$C$133,0)),"lbm","g")/24/3600</f>
        <v>6.5871130245638019E-6</v>
      </c>
      <c r="F341" s="84">
        <f t="shared" si="53"/>
        <v>0</v>
      </c>
      <c r="G341" s="85">
        <f t="shared" si="53"/>
        <v>0</v>
      </c>
      <c r="H341" s="85">
        <f t="shared" si="53"/>
        <v>0</v>
      </c>
      <c r="I341" s="85">
        <f t="shared" si="53"/>
        <v>0</v>
      </c>
      <c r="J341" s="85">
        <f t="shared" si="53"/>
        <v>0</v>
      </c>
      <c r="K341" s="85">
        <f t="shared" si="53"/>
        <v>0</v>
      </c>
      <c r="L341" s="86">
        <f t="shared" si="52"/>
        <v>3.2935565122819009E-6</v>
      </c>
    </row>
    <row r="342" spans="1:12" x14ac:dyDescent="0.2">
      <c r="B342" s="133" t="s">
        <v>91</v>
      </c>
      <c r="C342" s="131" t="str">
        <f t="shared" si="51"/>
        <v>7440-22-4</v>
      </c>
      <c r="D342" s="332">
        <f>CONVERT(INDEX('Screening Emission Calculations'!$I$4:$I$54,MATCH($C342,'Screening Emission Calculations'!$C$4:$C$54,0)),"lbm","g")/8760/3600</f>
        <v>9.5922469455684784E-9</v>
      </c>
      <c r="E342" s="86">
        <f>CONVERT(INDEX('Screening Emission Calculations'!$I$83:$I$133,MATCH($C342,'Screening Emission Calculations'!$C$83:$C$133,0)),"lbm","g")/24/3600</f>
        <v>8.4028083243179893E-7</v>
      </c>
      <c r="F342" s="84">
        <f t="shared" si="53"/>
        <v>0</v>
      </c>
      <c r="G342" s="85">
        <f t="shared" si="53"/>
        <v>0</v>
      </c>
      <c r="H342" s="85">
        <f t="shared" si="53"/>
        <v>0</v>
      </c>
      <c r="I342" s="85">
        <f t="shared" si="53"/>
        <v>0</v>
      </c>
      <c r="J342" s="85">
        <f t="shared" si="53"/>
        <v>0</v>
      </c>
      <c r="K342" s="85">
        <f t="shared" si="53"/>
        <v>0</v>
      </c>
      <c r="L342" s="86">
        <f t="shared" si="52"/>
        <v>0</v>
      </c>
    </row>
    <row r="343" spans="1:12" x14ac:dyDescent="0.2">
      <c r="B343" s="133" t="s">
        <v>93</v>
      </c>
      <c r="C343" s="131" t="str">
        <f t="shared" si="51"/>
        <v>7440-28-0</v>
      </c>
      <c r="D343" s="332">
        <f>CONVERT(INDEX('Screening Emission Calculations'!$I$4:$I$54,MATCH($C343,'Screening Emission Calculations'!$C$4:$C$54,0)),"lbm","g")/8760/3600</f>
        <v>4.7966950626739715E-8</v>
      </c>
      <c r="E343" s="86">
        <f>CONVERT(INDEX('Screening Emission Calculations'!$I$83:$I$133,MATCH($C343,'Screening Emission Calculations'!$C$83:$C$133,0)),"lbm","g")/24/3600</f>
        <v>4.2019048749024002E-6</v>
      </c>
      <c r="F343" s="84">
        <f t="shared" si="53"/>
        <v>0</v>
      </c>
      <c r="G343" s="85">
        <f t="shared" si="53"/>
        <v>0</v>
      </c>
      <c r="H343" s="85">
        <f t="shared" si="53"/>
        <v>0</v>
      </c>
      <c r="I343" s="85">
        <f t="shared" si="53"/>
        <v>0</v>
      </c>
      <c r="J343" s="85">
        <f t="shared" si="53"/>
        <v>0</v>
      </c>
      <c r="K343" s="85">
        <f t="shared" si="53"/>
        <v>0</v>
      </c>
      <c r="L343" s="86">
        <f t="shared" si="52"/>
        <v>0</v>
      </c>
    </row>
    <row r="344" spans="1:12" x14ac:dyDescent="0.2">
      <c r="B344" s="133" t="s">
        <v>95</v>
      </c>
      <c r="C344" s="131" t="str">
        <f t="shared" si="51"/>
        <v>108-88-3</v>
      </c>
      <c r="D344" s="332">
        <f>CONVERT(INDEX('Screening Emission Calculations'!$I$4:$I$54,MATCH($C344,'Screening Emission Calculations'!$C$4:$C$54,0)),"lbm","g")/8760/3600</f>
        <v>2.140120168815678E-5</v>
      </c>
      <c r="E344" s="86">
        <f>CONVERT(INDEX('Screening Emission Calculations'!$I$83:$I$133,MATCH($C344,'Screening Emission Calculations'!$C$83:$C$133,0)),"lbm","g")/24/3600</f>
        <v>1.8488010779667734E-3</v>
      </c>
      <c r="F344" s="84">
        <f t="shared" si="53"/>
        <v>0</v>
      </c>
      <c r="G344" s="85">
        <f t="shared" si="53"/>
        <v>4.2802403376313559E-9</v>
      </c>
      <c r="H344" s="85">
        <f t="shared" si="53"/>
        <v>0</v>
      </c>
      <c r="I344" s="85">
        <f t="shared" si="53"/>
        <v>9.7278189491621724E-10</v>
      </c>
      <c r="J344" s="85">
        <f t="shared" si="53"/>
        <v>0</v>
      </c>
      <c r="K344" s="85">
        <f t="shared" si="53"/>
        <v>9.7278189491621724E-10</v>
      </c>
      <c r="L344" s="86">
        <f t="shared" si="52"/>
        <v>2.4650681039556981E-7</v>
      </c>
    </row>
    <row r="345" spans="1:12" x14ac:dyDescent="0.2">
      <c r="B345" s="133" t="s">
        <v>97</v>
      </c>
      <c r="C345" s="131" t="str">
        <f t="shared" si="51"/>
        <v>1330-20-7</v>
      </c>
      <c r="D345" s="332">
        <f>CONVERT(INDEX('Screening Emission Calculations'!$I$4:$I$54,MATCH($C345,'Screening Emission Calculations'!$C$4:$C$54,0)),"lbm","g")/8760/3600</f>
        <v>8.6092120643059536E-6</v>
      </c>
      <c r="E345" s="86">
        <f>CONVERT(INDEX('Screening Emission Calculations'!$I$83:$I$133,MATCH($C345,'Screening Emission Calculations'!$C$83:$C$133,0)),"lbm","g")/24/3600</f>
        <v>7.4373022491262993E-4</v>
      </c>
      <c r="F345" s="84">
        <f t="shared" si="53"/>
        <v>0</v>
      </c>
      <c r="G345" s="85">
        <f t="shared" si="53"/>
        <v>3.9132782110481605E-8</v>
      </c>
      <c r="H345" s="85">
        <f t="shared" si="53"/>
        <v>0</v>
      </c>
      <c r="I345" s="85">
        <f t="shared" si="53"/>
        <v>8.8754763549545907E-9</v>
      </c>
      <c r="J345" s="85">
        <f t="shared" si="53"/>
        <v>0</v>
      </c>
      <c r="K345" s="85">
        <f t="shared" si="53"/>
        <v>8.8754763549545907E-9</v>
      </c>
      <c r="L345" s="86">
        <f t="shared" si="52"/>
        <v>8.5486232748578149E-8</v>
      </c>
    </row>
    <row r="346" spans="1:12" ht="15.75" thickBot="1" x14ac:dyDescent="0.25">
      <c r="B346" s="139" t="s">
        <v>99</v>
      </c>
      <c r="C346" s="131" t="str">
        <f t="shared" si="51"/>
        <v>7440-66-6</v>
      </c>
      <c r="D346" s="332">
        <f>CONVERT(INDEX('Screening Emission Calculations'!$I$4:$I$54,MATCH($C346,'Screening Emission Calculations'!$C$4:$C$54,0)),"lbm","g")/8760/3600</f>
        <v>1.0441081494997464E-6</v>
      </c>
      <c r="E346" s="86">
        <f>CONVERT(INDEX('Screening Emission Calculations'!$I$83:$I$133,MATCH($C346,'Screening Emission Calculations'!$C$83:$C$133,0)),"lbm","g")/24/3600</f>
        <v>9.1463873896177795E-5</v>
      </c>
      <c r="F346" s="84">
        <f t="shared" si="53"/>
        <v>0</v>
      </c>
      <c r="G346" s="85">
        <f t="shared" si="53"/>
        <v>0</v>
      </c>
      <c r="H346" s="85">
        <f t="shared" si="53"/>
        <v>0</v>
      </c>
      <c r="I346" s="85">
        <f t="shared" si="53"/>
        <v>0</v>
      </c>
      <c r="J346" s="85">
        <f t="shared" si="53"/>
        <v>0</v>
      </c>
      <c r="K346" s="85">
        <f t="shared" si="53"/>
        <v>0</v>
      </c>
      <c r="L346" s="86">
        <f t="shared" si="52"/>
        <v>0</v>
      </c>
    </row>
    <row r="347" spans="1:12" x14ac:dyDescent="0.2">
      <c r="B347" s="660" t="s">
        <v>1189</v>
      </c>
      <c r="C347" s="661"/>
      <c r="D347" s="661"/>
      <c r="E347" s="662"/>
      <c r="F347" s="150">
        <f>SUM(F296:F346)</f>
        <v>5.6159872112270671E-2</v>
      </c>
      <c r="G347" s="151">
        <f t="shared" ref="G347:L347" si="54">SUM(G296:G346)</f>
        <v>1.4046957351290881E-3</v>
      </c>
      <c r="H347" s="151">
        <f t="shared" si="54"/>
        <v>2.1197418724767441E-3</v>
      </c>
      <c r="I347" s="151">
        <f t="shared" si="54"/>
        <v>2.6805117983860684E-4</v>
      </c>
      <c r="J347" s="151">
        <f t="shared" si="54"/>
        <v>4.5249308205737122E-3</v>
      </c>
      <c r="K347" s="151">
        <f t="shared" si="54"/>
        <v>2.6805117983860684E-4</v>
      </c>
      <c r="L347" s="152">
        <f t="shared" si="54"/>
        <v>1.5189785686957329E-3</v>
      </c>
    </row>
    <row r="348" spans="1:12" ht="13.5" x14ac:dyDescent="0.2">
      <c r="A348" s="147">
        <v>1</v>
      </c>
      <c r="B348" s="143" t="str">
        <f>$B$174</f>
        <v>If the toxic is listed in the Risk-Based Concentrations (Table 2) in OAR Chapter 340-245-8010, then it's considered a permitted toxic. Emission rate is normalized based on operational hours of 8,760 hrs/yr or 24 hrs/day.</v>
      </c>
      <c r="C348" s="144"/>
      <c r="D348" s="144"/>
      <c r="E348" s="144"/>
      <c r="F348" s="144"/>
      <c r="G348" s="144"/>
      <c r="H348" s="144"/>
      <c r="I348" s="144"/>
      <c r="J348" s="144"/>
      <c r="K348" s="144"/>
      <c r="L348" s="144"/>
    </row>
    <row r="350" spans="1:12" ht="15.75" thickBot="1" x14ac:dyDescent="0.25">
      <c r="B350" s="56" t="s">
        <v>207</v>
      </c>
    </row>
    <row r="351" spans="1:12" ht="28.5" customHeight="1" x14ac:dyDescent="0.2">
      <c r="B351" s="666" t="s">
        <v>1</v>
      </c>
      <c r="C351" s="681" t="s">
        <v>2</v>
      </c>
      <c r="D351" s="683" t="s">
        <v>195</v>
      </c>
      <c r="E351" s="657" t="s">
        <v>196</v>
      </c>
      <c r="F351" s="648" t="s">
        <v>1186</v>
      </c>
      <c r="G351" s="649"/>
      <c r="H351" s="649"/>
      <c r="I351" s="649"/>
      <c r="J351" s="649"/>
      <c r="K351" s="649"/>
      <c r="L351" s="650"/>
    </row>
    <row r="352" spans="1:12" x14ac:dyDescent="0.2">
      <c r="B352" s="667"/>
      <c r="C352" s="682"/>
      <c r="D352" s="684"/>
      <c r="E352" s="658"/>
      <c r="F352" s="651" t="s">
        <v>181</v>
      </c>
      <c r="G352" s="652"/>
      <c r="H352" s="652" t="s">
        <v>182</v>
      </c>
      <c r="I352" s="652"/>
      <c r="J352" s="652"/>
      <c r="K352" s="652"/>
      <c r="L352" s="655" t="s">
        <v>183</v>
      </c>
    </row>
    <row r="353" spans="2:12" ht="33" customHeight="1" thickBot="1" x14ac:dyDescent="0.25">
      <c r="B353" s="668"/>
      <c r="C353" s="654"/>
      <c r="D353" s="685"/>
      <c r="E353" s="659"/>
      <c r="F353" s="148" t="s">
        <v>184</v>
      </c>
      <c r="G353" s="149" t="s">
        <v>185</v>
      </c>
      <c r="H353" s="149" t="s">
        <v>186</v>
      </c>
      <c r="I353" s="149" t="s">
        <v>187</v>
      </c>
      <c r="J353" s="149" t="s">
        <v>188</v>
      </c>
      <c r="K353" s="149" t="s">
        <v>189</v>
      </c>
      <c r="L353" s="656"/>
    </row>
    <row r="354" spans="2:12" ht="16.5" customHeight="1" x14ac:dyDescent="0.2">
      <c r="B354" s="130" t="s">
        <v>4</v>
      </c>
      <c r="C354" s="131" t="str">
        <f t="shared" ref="C354:C372" si="55">C6</f>
        <v>106-99-0</v>
      </c>
      <c r="D354" s="332">
        <f>CONVERT(INDEX('Screening Emission Calculations'!$J$4:$J$54,MATCH($C354,'Screening Emission Calculations'!$C$4:$C$54,0)),"lbm","g")/8760/3600</f>
        <v>0</v>
      </c>
      <c r="E354" s="86">
        <f>CONVERT(INDEX('Screening Emission Calculations'!$J$83:$J$133,MATCH($C354,'Screening Emission Calculations'!$C$83:$C$133,0)),"lbm","g")/24/3600</f>
        <v>0</v>
      </c>
      <c r="F354" s="84">
        <f t="shared" ref="F354:K363" si="56">IF(INDEX($B$6:$L$56,MATCH($C354,$C$6:$C$56,0),MATCH(F$5,$B$5:$L$5,0))="",0,$D354/INDEX($B$6:$L$56,MATCH($C354,$C$6:$C$56,0),MATCH(F$5,$B$5:$L$5,0)))</f>
        <v>0</v>
      </c>
      <c r="G354" s="85">
        <f t="shared" si="56"/>
        <v>0</v>
      </c>
      <c r="H354" s="85">
        <f t="shared" si="56"/>
        <v>0</v>
      </c>
      <c r="I354" s="85">
        <f t="shared" si="56"/>
        <v>0</v>
      </c>
      <c r="J354" s="85">
        <f t="shared" si="56"/>
        <v>0</v>
      </c>
      <c r="K354" s="85">
        <f t="shared" si="56"/>
        <v>0</v>
      </c>
      <c r="L354" s="86">
        <f t="shared" ref="L354:L385" si="57">IF(INDEX($B$6:$L$56,MATCH($C354,$C$6:$C$56,0),MATCH(L$4,$B$4:$L$4,0))="",0,$E354/INDEX($B$6:$L$56,MATCH($C354,$C$6:$C$56,0),MATCH(L$4,$B$4:$L$4,0)))</f>
        <v>0</v>
      </c>
    </row>
    <row r="355" spans="2:12" x14ac:dyDescent="0.2">
      <c r="B355" s="132" t="s">
        <v>129</v>
      </c>
      <c r="C355" s="134" t="str">
        <f t="shared" si="55"/>
        <v>83-32-9</v>
      </c>
      <c r="D355" s="332">
        <f>CONVERT(INDEX('Screening Emission Calculations'!$J$4:$J$54,MATCH($C355,'Screening Emission Calculations'!$C$4:$C$54,0)),"lbm","g")/8760/3600</f>
        <v>1.4447123149155584E-7</v>
      </c>
      <c r="E355" s="86">
        <f>CONVERT(INDEX('Screening Emission Calculations'!$J$83:$J$133,MATCH($C355,'Screening Emission Calculations'!$C$83:$C$133,0)),"lbm","g")/24/3600</f>
        <v>1.2480540691534413E-5</v>
      </c>
      <c r="F355" s="84">
        <f t="shared" si="56"/>
        <v>0</v>
      </c>
      <c r="G355" s="85">
        <f t="shared" si="56"/>
        <v>0</v>
      </c>
      <c r="H355" s="85">
        <f t="shared" si="56"/>
        <v>0</v>
      </c>
      <c r="I355" s="85">
        <f t="shared" si="56"/>
        <v>0</v>
      </c>
      <c r="J355" s="85">
        <f t="shared" si="56"/>
        <v>0</v>
      </c>
      <c r="K355" s="85">
        <f t="shared" si="56"/>
        <v>0</v>
      </c>
      <c r="L355" s="86">
        <f t="shared" si="57"/>
        <v>0</v>
      </c>
    </row>
    <row r="356" spans="2:12" x14ac:dyDescent="0.2">
      <c r="B356" s="133" t="s">
        <v>130</v>
      </c>
      <c r="C356" s="134" t="str">
        <f t="shared" si="55"/>
        <v>208-96-8</v>
      </c>
      <c r="D356" s="332">
        <f>CONVERT(INDEX('Screening Emission Calculations'!$J$4:$J$54,MATCH($C356,'Screening Emission Calculations'!$C$4:$C$54,0)),"lbm","g")/8760/3600</f>
        <v>1.7196110805467233E-7</v>
      </c>
      <c r="E356" s="86">
        <f>CONVERT(INDEX('Screening Emission Calculations'!$J$83:$J$133,MATCH($C356,'Screening Emission Calculations'!$C$83:$C$133,0)),"lbm","g")/24/3600</f>
        <v>1.4855328526517924E-5</v>
      </c>
      <c r="F356" s="84">
        <f t="shared" si="56"/>
        <v>0</v>
      </c>
      <c r="G356" s="85">
        <f t="shared" si="56"/>
        <v>0</v>
      </c>
      <c r="H356" s="85">
        <f t="shared" si="56"/>
        <v>0</v>
      </c>
      <c r="I356" s="85">
        <f t="shared" si="56"/>
        <v>0</v>
      </c>
      <c r="J356" s="85">
        <f t="shared" si="56"/>
        <v>0</v>
      </c>
      <c r="K356" s="85">
        <f t="shared" si="56"/>
        <v>0</v>
      </c>
      <c r="L356" s="86">
        <f t="shared" si="57"/>
        <v>0</v>
      </c>
    </row>
    <row r="357" spans="2:12" x14ac:dyDescent="0.2">
      <c r="B357" s="133" t="s">
        <v>11</v>
      </c>
      <c r="C357" s="134" t="str">
        <f t="shared" si="55"/>
        <v>75-07-0</v>
      </c>
      <c r="D357" s="332">
        <f>CONVERT(INDEX('Screening Emission Calculations'!$J$4:$J$54,MATCH($C357,'Screening Emission Calculations'!$C$4:$C$54,0)),"lbm","g")/8760/3600</f>
        <v>0</v>
      </c>
      <c r="E357" s="86">
        <f>CONVERT(INDEX('Screening Emission Calculations'!$J$83:$J$133,MATCH($C357,'Screening Emission Calculations'!$C$83:$C$133,0)),"lbm","g")/24/3600</f>
        <v>0</v>
      </c>
      <c r="F357" s="84">
        <f t="shared" si="56"/>
        <v>0</v>
      </c>
      <c r="G357" s="85">
        <f t="shared" si="56"/>
        <v>0</v>
      </c>
      <c r="H357" s="85">
        <f t="shared" si="56"/>
        <v>0</v>
      </c>
      <c r="I357" s="85">
        <f t="shared" si="56"/>
        <v>0</v>
      </c>
      <c r="J357" s="85">
        <f t="shared" si="56"/>
        <v>0</v>
      </c>
      <c r="K357" s="85">
        <f t="shared" si="56"/>
        <v>0</v>
      </c>
      <c r="L357" s="86">
        <f t="shared" si="57"/>
        <v>0</v>
      </c>
    </row>
    <row r="358" spans="2:12" x14ac:dyDescent="0.2">
      <c r="B358" s="133" t="s">
        <v>13</v>
      </c>
      <c r="C358" s="134" t="str">
        <f t="shared" si="55"/>
        <v>107-02-8</v>
      </c>
      <c r="D358" s="332">
        <f>CONVERT(INDEX('Screening Emission Calculations'!$J$4:$J$54,MATCH($C358,'Screening Emission Calculations'!$C$4:$C$54,0)),"lbm","g")/8760/3600</f>
        <v>8.5979413956737434E-6</v>
      </c>
      <c r="E358" s="86">
        <f>CONVERT(INDEX('Screening Emission Calculations'!$J$83:$J$133,MATCH($C358,'Screening Emission Calculations'!$C$83:$C$133,0)),"lbm","g")/24/3600</f>
        <v>7.427565775156164E-4</v>
      </c>
      <c r="F358" s="84">
        <f t="shared" si="56"/>
        <v>0</v>
      </c>
      <c r="G358" s="85">
        <f t="shared" si="56"/>
        <v>2.4565546844782126E-5</v>
      </c>
      <c r="H358" s="85">
        <f t="shared" si="56"/>
        <v>0</v>
      </c>
      <c r="I358" s="85">
        <f t="shared" si="56"/>
        <v>5.731960930449162E-6</v>
      </c>
      <c r="J358" s="85">
        <f t="shared" si="56"/>
        <v>0</v>
      </c>
      <c r="K358" s="85">
        <f t="shared" si="56"/>
        <v>5.731960930449162E-6</v>
      </c>
      <c r="L358" s="86">
        <f t="shared" si="57"/>
        <v>1.076458807993647E-4</v>
      </c>
    </row>
    <row r="359" spans="2:12" x14ac:dyDescent="0.2">
      <c r="B359" s="133" t="s">
        <v>15</v>
      </c>
      <c r="C359" s="134" t="str">
        <f t="shared" si="55"/>
        <v>7664-41-7</v>
      </c>
      <c r="D359" s="332">
        <f>CONVERT(INDEX('Screening Emission Calculations'!$J$4:$J$54,MATCH($C359,'Screening Emission Calculations'!$C$4:$C$54,0)),"lbm","g")/8760/3600</f>
        <v>1.9964047740994421E-4</v>
      </c>
      <c r="E359" s="86">
        <f>CONVERT(INDEX('Screening Emission Calculations'!$J$83:$J$133,MATCH($C359,'Screening Emission Calculations'!$C$83:$C$133,0)),"lbm","g")/24/3600</f>
        <v>1.7488505821111115E-2</v>
      </c>
      <c r="F359" s="84">
        <f t="shared" si="56"/>
        <v>0</v>
      </c>
      <c r="G359" s="85">
        <f t="shared" si="56"/>
        <v>3.9928095481988843E-7</v>
      </c>
      <c r="H359" s="85">
        <f t="shared" si="56"/>
        <v>0</v>
      </c>
      <c r="I359" s="85">
        <f t="shared" si="56"/>
        <v>9.0745671549974636E-8</v>
      </c>
      <c r="J359" s="85">
        <f t="shared" si="56"/>
        <v>0</v>
      </c>
      <c r="K359" s="85">
        <f t="shared" si="56"/>
        <v>9.0745671549974636E-8</v>
      </c>
      <c r="L359" s="86">
        <f t="shared" si="57"/>
        <v>1.4573754850925929E-5</v>
      </c>
    </row>
    <row r="360" spans="2:12" x14ac:dyDescent="0.2">
      <c r="B360" s="133" t="s">
        <v>132</v>
      </c>
      <c r="C360" s="134" t="str">
        <f t="shared" si="55"/>
        <v>120-12-7</v>
      </c>
      <c r="D360" s="332">
        <f>CONVERT(INDEX('Screening Emission Calculations'!$J$4:$J$54,MATCH($C360,'Screening Emission Calculations'!$C$4:$C$54,0)),"lbm","g")/8760/3600</f>
        <v>7.9660475339074544E-8</v>
      </c>
      <c r="E360" s="86">
        <f>CONVERT(INDEX('Screening Emission Calculations'!$J$83:$J$133,MATCH($C360,'Screening Emission Calculations'!$C$83:$C$133,0)),"lbm","g")/24/3600</f>
        <v>6.8816870577752601E-6</v>
      </c>
      <c r="F360" s="84">
        <f t="shared" si="56"/>
        <v>0</v>
      </c>
      <c r="G360" s="85">
        <f t="shared" si="56"/>
        <v>0</v>
      </c>
      <c r="H360" s="85">
        <f t="shared" si="56"/>
        <v>0</v>
      </c>
      <c r="I360" s="85">
        <f t="shared" si="56"/>
        <v>0</v>
      </c>
      <c r="J360" s="85">
        <f t="shared" si="56"/>
        <v>0</v>
      </c>
      <c r="K360" s="85">
        <f t="shared" si="56"/>
        <v>0</v>
      </c>
      <c r="L360" s="86">
        <f t="shared" si="57"/>
        <v>0</v>
      </c>
    </row>
    <row r="361" spans="2:12" x14ac:dyDescent="0.2">
      <c r="B361" s="133" t="s">
        <v>19</v>
      </c>
      <c r="C361" s="134" t="str">
        <f t="shared" si="55"/>
        <v>7440-36-0</v>
      </c>
      <c r="D361" s="332">
        <f>CONVERT(INDEX('Screening Emission Calculations'!$J$4:$J$54,MATCH($C361,'Screening Emission Calculations'!$C$4:$C$54,0)),"lbm","g")/8760/3600</f>
        <v>6.3482058118075835E-8</v>
      </c>
      <c r="E361" s="86">
        <f>CONVERT(INDEX('Screening Emission Calculations'!$J$83:$J$133,MATCH($C361,'Screening Emission Calculations'!$C$83:$C$133,0)),"lbm","g")/24/3600</f>
        <v>5.5610282911434425E-6</v>
      </c>
      <c r="F361" s="84">
        <f t="shared" si="56"/>
        <v>0</v>
      </c>
      <c r="G361" s="85">
        <f t="shared" si="56"/>
        <v>2.1160686039358613E-7</v>
      </c>
      <c r="H361" s="85">
        <f t="shared" si="56"/>
        <v>0</v>
      </c>
      <c r="I361" s="85">
        <f t="shared" si="56"/>
        <v>4.8832352398519873E-8</v>
      </c>
      <c r="J361" s="85">
        <f t="shared" si="56"/>
        <v>0</v>
      </c>
      <c r="K361" s="85">
        <f t="shared" si="56"/>
        <v>4.8832352398519873E-8</v>
      </c>
      <c r="L361" s="86">
        <f t="shared" si="57"/>
        <v>5.5610282911434425E-6</v>
      </c>
    </row>
    <row r="362" spans="2:12" x14ac:dyDescent="0.2">
      <c r="B362" s="133" t="s">
        <v>21</v>
      </c>
      <c r="C362" s="134" t="str">
        <f t="shared" si="55"/>
        <v>7440-38-2</v>
      </c>
      <c r="D362" s="332">
        <f>CONVERT(INDEX('Screening Emission Calculations'!$J$4:$J$54,MATCH($C362,'Screening Emission Calculations'!$C$4:$C$54,0)),"lbm","g")/8760/3600</f>
        <v>4.8412815771911463E-8</v>
      </c>
      <c r="E362" s="86">
        <f>CONVERT(INDEX('Screening Emission Calculations'!$J$83:$J$133,MATCH($C362,'Screening Emission Calculations'!$C$83:$C$133,0)),"lbm","g")/24/3600</f>
        <v>4.2409626616194442E-6</v>
      </c>
      <c r="F362" s="84">
        <f t="shared" si="56"/>
        <v>2.0172006571629775E-3</v>
      </c>
      <c r="G362" s="85">
        <f t="shared" si="56"/>
        <v>2.84781269246538E-4</v>
      </c>
      <c r="H362" s="85">
        <f t="shared" si="56"/>
        <v>3.7240627516854976E-5</v>
      </c>
      <c r="I362" s="85">
        <f t="shared" si="56"/>
        <v>2.0172006571629779E-5</v>
      </c>
      <c r="J362" s="85">
        <f t="shared" si="56"/>
        <v>7.8085186728889453E-5</v>
      </c>
      <c r="K362" s="85">
        <f t="shared" si="56"/>
        <v>2.0172006571629779E-5</v>
      </c>
      <c r="L362" s="86">
        <f t="shared" si="57"/>
        <v>2.1204813308097219E-5</v>
      </c>
    </row>
    <row r="363" spans="2:12" x14ac:dyDescent="0.2">
      <c r="B363" s="133" t="s">
        <v>23</v>
      </c>
      <c r="C363" s="134" t="str">
        <f t="shared" si="55"/>
        <v>7440-39-3</v>
      </c>
      <c r="D363" s="332">
        <f>CONVERT(INDEX('Screening Emission Calculations'!$J$4:$J$54,MATCH($C363,'Screening Emission Calculations'!$C$4:$C$54,0)),"lbm","g")/8760/3600</f>
        <v>1.7245574556428519E-7</v>
      </c>
      <c r="E363" s="86">
        <f>CONVERT(INDEX('Screening Emission Calculations'!$J$83:$J$133,MATCH($C363,'Screening Emission Calculations'!$C$83:$C$133,0)),"lbm","g")/24/3600</f>
        <v>1.5107123311431381E-5</v>
      </c>
      <c r="F363" s="84">
        <f t="shared" si="56"/>
        <v>0</v>
      </c>
      <c r="G363" s="85">
        <f t="shared" si="56"/>
        <v>0</v>
      </c>
      <c r="H363" s="85">
        <f t="shared" si="56"/>
        <v>0</v>
      </c>
      <c r="I363" s="85">
        <f t="shared" si="56"/>
        <v>0</v>
      </c>
      <c r="J363" s="85">
        <f t="shared" si="56"/>
        <v>0</v>
      </c>
      <c r="K363" s="85">
        <f t="shared" si="56"/>
        <v>0</v>
      </c>
      <c r="L363" s="86">
        <f t="shared" si="57"/>
        <v>0</v>
      </c>
    </row>
    <row r="364" spans="2:12" x14ac:dyDescent="0.2">
      <c r="B364" s="133" t="s">
        <v>133</v>
      </c>
      <c r="C364" s="134" t="str">
        <f t="shared" si="55"/>
        <v>56-55-3</v>
      </c>
      <c r="D364" s="332">
        <f>CONVERT(INDEX('Screening Emission Calculations'!$J$4:$J$54,MATCH($C364,'Screening Emission Calculations'!$C$4:$C$54,0)),"lbm","g")/8760/3600</f>
        <v>1.0151999005895086E-8</v>
      </c>
      <c r="E364" s="86">
        <f>CONVERT(INDEX('Screening Emission Calculations'!$J$83:$J$133,MATCH($C364,'Screening Emission Calculations'!$C$83:$C$133,0)),"lbm","g")/24/3600</f>
        <v>8.7700807548592236E-7</v>
      </c>
      <c r="F364" s="84">
        <f t="shared" ref="F364:K373" si="58">IF(INDEX($B$6:$L$56,MATCH($C364,$C$6:$C$56,0),MATCH(F$5,$B$5:$L$5,0))="",0,$D364/INDEX($B$6:$L$56,MATCH($C364,$C$6:$C$56,0),MATCH(F$5,$B$5:$L$5,0)))</f>
        <v>4.8342852409024217E-5</v>
      </c>
      <c r="G364" s="85">
        <f t="shared" si="58"/>
        <v>0</v>
      </c>
      <c r="H364" s="85">
        <f t="shared" si="58"/>
        <v>1.3015383340891137E-6</v>
      </c>
      <c r="I364" s="85">
        <f t="shared" si="58"/>
        <v>0</v>
      </c>
      <c r="J364" s="85">
        <f t="shared" si="58"/>
        <v>6.7679993372633911E-7</v>
      </c>
      <c r="K364" s="85">
        <f t="shared" si="58"/>
        <v>0</v>
      </c>
      <c r="L364" s="86">
        <f t="shared" si="57"/>
        <v>0</v>
      </c>
    </row>
    <row r="365" spans="2:12" x14ac:dyDescent="0.2">
      <c r="B365" s="133" t="s">
        <v>27</v>
      </c>
      <c r="C365" s="134" t="str">
        <f t="shared" si="55"/>
        <v>71-43-2</v>
      </c>
      <c r="D365" s="332">
        <f>CONVERT(INDEX('Screening Emission Calculations'!$J$4:$J$54,MATCH($C365,'Screening Emission Calculations'!$C$4:$C$54,0)),"lbm","g")/8760/3600</f>
        <v>0</v>
      </c>
      <c r="E365" s="86">
        <f>CONVERT(INDEX('Screening Emission Calculations'!$J$83:$J$133,MATCH($C365,'Screening Emission Calculations'!$C$83:$C$133,0)),"lbm","g")/24/3600</f>
        <v>0</v>
      </c>
      <c r="F365" s="84">
        <f t="shared" si="58"/>
        <v>0</v>
      </c>
      <c r="G365" s="85">
        <f t="shared" si="58"/>
        <v>0</v>
      </c>
      <c r="H365" s="85">
        <f t="shared" si="58"/>
        <v>0</v>
      </c>
      <c r="I365" s="85">
        <f t="shared" si="58"/>
        <v>0</v>
      </c>
      <c r="J365" s="85">
        <f t="shared" si="58"/>
        <v>0</v>
      </c>
      <c r="K365" s="85">
        <f t="shared" si="58"/>
        <v>0</v>
      </c>
      <c r="L365" s="86">
        <f t="shared" si="57"/>
        <v>0</v>
      </c>
    </row>
    <row r="366" spans="2:12" x14ac:dyDescent="0.2">
      <c r="B366" s="133" t="s">
        <v>190</v>
      </c>
      <c r="C366" s="134" t="str">
        <f t="shared" si="55"/>
        <v>50-32-8</v>
      </c>
      <c r="D366" s="332">
        <f>CONVERT(INDEX('Screening Emission Calculations'!$J$4:$J$54,MATCH($C366,'Screening Emission Calculations'!$C$4:$C$54,0)),"lbm","g")/8760/3600</f>
        <v>3.2344968715466543E-9</v>
      </c>
      <c r="E366" s="86">
        <f>CONVERT(INDEX('Screening Emission Calculations'!$J$83:$J$133,MATCH($C366,'Screening Emission Calculations'!$C$83:$C$133,0)),"lbm","g")/24/3600</f>
        <v>2.7942081897694805E-7</v>
      </c>
      <c r="F366" s="84">
        <f t="shared" si="58"/>
        <v>7.5220857477829167E-5</v>
      </c>
      <c r="G366" s="85">
        <f t="shared" si="58"/>
        <v>1.6172484357733271E-6</v>
      </c>
      <c r="H366" s="85">
        <f t="shared" si="58"/>
        <v>2.0215605447166588E-6</v>
      </c>
      <c r="I366" s="85">
        <f t="shared" si="58"/>
        <v>3.6755646267575613E-7</v>
      </c>
      <c r="J366" s="85">
        <f t="shared" si="58"/>
        <v>1.0781656238488848E-6</v>
      </c>
      <c r="K366" s="85">
        <f t="shared" si="58"/>
        <v>3.6755646267575613E-7</v>
      </c>
      <c r="L366" s="86">
        <f t="shared" si="57"/>
        <v>1.3971040948847403E-4</v>
      </c>
    </row>
    <row r="367" spans="2:12" x14ac:dyDescent="0.2">
      <c r="B367" s="133" t="s">
        <v>135</v>
      </c>
      <c r="C367" s="134" t="str">
        <f t="shared" si="55"/>
        <v>205-99-2</v>
      </c>
      <c r="D367" s="332">
        <f>CONVERT(INDEX('Screening Emission Calculations'!$J$4:$J$54,MATCH($C367,'Screening Emission Calculations'!$C$4:$C$54,0)),"lbm","g")/8760/3600</f>
        <v>8.5909158404966653E-9</v>
      </c>
      <c r="E367" s="86">
        <f>CONVERT(INDEX('Screening Emission Calculations'!$J$83:$J$133,MATCH($C367,'Screening Emission Calculations'!$C$83:$C$133,0)),"lbm","g")/24/3600</f>
        <v>7.4214965580280965E-7</v>
      </c>
      <c r="F367" s="84">
        <f t="shared" si="58"/>
        <v>1.6209275170748426E-4</v>
      </c>
      <c r="G367" s="85">
        <f t="shared" si="58"/>
        <v>0</v>
      </c>
      <c r="H367" s="85">
        <f t="shared" si="58"/>
        <v>4.2954579202483327E-6</v>
      </c>
      <c r="I367" s="85">
        <f t="shared" si="58"/>
        <v>0</v>
      </c>
      <c r="J367" s="85">
        <f t="shared" si="58"/>
        <v>2.2607673264464908E-6</v>
      </c>
      <c r="K367" s="85">
        <f t="shared" si="58"/>
        <v>0</v>
      </c>
      <c r="L367" s="86">
        <f t="shared" si="57"/>
        <v>0</v>
      </c>
    </row>
    <row r="368" spans="2:12" x14ac:dyDescent="0.2">
      <c r="B368" s="133" t="s">
        <v>136</v>
      </c>
      <c r="C368" s="134" t="str">
        <f t="shared" si="55"/>
        <v>192-97-2</v>
      </c>
      <c r="D368" s="332">
        <f>CONVERT(INDEX('Screening Emission Calculations'!$J$4:$J$54,MATCH($C368,'Screening Emission Calculations'!$C$4:$C$54,0)),"lbm","g")/8760/3600</f>
        <v>6.4888348179688987E-9</v>
      </c>
      <c r="E368" s="86">
        <f>CONVERT(INDEX('Screening Emission Calculations'!$J$83:$J$133,MATCH($C368,'Screening Emission Calculations'!$C$83:$C$133,0)),"lbm","g")/24/3600</f>
        <v>5.6055566322932303E-7</v>
      </c>
      <c r="F368" s="84">
        <f t="shared" si="58"/>
        <v>0</v>
      </c>
      <c r="G368" s="85">
        <f t="shared" si="58"/>
        <v>0</v>
      </c>
      <c r="H368" s="85">
        <f t="shared" si="58"/>
        <v>0</v>
      </c>
      <c r="I368" s="85">
        <f t="shared" si="58"/>
        <v>0</v>
      </c>
      <c r="J368" s="85">
        <f t="shared" si="58"/>
        <v>0</v>
      </c>
      <c r="K368" s="85">
        <f t="shared" si="58"/>
        <v>0</v>
      </c>
      <c r="L368" s="86">
        <f t="shared" si="57"/>
        <v>0</v>
      </c>
    </row>
    <row r="369" spans="2:12" x14ac:dyDescent="0.2">
      <c r="B369" s="133" t="s">
        <v>137</v>
      </c>
      <c r="C369" s="134" t="str">
        <f t="shared" si="55"/>
        <v>191-24-2</v>
      </c>
      <c r="D369" s="332">
        <f>CONVERT(INDEX('Screening Emission Calculations'!$J$4:$J$54,MATCH($C369,'Screening Emission Calculations'!$C$4:$C$54,0)),"lbm","g")/8760/3600</f>
        <v>4.8513648874773561E-9</v>
      </c>
      <c r="E369" s="86">
        <f>CONVERT(INDEX('Screening Emission Calculations'!$J$83:$J$133,MATCH($C369,'Screening Emission Calculations'!$C$83:$C$133,0)),"lbm","g")/24/3600</f>
        <v>4.1909836486152831E-7</v>
      </c>
      <c r="F369" s="84">
        <f t="shared" si="58"/>
        <v>1.0322052952079482E-6</v>
      </c>
      <c r="G369" s="85">
        <f t="shared" si="58"/>
        <v>0</v>
      </c>
      <c r="H369" s="85">
        <f t="shared" si="58"/>
        <v>2.8537440514572682E-8</v>
      </c>
      <c r="I369" s="85">
        <f t="shared" si="58"/>
        <v>0</v>
      </c>
      <c r="J369" s="85">
        <f t="shared" si="58"/>
        <v>1.4268720257286341E-8</v>
      </c>
      <c r="K369" s="85">
        <f t="shared" si="58"/>
        <v>0</v>
      </c>
      <c r="L369" s="86">
        <f t="shared" si="57"/>
        <v>0</v>
      </c>
    </row>
    <row r="370" spans="2:12" x14ac:dyDescent="0.2">
      <c r="B370" s="133" t="s">
        <v>138</v>
      </c>
      <c r="C370" s="134" t="str">
        <f t="shared" si="55"/>
        <v>207-08-9</v>
      </c>
      <c r="D370" s="332">
        <f>CONVERT(INDEX('Screening Emission Calculations'!$J$4:$J$54,MATCH($C370,'Screening Emission Calculations'!$C$4:$C$54,0)),"lbm","g")/8760/3600</f>
        <v>2.5723370270592514E-9</v>
      </c>
      <c r="E370" s="86">
        <f>CONVERT(INDEX('Screening Emission Calculations'!$J$83:$J$133,MATCH($C370,'Screening Emission Calculations'!$C$83:$C$133,0)),"lbm","g")/24/3600</f>
        <v>2.2221833791477088E-7</v>
      </c>
      <c r="F370" s="84">
        <f t="shared" si="58"/>
        <v>1.8373835907566081E-6</v>
      </c>
      <c r="G370" s="85">
        <f t="shared" si="58"/>
        <v>0</v>
      </c>
      <c r="H370" s="85">
        <f t="shared" si="58"/>
        <v>4.9468019751139453E-8</v>
      </c>
      <c r="I370" s="85">
        <f t="shared" si="58"/>
        <v>0</v>
      </c>
      <c r="J370" s="85">
        <f t="shared" si="58"/>
        <v>2.5723370270592514E-8</v>
      </c>
      <c r="K370" s="85">
        <f t="shared" si="58"/>
        <v>0</v>
      </c>
      <c r="L370" s="86">
        <f t="shared" si="57"/>
        <v>0</v>
      </c>
    </row>
    <row r="371" spans="2:12" x14ac:dyDescent="0.2">
      <c r="B371" s="133" t="s">
        <v>39</v>
      </c>
      <c r="C371" s="134" t="str">
        <f t="shared" si="55"/>
        <v>7440-41-7</v>
      </c>
      <c r="D371" s="332">
        <f>CONVERT(INDEX('Screening Emission Calculations'!$J$4:$J$54,MATCH($C371,'Screening Emission Calculations'!$C$4:$C$54,0)),"lbm","g")/8760/3600</f>
        <v>0</v>
      </c>
      <c r="E371" s="86">
        <f>CONVERT(INDEX('Screening Emission Calculations'!$J$83:$J$133,MATCH($C371,'Screening Emission Calculations'!$C$83:$C$133,0)),"lbm","g")/24/3600</f>
        <v>0</v>
      </c>
      <c r="F371" s="84">
        <f t="shared" si="58"/>
        <v>0</v>
      </c>
      <c r="G371" s="85">
        <f t="shared" si="58"/>
        <v>0</v>
      </c>
      <c r="H371" s="85">
        <f t="shared" si="58"/>
        <v>0</v>
      </c>
      <c r="I371" s="85">
        <f t="shared" si="58"/>
        <v>0</v>
      </c>
      <c r="J371" s="85">
        <f t="shared" si="58"/>
        <v>0</v>
      </c>
      <c r="K371" s="85">
        <f t="shared" si="58"/>
        <v>0</v>
      </c>
      <c r="L371" s="86">
        <f t="shared" si="57"/>
        <v>0</v>
      </c>
    </row>
    <row r="372" spans="2:12" x14ac:dyDescent="0.2">
      <c r="B372" s="133" t="s">
        <v>41</v>
      </c>
      <c r="C372" s="134" t="str">
        <f t="shared" si="55"/>
        <v>7440-43-9</v>
      </c>
      <c r="D372" s="332">
        <f>CONVERT(INDEX('Screening Emission Calculations'!$J$4:$J$54,MATCH($C372,'Screening Emission Calculations'!$C$4:$C$54,0)),"lbm","g")/8760/3600</f>
        <v>0</v>
      </c>
      <c r="E372" s="86">
        <f>CONVERT(INDEX('Screening Emission Calculations'!$J$83:$J$133,MATCH($C372,'Screening Emission Calculations'!$C$83:$C$133,0)),"lbm","g")/24/3600</f>
        <v>0</v>
      </c>
      <c r="F372" s="84">
        <f t="shared" si="58"/>
        <v>0</v>
      </c>
      <c r="G372" s="85">
        <f t="shared" si="58"/>
        <v>0</v>
      </c>
      <c r="H372" s="85">
        <f t="shared" si="58"/>
        <v>0</v>
      </c>
      <c r="I372" s="85">
        <f t="shared" si="58"/>
        <v>0</v>
      </c>
      <c r="J372" s="85">
        <f t="shared" si="58"/>
        <v>0</v>
      </c>
      <c r="K372" s="85">
        <f t="shared" si="58"/>
        <v>0</v>
      </c>
      <c r="L372" s="86">
        <f t="shared" si="57"/>
        <v>0</v>
      </c>
    </row>
    <row r="373" spans="2:12" x14ac:dyDescent="0.2">
      <c r="B373" s="133" t="s">
        <v>43</v>
      </c>
      <c r="C373" s="134" t="s">
        <v>44</v>
      </c>
      <c r="D373" s="332">
        <f>CONVERT(INDEX('Screening Emission Calculations'!$J$4:$J$54,MATCH($C373,'Screening Emission Calculations'!$C$4:$C$54,0)),"lbm","g")/8760/3600</f>
        <v>5.0725317968576654E-8</v>
      </c>
      <c r="E373" s="86">
        <f>CONVERT(INDEX('Screening Emission Calculations'!$J$83:$J$133,MATCH($C373,'Screening Emission Calculations'!$C$83:$C$133,0)),"lbm","g")/24/3600</f>
        <v>4.3820447051068799E-6</v>
      </c>
      <c r="F373" s="84">
        <f t="shared" si="58"/>
        <v>0</v>
      </c>
      <c r="G373" s="85">
        <f t="shared" si="58"/>
        <v>1.0145063593715332E-9</v>
      </c>
      <c r="H373" s="85">
        <f t="shared" si="58"/>
        <v>0</v>
      </c>
      <c r="I373" s="85">
        <f t="shared" si="58"/>
        <v>2.3056962712989389E-10</v>
      </c>
      <c r="J373" s="85">
        <f t="shared" si="58"/>
        <v>0</v>
      </c>
      <c r="K373" s="85">
        <f t="shared" si="58"/>
        <v>2.3056962712989389E-10</v>
      </c>
      <c r="L373" s="86">
        <f t="shared" si="57"/>
        <v>0</v>
      </c>
    </row>
    <row r="374" spans="2:12" x14ac:dyDescent="0.2">
      <c r="B374" s="133" t="s">
        <v>139</v>
      </c>
      <c r="C374" s="134" t="str">
        <f t="shared" ref="C374:C395" si="59">C26</f>
        <v>218-01-9</v>
      </c>
      <c r="D374" s="332">
        <f>CONVERT(INDEX('Screening Emission Calculations'!$J$4:$J$54,MATCH($C374,'Screening Emission Calculations'!$C$4:$C$54,0)),"lbm","g")/8760/3600</f>
        <v>1.6115102747896206E-8</v>
      </c>
      <c r="E374" s="86">
        <f>CONVERT(INDEX('Screening Emission Calculations'!$J$83:$J$133,MATCH($C374,'Screening Emission Calculations'!$C$83:$C$133,0)),"lbm","g")/24/3600</f>
        <v>1.3921470282831512E-6</v>
      </c>
      <c r="F374" s="84">
        <f t="shared" ref="F374:K383" si="60">IF(INDEX($B$6:$L$56,MATCH($C374,$C$6:$C$56,0),MATCH(F$5,$B$5:$L$5,0))="",0,$D374/INDEX($B$6:$L$56,MATCH($C374,$C$6:$C$56,0),MATCH(F$5,$B$5:$L$5,0)))</f>
        <v>3.7476983134642339E-5</v>
      </c>
      <c r="G374" s="85">
        <f t="shared" si="60"/>
        <v>0</v>
      </c>
      <c r="H374" s="85">
        <f t="shared" si="60"/>
        <v>1.007193921743513E-6</v>
      </c>
      <c r="I374" s="85">
        <f t="shared" si="60"/>
        <v>0</v>
      </c>
      <c r="J374" s="85">
        <f t="shared" si="60"/>
        <v>5.3717009159654026E-7</v>
      </c>
      <c r="K374" s="85">
        <f t="shared" si="60"/>
        <v>0</v>
      </c>
      <c r="L374" s="86">
        <f t="shared" si="57"/>
        <v>0</v>
      </c>
    </row>
    <row r="375" spans="2:12" x14ac:dyDescent="0.2">
      <c r="B375" s="133" t="s">
        <v>47</v>
      </c>
      <c r="C375" s="134" t="str">
        <f t="shared" si="59"/>
        <v>7440-48-4</v>
      </c>
      <c r="D375" s="332">
        <f>CONVERT(INDEX('Screening Emission Calculations'!$J$4:$J$54,MATCH($C375,'Screening Emission Calculations'!$C$4:$C$54,0)),"lbm","g")/8760/3600</f>
        <v>0</v>
      </c>
      <c r="E375" s="86">
        <f>CONVERT(INDEX('Screening Emission Calculations'!$J$83:$J$133,MATCH($C375,'Screening Emission Calculations'!$C$83:$C$133,0)),"lbm","g")/24/3600</f>
        <v>0</v>
      </c>
      <c r="F375" s="84">
        <f t="shared" si="60"/>
        <v>0</v>
      </c>
      <c r="G375" s="85">
        <f t="shared" si="60"/>
        <v>0</v>
      </c>
      <c r="H375" s="85">
        <f t="shared" si="60"/>
        <v>0</v>
      </c>
      <c r="I375" s="85">
        <f t="shared" si="60"/>
        <v>0</v>
      </c>
      <c r="J375" s="85">
        <f t="shared" si="60"/>
        <v>0</v>
      </c>
      <c r="K375" s="85">
        <f t="shared" si="60"/>
        <v>0</v>
      </c>
      <c r="L375" s="86">
        <f t="shared" si="57"/>
        <v>0</v>
      </c>
    </row>
    <row r="376" spans="2:12" x14ac:dyDescent="0.2">
      <c r="B376" s="133" t="s">
        <v>49</v>
      </c>
      <c r="C376" s="134" t="str">
        <f t="shared" si="59"/>
        <v>7440-50-8</v>
      </c>
      <c r="D376" s="332">
        <f>CONVERT(INDEX('Screening Emission Calculations'!$J$4:$J$54,MATCH($C376,'Screening Emission Calculations'!$C$4:$C$54,0)),"lbm","g")/8760/3600</f>
        <v>0</v>
      </c>
      <c r="E376" s="86">
        <f>CONVERT(INDEX('Screening Emission Calculations'!$J$83:$J$133,MATCH($C376,'Screening Emission Calculations'!$C$83:$C$133,0)),"lbm","g")/24/3600</f>
        <v>0</v>
      </c>
      <c r="F376" s="84">
        <f t="shared" si="60"/>
        <v>0</v>
      </c>
      <c r="G376" s="85">
        <f t="shared" si="60"/>
        <v>0</v>
      </c>
      <c r="H376" s="85">
        <f t="shared" si="60"/>
        <v>0</v>
      </c>
      <c r="I376" s="85">
        <f t="shared" si="60"/>
        <v>0</v>
      </c>
      <c r="J376" s="85">
        <f t="shared" si="60"/>
        <v>0</v>
      </c>
      <c r="K376" s="85">
        <f t="shared" si="60"/>
        <v>0</v>
      </c>
      <c r="L376" s="86">
        <f t="shared" si="57"/>
        <v>0</v>
      </c>
    </row>
    <row r="377" spans="2:12" x14ac:dyDescent="0.2">
      <c r="B377" s="135" t="s">
        <v>140</v>
      </c>
      <c r="C377" s="136" t="str">
        <f t="shared" si="59"/>
        <v>53-70-3</v>
      </c>
      <c r="D377" s="332">
        <f>CONVERT(INDEX('Screening Emission Calculations'!$J$4:$J$54,MATCH($C377,'Screening Emission Calculations'!$C$4:$C$54,0)),"lbm","g")/8760/3600</f>
        <v>6.7718299488049829E-11</v>
      </c>
      <c r="E377" s="86">
        <f>CONVERT(INDEX('Screening Emission Calculations'!$J$83:$J$133,MATCH($C377,'Screening Emission Calculations'!$C$83:$C$133,0)),"lbm","g")/24/3600</f>
        <v>5.8500296813176856E-9</v>
      </c>
      <c r="F377" s="84">
        <f t="shared" si="60"/>
        <v>1.5748441741406935E-5</v>
      </c>
      <c r="G377" s="85">
        <f t="shared" si="60"/>
        <v>0</v>
      </c>
      <c r="H377" s="85">
        <f t="shared" si="60"/>
        <v>4.2323937180031137E-7</v>
      </c>
      <c r="I377" s="85">
        <f t="shared" si="60"/>
        <v>0</v>
      </c>
      <c r="J377" s="85">
        <f t="shared" si="60"/>
        <v>2.2572766496016613E-7</v>
      </c>
      <c r="K377" s="85">
        <f t="shared" si="60"/>
        <v>0</v>
      </c>
      <c r="L377" s="86">
        <f t="shared" si="57"/>
        <v>0</v>
      </c>
    </row>
    <row r="378" spans="2:12" x14ac:dyDescent="0.2">
      <c r="B378" s="133" t="s">
        <v>191</v>
      </c>
      <c r="C378" s="134">
        <f t="shared" si="59"/>
        <v>200</v>
      </c>
      <c r="D378" s="332">
        <f>CONVERT(INDEX('Screening Emission Calculations'!$J$4:$J$54,MATCH($C378,'Screening Emission Calculations'!$C$4:$C$54,0)),"lbm","g")/8760/3600</f>
        <v>4.3053736787401807E-3</v>
      </c>
      <c r="E378" s="86">
        <f>CONVERT(INDEX('Screening Emission Calculations'!$J$83:$J$133,MATCH($C378,'Screening Emission Calculations'!$C$83:$C$133,0)),"lbm","g")/24/3600</f>
        <v>0.37193142769686088</v>
      </c>
      <c r="F378" s="84">
        <f t="shared" si="60"/>
        <v>4.3053736787401806E-2</v>
      </c>
      <c r="G378" s="85">
        <f t="shared" si="60"/>
        <v>8.6107473574803615E-4</v>
      </c>
      <c r="H378" s="85">
        <f t="shared" si="60"/>
        <v>1.655912953361608E-3</v>
      </c>
      <c r="I378" s="85">
        <f t="shared" si="60"/>
        <v>1.9569880357909913E-4</v>
      </c>
      <c r="J378" s="85">
        <f t="shared" si="60"/>
        <v>3.5878113989501509E-3</v>
      </c>
      <c r="K378" s="85">
        <f t="shared" si="60"/>
        <v>1.9569880357909913E-4</v>
      </c>
      <c r="L378" s="86">
        <f t="shared" si="57"/>
        <v>0</v>
      </c>
    </row>
    <row r="379" spans="2:12" x14ac:dyDescent="0.2">
      <c r="B379" s="133" t="s">
        <v>53</v>
      </c>
      <c r="C379" s="134" t="str">
        <f t="shared" si="59"/>
        <v>100-41-4</v>
      </c>
      <c r="D379" s="332">
        <f>CONVERT(INDEX('Screening Emission Calculations'!$J$4:$J$54,MATCH($C379,'Screening Emission Calculations'!$C$4:$C$54,0)),"lbm","g")/8760/3600</f>
        <v>0</v>
      </c>
      <c r="E379" s="86">
        <f>CONVERT(INDEX('Screening Emission Calculations'!$J$83:$J$133,MATCH($C379,'Screening Emission Calculations'!$C$83:$C$133,0)),"lbm","g")/24/3600</f>
        <v>0</v>
      </c>
      <c r="F379" s="84">
        <f t="shared" si="60"/>
        <v>0</v>
      </c>
      <c r="G379" s="85">
        <f t="shared" si="60"/>
        <v>0</v>
      </c>
      <c r="H379" s="85">
        <f t="shared" si="60"/>
        <v>0</v>
      </c>
      <c r="I379" s="85">
        <f t="shared" si="60"/>
        <v>0</v>
      </c>
      <c r="J379" s="85">
        <f t="shared" si="60"/>
        <v>0</v>
      </c>
      <c r="K379" s="85">
        <f t="shared" si="60"/>
        <v>0</v>
      </c>
      <c r="L379" s="86">
        <f t="shared" si="57"/>
        <v>0</v>
      </c>
    </row>
    <row r="380" spans="2:12" x14ac:dyDescent="0.2">
      <c r="B380" s="137" t="s">
        <v>141</v>
      </c>
      <c r="C380" s="138" t="str">
        <f t="shared" si="59"/>
        <v>206-44-0</v>
      </c>
      <c r="D380" s="332">
        <f>CONVERT(INDEX('Screening Emission Calculations'!$J$4:$J$54,MATCH($C380,'Screening Emission Calculations'!$C$4:$C$54,0)),"lbm","g")/8760/3600</f>
        <v>6.7780414990445758E-8</v>
      </c>
      <c r="E380" s="86">
        <f>CONVERT(INDEX('Screening Emission Calculations'!$J$83:$J$133,MATCH($C380,'Screening Emission Calculations'!$C$83:$C$133,0)),"lbm","g")/24/3600</f>
        <v>5.8553956981171787E-6</v>
      </c>
      <c r="F380" s="84">
        <f t="shared" si="60"/>
        <v>1.2788757545367124E-4</v>
      </c>
      <c r="G380" s="85">
        <f t="shared" si="60"/>
        <v>0</v>
      </c>
      <c r="H380" s="85">
        <f t="shared" si="60"/>
        <v>3.389020749522288E-6</v>
      </c>
      <c r="I380" s="85">
        <f t="shared" si="60"/>
        <v>0</v>
      </c>
      <c r="J380" s="85">
        <f t="shared" si="60"/>
        <v>1.7836951313275201E-6</v>
      </c>
      <c r="K380" s="85">
        <f t="shared" si="60"/>
        <v>0</v>
      </c>
      <c r="L380" s="86">
        <f t="shared" si="57"/>
        <v>0</v>
      </c>
    </row>
    <row r="381" spans="2:12" x14ac:dyDescent="0.2">
      <c r="B381" s="137" t="s">
        <v>142</v>
      </c>
      <c r="C381" s="138" t="str">
        <f t="shared" si="59"/>
        <v>86-73-7</v>
      </c>
      <c r="D381" s="332">
        <f>CONVERT(INDEX('Screening Emission Calculations'!$J$4:$J$54,MATCH($C381,'Screening Emission Calculations'!$C$4:$C$54,0)),"lbm","g")/8760/3600</f>
        <v>3.9721956634341714E-7</v>
      </c>
      <c r="E381" s="86">
        <f>CONVERT(INDEX('Screening Emission Calculations'!$J$83:$J$133,MATCH($C381,'Screening Emission Calculations'!$C$83:$C$133,0)),"lbm","g")/24/3600</f>
        <v>3.431489376840006E-5</v>
      </c>
      <c r="F381" s="84">
        <f t="shared" si="60"/>
        <v>0</v>
      </c>
      <c r="G381" s="85">
        <f t="shared" si="60"/>
        <v>0</v>
      </c>
      <c r="H381" s="85">
        <f t="shared" si="60"/>
        <v>0</v>
      </c>
      <c r="I381" s="85">
        <f t="shared" si="60"/>
        <v>0</v>
      </c>
      <c r="J381" s="85">
        <f t="shared" si="60"/>
        <v>0</v>
      </c>
      <c r="K381" s="85">
        <f t="shared" si="60"/>
        <v>0</v>
      </c>
      <c r="L381" s="86">
        <f t="shared" si="57"/>
        <v>0</v>
      </c>
    </row>
    <row r="382" spans="2:12" x14ac:dyDescent="0.2">
      <c r="B382" s="133" t="s">
        <v>59</v>
      </c>
      <c r="C382" s="134" t="str">
        <f t="shared" si="59"/>
        <v>50-00-0</v>
      </c>
      <c r="D382" s="332">
        <f>CONVERT(INDEX('Screening Emission Calculations'!$J$4:$J$54,MATCH($C382,'Screening Emission Calculations'!$C$4:$C$54,0)),"lbm","g")/8760/3600</f>
        <v>5.8147988238256196E-4</v>
      </c>
      <c r="E382" s="86">
        <f>CONVERT(INDEX('Screening Emission Calculations'!$J$83:$J$133,MATCH($C382,'Screening Emission Calculations'!$C$83:$C$133,0)),"lbm","g")/24/3600</f>
        <v>5.011274136533795E-2</v>
      </c>
      <c r="F382" s="84">
        <f t="shared" si="60"/>
        <v>3.4204698963680113E-3</v>
      </c>
      <c r="G382" s="85">
        <f t="shared" si="60"/>
        <v>6.4608875820284666E-5</v>
      </c>
      <c r="H382" s="85">
        <f t="shared" si="60"/>
        <v>1.3522787962385162E-4</v>
      </c>
      <c r="I382" s="85">
        <f t="shared" si="60"/>
        <v>1.453699705956405E-5</v>
      </c>
      <c r="J382" s="85">
        <f t="shared" si="60"/>
        <v>2.9073994119128098E-4</v>
      </c>
      <c r="K382" s="85">
        <f t="shared" si="60"/>
        <v>1.453699705956405E-5</v>
      </c>
      <c r="L382" s="86">
        <f t="shared" si="57"/>
        <v>1.0227090074558765E-3</v>
      </c>
    </row>
    <row r="383" spans="2:12" x14ac:dyDescent="0.2">
      <c r="B383" s="133" t="s">
        <v>61</v>
      </c>
      <c r="C383" s="134" t="str">
        <f t="shared" si="59"/>
        <v>110-54-3</v>
      </c>
      <c r="D383" s="332">
        <f>CONVERT(INDEX('Screening Emission Calculations'!$J$4:$J$54,MATCH($C383,'Screening Emission Calculations'!$C$4:$C$54,0)),"lbm","g")/8760/3600</f>
        <v>0</v>
      </c>
      <c r="E383" s="86">
        <f>CONVERT(INDEX('Screening Emission Calculations'!$J$83:$J$133,MATCH($C383,'Screening Emission Calculations'!$C$83:$C$133,0)),"lbm","g")/24/3600</f>
        <v>0</v>
      </c>
      <c r="F383" s="84">
        <f t="shared" si="60"/>
        <v>0</v>
      </c>
      <c r="G383" s="85">
        <f t="shared" si="60"/>
        <v>0</v>
      </c>
      <c r="H383" s="85">
        <f t="shared" si="60"/>
        <v>0</v>
      </c>
      <c r="I383" s="85">
        <f t="shared" si="60"/>
        <v>0</v>
      </c>
      <c r="J383" s="85">
        <f t="shared" si="60"/>
        <v>0</v>
      </c>
      <c r="K383" s="85">
        <f t="shared" si="60"/>
        <v>0</v>
      </c>
      <c r="L383" s="86">
        <f t="shared" si="57"/>
        <v>0</v>
      </c>
    </row>
    <row r="384" spans="2:12" x14ac:dyDescent="0.2">
      <c r="B384" s="133" t="s">
        <v>143</v>
      </c>
      <c r="C384" s="134" t="str">
        <f t="shared" si="59"/>
        <v>18540-29-9</v>
      </c>
      <c r="D384" s="332">
        <f>CONVERT(INDEX('Screening Emission Calculations'!$J$4:$J$54,MATCH($C384,'Screening Emission Calculations'!$C$4:$C$54,0)),"lbm","g")/8760/3600</f>
        <v>8.2655525935448582E-8</v>
      </c>
      <c r="E384" s="86">
        <f>CONVERT(INDEX('Screening Emission Calculations'!$J$83:$J$133,MATCH($C384,'Screening Emission Calculations'!$C$83:$C$133,0)),"lbm","g")/24/3600</f>
        <v>7.2406240719452951E-6</v>
      </c>
      <c r="F384" s="84">
        <f t="shared" ref="F384:K393" si="61">IF(INDEX($B$6:$L$56,MATCH($C384,$C$6:$C$56,0),MATCH(F$5,$B$5:$L$5,0))="",0,$D384/INDEX($B$6:$L$56,MATCH($C384,$C$6:$C$56,0),MATCH(F$5,$B$5:$L$5,0)))</f>
        <v>2.6663072882402768E-3</v>
      </c>
      <c r="G384" s="85">
        <f t="shared" si="61"/>
        <v>9.9584971006564544E-7</v>
      </c>
      <c r="H384" s="85">
        <f t="shared" si="61"/>
        <v>1.5895293449124729E-4</v>
      </c>
      <c r="I384" s="85">
        <f t="shared" si="61"/>
        <v>9.39267340175552E-8</v>
      </c>
      <c r="J384" s="85">
        <f t="shared" si="61"/>
        <v>8.2655525935448581E-5</v>
      </c>
      <c r="K384" s="85">
        <f t="shared" si="61"/>
        <v>9.39267340175552E-8</v>
      </c>
      <c r="L384" s="86">
        <f t="shared" si="57"/>
        <v>2.4135413573150985E-5</v>
      </c>
    </row>
    <row r="385" spans="2:12" x14ac:dyDescent="0.2">
      <c r="B385" s="133" t="s">
        <v>64</v>
      </c>
      <c r="C385" s="134" t="str">
        <f t="shared" si="59"/>
        <v>7647-01-0</v>
      </c>
      <c r="D385" s="332">
        <f>CONVERT(INDEX('Screening Emission Calculations'!$J$4:$J$54,MATCH($C385,'Screening Emission Calculations'!$C$4:$C$54,0)),"lbm","g")/8760/3600</f>
        <v>4.7250633687729152E-5</v>
      </c>
      <c r="E385" s="86">
        <f>CONVERT(INDEX('Screening Emission Calculations'!$J$83:$J$133,MATCH($C385,'Screening Emission Calculations'!$C$83:$C$133,0)),"lbm","g")/24/3600</f>
        <v>4.0818746428070594E-3</v>
      </c>
      <c r="F385" s="84">
        <f t="shared" si="61"/>
        <v>0</v>
      </c>
      <c r="G385" s="85">
        <f t="shared" si="61"/>
        <v>2.3625316843864575E-6</v>
      </c>
      <c r="H385" s="85">
        <f t="shared" si="61"/>
        <v>0</v>
      </c>
      <c r="I385" s="85">
        <f t="shared" si="61"/>
        <v>5.3693901917874034E-7</v>
      </c>
      <c r="J385" s="85">
        <f t="shared" si="61"/>
        <v>0</v>
      </c>
      <c r="K385" s="85">
        <f t="shared" si="61"/>
        <v>5.3693901917874034E-7</v>
      </c>
      <c r="L385" s="86">
        <f t="shared" si="57"/>
        <v>1.9437498299081234E-6</v>
      </c>
    </row>
    <row r="386" spans="2:12" x14ac:dyDescent="0.2">
      <c r="B386" s="137" t="s">
        <v>144</v>
      </c>
      <c r="C386" s="138" t="str">
        <f t="shared" si="59"/>
        <v>193-39-5</v>
      </c>
      <c r="D386" s="332">
        <f>CONVERT(INDEX('Screening Emission Calculations'!$J$4:$J$54,MATCH($C386,'Screening Emission Calculations'!$C$4:$C$54,0)),"lbm","g")/8760/3600</f>
        <v>1.99117795040958E-9</v>
      </c>
      <c r="E386" s="86">
        <f>CONVERT(INDEX('Screening Emission Calculations'!$J$83:$J$133,MATCH($C386,'Screening Emission Calculations'!$C$83:$C$133,0)),"lbm","g")/24/3600</f>
        <v>1.7201332872714776E-7</v>
      </c>
      <c r="F386" s="84">
        <f t="shared" si="61"/>
        <v>3.2642261482124265E-6</v>
      </c>
      <c r="G386" s="85">
        <f t="shared" si="61"/>
        <v>0</v>
      </c>
      <c r="H386" s="85">
        <f t="shared" si="61"/>
        <v>9.0508088654980913E-8</v>
      </c>
      <c r="I386" s="85">
        <f t="shared" si="61"/>
        <v>0</v>
      </c>
      <c r="J386" s="85">
        <f t="shared" si="61"/>
        <v>4.6306463963013493E-8</v>
      </c>
      <c r="K386" s="85">
        <f t="shared" si="61"/>
        <v>0</v>
      </c>
      <c r="L386" s="86">
        <f t="shared" ref="L386:L404" si="62">IF(INDEX($B$6:$L$56,MATCH($C386,$C$6:$C$56,0),MATCH(L$4,$B$4:$L$4,0))="",0,$E386/INDEX($B$6:$L$56,MATCH($C386,$C$6:$C$56,0),MATCH(L$4,$B$4:$L$4,0)))</f>
        <v>0</v>
      </c>
    </row>
    <row r="387" spans="2:12" x14ac:dyDescent="0.2">
      <c r="B387" s="133" t="s">
        <v>68</v>
      </c>
      <c r="C387" s="134" t="str">
        <f t="shared" si="59"/>
        <v>7439-92-1</v>
      </c>
      <c r="D387" s="332">
        <f>CONVERT(INDEX('Screening Emission Calculations'!$J$4:$J$54,MATCH($C387,'Screening Emission Calculations'!$C$4:$C$54,0)),"lbm","g")/8760/3600</f>
        <v>5.9393042029458404E-8</v>
      </c>
      <c r="E387" s="86">
        <f>CONVERT(INDEX('Screening Emission Calculations'!$J$83:$J$133,MATCH($C387,'Screening Emission Calculations'!$C$83:$C$133,0)),"lbm","g")/24/3600</f>
        <v>5.2028304817805556E-6</v>
      </c>
      <c r="F387" s="84">
        <f t="shared" si="61"/>
        <v>0</v>
      </c>
      <c r="G387" s="85">
        <f t="shared" si="61"/>
        <v>3.9595361352972273E-7</v>
      </c>
      <c r="H387" s="85">
        <f t="shared" si="61"/>
        <v>0</v>
      </c>
      <c r="I387" s="85">
        <f t="shared" si="61"/>
        <v>8.9989457620391524E-8</v>
      </c>
      <c r="J387" s="85">
        <f t="shared" si="61"/>
        <v>0</v>
      </c>
      <c r="K387" s="85">
        <f t="shared" si="61"/>
        <v>8.9989457620391524E-8</v>
      </c>
      <c r="L387" s="86">
        <f t="shared" si="62"/>
        <v>3.4685536545203704E-5</v>
      </c>
    </row>
    <row r="388" spans="2:12" x14ac:dyDescent="0.2">
      <c r="B388" s="133" t="s">
        <v>70</v>
      </c>
      <c r="C388" s="134" t="str">
        <f t="shared" si="59"/>
        <v>7439-96-5</v>
      </c>
      <c r="D388" s="332">
        <f>CONVERT(INDEX('Screening Emission Calculations'!$J$4:$J$54,MATCH($C388,'Screening Emission Calculations'!$C$4:$C$54,0)),"lbm","g")/8760/3600</f>
        <v>5.1823427179253163E-8</v>
      </c>
      <c r="E388" s="86">
        <f>CONVERT(INDEX('Screening Emission Calculations'!$J$83:$J$133,MATCH($C388,'Screening Emission Calculations'!$C$83:$C$133,0)),"lbm","g")/24/3600</f>
        <v>4.5397322209025775E-6</v>
      </c>
      <c r="F388" s="84">
        <f t="shared" si="61"/>
        <v>0</v>
      </c>
      <c r="G388" s="85">
        <f t="shared" si="61"/>
        <v>5.7581585754725738E-7</v>
      </c>
      <c r="H388" s="85">
        <f t="shared" si="61"/>
        <v>0</v>
      </c>
      <c r="I388" s="85">
        <f t="shared" si="61"/>
        <v>1.2955856794813289E-7</v>
      </c>
      <c r="J388" s="85">
        <f t="shared" si="61"/>
        <v>0</v>
      </c>
      <c r="K388" s="85">
        <f t="shared" si="61"/>
        <v>1.2955856794813289E-7</v>
      </c>
      <c r="L388" s="86">
        <f t="shared" si="62"/>
        <v>1.5132440736341925E-5</v>
      </c>
    </row>
    <row r="389" spans="2:12" x14ac:dyDescent="0.2">
      <c r="B389" s="133" t="s">
        <v>72</v>
      </c>
      <c r="C389" s="134" t="str">
        <f t="shared" si="59"/>
        <v>7439-97-6</v>
      </c>
      <c r="D389" s="332">
        <f>CONVERT(INDEX('Screening Emission Calculations'!$J$4:$J$54,MATCH($C389,'Screening Emission Calculations'!$C$4:$C$54,0)),"lbm","g")/8760/3600</f>
        <v>3.1942476385591068E-9</v>
      </c>
      <c r="E389" s="86">
        <f>CONVERT(INDEX('Screening Emission Calculations'!$J$83:$J$133,MATCH($C389,'Screening Emission Calculations'!$C$83:$C$133,0)),"lbm","g")/24/3600</f>
        <v>2.7981609313777779E-7</v>
      </c>
      <c r="F389" s="84">
        <f t="shared" si="61"/>
        <v>0</v>
      </c>
      <c r="G389" s="85">
        <f t="shared" si="61"/>
        <v>4.1483735565702688E-8</v>
      </c>
      <c r="H389" s="85">
        <f t="shared" si="61"/>
        <v>0</v>
      </c>
      <c r="I389" s="85">
        <f t="shared" si="61"/>
        <v>5.0702343469192174E-9</v>
      </c>
      <c r="J389" s="85">
        <f t="shared" si="61"/>
        <v>0</v>
      </c>
      <c r="K389" s="85">
        <f t="shared" si="61"/>
        <v>5.0702343469192174E-9</v>
      </c>
      <c r="L389" s="86">
        <f t="shared" si="62"/>
        <v>4.6636015522962966E-7</v>
      </c>
    </row>
    <row r="390" spans="2:12" x14ac:dyDescent="0.2">
      <c r="B390" s="133" t="s">
        <v>145</v>
      </c>
      <c r="C390" s="134" t="str">
        <f t="shared" si="59"/>
        <v>91-57-6</v>
      </c>
      <c r="D390" s="332">
        <f>CONVERT(INDEX('Screening Emission Calculations'!$J$4:$J$54,MATCH($C390,'Screening Emission Calculations'!$C$4:$C$54,0)),"lbm","g")/8760/3600</f>
        <v>2.2314989349208945E-6</v>
      </c>
      <c r="E390" s="86">
        <f>CONVERT(INDEX('Screening Emission Calculations'!$J$83:$J$133,MATCH($C390,'Screening Emission Calculations'!$C$83:$C$133,0)),"lbm","g")/24/3600</f>
        <v>1.9277411130826926E-4</v>
      </c>
      <c r="F390" s="84">
        <f t="shared" si="61"/>
        <v>0</v>
      </c>
      <c r="G390" s="85">
        <f t="shared" si="61"/>
        <v>0</v>
      </c>
      <c r="H390" s="85">
        <f t="shared" si="61"/>
        <v>0</v>
      </c>
      <c r="I390" s="85">
        <f t="shared" si="61"/>
        <v>0</v>
      </c>
      <c r="J390" s="85">
        <f t="shared" si="61"/>
        <v>0</v>
      </c>
      <c r="K390" s="85">
        <f t="shared" si="61"/>
        <v>0</v>
      </c>
      <c r="L390" s="86">
        <f t="shared" si="62"/>
        <v>0</v>
      </c>
    </row>
    <row r="391" spans="2:12" x14ac:dyDescent="0.2">
      <c r="B391" s="133" t="s">
        <v>146</v>
      </c>
      <c r="C391" s="134" t="str">
        <f t="shared" si="59"/>
        <v>91-20-3</v>
      </c>
      <c r="D391" s="332">
        <f>CONVERT(INDEX('Screening Emission Calculations'!$J$4:$J$54,MATCH($C391,'Screening Emission Calculations'!$C$4:$C$54,0)),"lbm","g")/8760/3600</f>
        <v>4.3120360457472996E-6</v>
      </c>
      <c r="E391" s="86">
        <f>CONVERT(INDEX('Screening Emission Calculations'!$J$83:$J$133,MATCH($C391,'Screening Emission Calculations'!$C$83:$C$133,0)),"lbm","g")/24/3600</f>
        <v>3.7250697441073465E-4</v>
      </c>
      <c r="F391" s="84">
        <f t="shared" si="61"/>
        <v>1.4869089812921722E-4</v>
      </c>
      <c r="G391" s="85">
        <f t="shared" si="61"/>
        <v>1.1654151474992701E-6</v>
      </c>
      <c r="H391" s="85">
        <f t="shared" si="61"/>
        <v>5.673731639141184E-6</v>
      </c>
      <c r="I391" s="85">
        <f t="shared" si="61"/>
        <v>2.6950225285920623E-7</v>
      </c>
      <c r="J391" s="85">
        <f t="shared" si="61"/>
        <v>1.2320102987849428E-5</v>
      </c>
      <c r="K391" s="85">
        <f t="shared" si="61"/>
        <v>2.6950225285920623E-7</v>
      </c>
      <c r="L391" s="86">
        <f t="shared" si="62"/>
        <v>1.8625348720536733E-6</v>
      </c>
    </row>
    <row r="392" spans="2:12" x14ac:dyDescent="0.2">
      <c r="B392" s="133" t="s">
        <v>78</v>
      </c>
      <c r="C392" s="134">
        <f t="shared" si="59"/>
        <v>365</v>
      </c>
      <c r="D392" s="332">
        <f>CONVERT(INDEX('Screening Emission Calculations'!$J$4:$J$54,MATCH($C392,'Screening Emission Calculations'!$C$4:$C$54,0)),"lbm","g")/8760/3600</f>
        <v>4.6447185905638245E-8</v>
      </c>
      <c r="E392" s="86">
        <f>CONVERT(INDEX('Screening Emission Calculations'!$J$83:$J$133,MATCH($C392,'Screening Emission Calculations'!$C$83:$C$133,0)),"lbm","g")/24/3600</f>
        <v>4.0687734853339099E-6</v>
      </c>
      <c r="F392" s="84">
        <f t="shared" si="61"/>
        <v>1.2222943659378485E-5</v>
      </c>
      <c r="G392" s="85">
        <f t="shared" si="61"/>
        <v>3.3176561361170173E-6</v>
      </c>
      <c r="H392" s="85">
        <f t="shared" si="61"/>
        <v>4.6447185905638243E-7</v>
      </c>
      <c r="I392" s="85">
        <f t="shared" si="61"/>
        <v>7.4914815976835878E-7</v>
      </c>
      <c r="J392" s="85">
        <f t="shared" si="61"/>
        <v>1.0097214327312663E-6</v>
      </c>
      <c r="K392" s="85">
        <f t="shared" si="61"/>
        <v>7.4914815976835878E-7</v>
      </c>
      <c r="L392" s="86">
        <f t="shared" si="62"/>
        <v>2.0343867426669547E-5</v>
      </c>
    </row>
    <row r="393" spans="2:12" x14ac:dyDescent="0.2">
      <c r="B393" s="133" t="s">
        <v>147</v>
      </c>
      <c r="C393" s="134" t="str">
        <f t="shared" si="59"/>
        <v>198-55-0</v>
      </c>
      <c r="D393" s="332">
        <f>CONVERT(INDEX('Screening Emission Calculations'!$J$4:$J$54,MATCH($C393,'Screening Emission Calculations'!$C$4:$C$54,0)),"lbm","g")/8760/3600</f>
        <v>8.9022933034852027E-11</v>
      </c>
      <c r="E393" s="86">
        <f>CONVERT(INDEX('Screening Emission Calculations'!$J$83:$J$133,MATCH($C393,'Screening Emission Calculations'!$C$83:$C$133,0)),"lbm","g")/24/3600</f>
        <v>7.6904884574625744E-9</v>
      </c>
      <c r="F393" s="84">
        <f t="shared" si="61"/>
        <v>0</v>
      </c>
      <c r="G393" s="85">
        <f t="shared" si="61"/>
        <v>0</v>
      </c>
      <c r="H393" s="85">
        <f t="shared" si="61"/>
        <v>0</v>
      </c>
      <c r="I393" s="85">
        <f t="shared" si="61"/>
        <v>0</v>
      </c>
      <c r="J393" s="85">
        <f t="shared" si="61"/>
        <v>0</v>
      </c>
      <c r="K393" s="85">
        <f t="shared" si="61"/>
        <v>0</v>
      </c>
      <c r="L393" s="86">
        <f t="shared" si="62"/>
        <v>0</v>
      </c>
    </row>
    <row r="394" spans="2:12" x14ac:dyDescent="0.2">
      <c r="B394" s="133" t="s">
        <v>148</v>
      </c>
      <c r="C394" s="134" t="str">
        <f t="shared" si="59"/>
        <v>85-01-8</v>
      </c>
      <c r="D394" s="332">
        <f>CONVERT(INDEX('Screening Emission Calculations'!$J$4:$J$54,MATCH($C394,'Screening Emission Calculations'!$C$4:$C$54,0)),"lbm","g")/8760/3600</f>
        <v>9.7173545567469808E-7</v>
      </c>
      <c r="E394" s="86">
        <f>CONVERT(INDEX('Screening Emission Calculations'!$J$83:$J$133,MATCH($C394,'Screening Emission Calculations'!$C$83:$C$133,0)),"lbm","g")/24/3600</f>
        <v>8.3946013131781604E-5</v>
      </c>
      <c r="F394" s="84">
        <f t="shared" ref="F394:K404" si="63">IF(INDEX($B$6:$L$56,MATCH($C394,$C$6:$C$56,0),MATCH(F$5,$B$5:$L$5,0))="",0,$D394/INDEX($B$6:$L$56,MATCH($C394,$C$6:$C$56,0),MATCH(F$5,$B$5:$L$5,0)))</f>
        <v>0</v>
      </c>
      <c r="G394" s="85">
        <f t="shared" si="63"/>
        <v>0</v>
      </c>
      <c r="H394" s="85">
        <f t="shared" si="63"/>
        <v>0</v>
      </c>
      <c r="I394" s="85">
        <f t="shared" si="63"/>
        <v>0</v>
      </c>
      <c r="J394" s="85">
        <f t="shared" si="63"/>
        <v>0</v>
      </c>
      <c r="K394" s="85">
        <f t="shared" si="63"/>
        <v>0</v>
      </c>
      <c r="L394" s="86">
        <f t="shared" si="62"/>
        <v>0</v>
      </c>
    </row>
    <row r="395" spans="2:12" x14ac:dyDescent="0.2">
      <c r="B395" s="133" t="s">
        <v>83</v>
      </c>
      <c r="C395" s="134">
        <f t="shared" si="59"/>
        <v>504</v>
      </c>
      <c r="D395" s="332">
        <f>CONVERT(INDEX('Screening Emission Calculations'!$J$4:$J$54,MATCH($C395,'Screening Emission Calculations'!$C$4:$C$54,0)),"lbm","g")/8760/3600</f>
        <v>1.3700420184601136E-6</v>
      </c>
      <c r="E395" s="86">
        <f>CONVERT(INDEX('Screening Emission Calculations'!$J$83:$J$133,MATCH($C395,'Screening Emission Calculations'!$C$83:$C$133,0)),"lbm","g")/24/3600</f>
        <v>1.2001568081710596E-4</v>
      </c>
      <c r="F395" s="84">
        <f t="shared" si="63"/>
        <v>0</v>
      </c>
      <c r="G395" s="85">
        <f t="shared" si="63"/>
        <v>0</v>
      </c>
      <c r="H395" s="85">
        <f t="shared" si="63"/>
        <v>0</v>
      </c>
      <c r="I395" s="85">
        <f t="shared" si="63"/>
        <v>0</v>
      </c>
      <c r="J395" s="85">
        <f t="shared" si="63"/>
        <v>0</v>
      </c>
      <c r="K395" s="85">
        <f t="shared" si="63"/>
        <v>0</v>
      </c>
      <c r="L395" s="86">
        <f t="shared" si="62"/>
        <v>0</v>
      </c>
    </row>
    <row r="396" spans="2:12" x14ac:dyDescent="0.2">
      <c r="B396" s="133" t="s">
        <v>84</v>
      </c>
      <c r="C396" s="134" t="s">
        <v>85</v>
      </c>
      <c r="D396" s="332">
        <f>CONVERT(INDEX('Screening Emission Calculations'!$J$4:$J$54,MATCH($C396,'Screening Emission Calculations'!$C$4:$C$54,0)),"lbm","g")/8760/3600</f>
        <v>1.1920449722615514E-4</v>
      </c>
      <c r="E396" s="86">
        <f>CONVERT(INDEX('Screening Emission Calculations'!$J$83:$J$133,MATCH($C396,'Screening Emission Calculations'!$C$83:$C$133,0)),"lbm","g")/24/3600</f>
        <v>1.0297805057001168E-2</v>
      </c>
      <c r="F396" s="84">
        <f t="shared" si="63"/>
        <v>0</v>
      </c>
      <c r="G396" s="85">
        <f t="shared" si="63"/>
        <v>3.9734832408718382E-8</v>
      </c>
      <c r="H396" s="85">
        <f t="shared" si="63"/>
        <v>0</v>
      </c>
      <c r="I396" s="85">
        <f t="shared" si="63"/>
        <v>9.1695767097042409E-9</v>
      </c>
      <c r="J396" s="85">
        <f t="shared" si="63"/>
        <v>0</v>
      </c>
      <c r="K396" s="85">
        <f t="shared" si="63"/>
        <v>9.1695767097042409E-9</v>
      </c>
      <c r="L396" s="86">
        <f t="shared" si="62"/>
        <v>0</v>
      </c>
    </row>
    <row r="397" spans="2:12" x14ac:dyDescent="0.2">
      <c r="B397" s="133" t="s">
        <v>149</v>
      </c>
      <c r="C397" s="134" t="s">
        <v>87</v>
      </c>
      <c r="D397" s="332">
        <f>CONVERT(INDEX('Screening Emission Calculations'!$J$4:$J$54,MATCH($C397,'Screening Emission Calculations'!$C$4:$C$54,0)),"lbm","g")/8760/3600</f>
        <v>2.3852024352924607E-7</v>
      </c>
      <c r="E397" s="86">
        <f>CONVERT(INDEX('Screening Emission Calculations'!$J$83:$J$133,MATCH($C397,'Screening Emission Calculations'!$C$83:$C$133,0)),"lbm","g")/24/3600</f>
        <v>2.0605220668416933E-5</v>
      </c>
      <c r="F397" s="84">
        <f t="shared" si="63"/>
        <v>0</v>
      </c>
      <c r="G397" s="85">
        <f t="shared" si="63"/>
        <v>0</v>
      </c>
      <c r="H397" s="85">
        <f t="shared" si="63"/>
        <v>0</v>
      </c>
      <c r="I397" s="85">
        <f t="shared" si="63"/>
        <v>0</v>
      </c>
      <c r="J397" s="85">
        <f t="shared" si="63"/>
        <v>0</v>
      </c>
      <c r="K397" s="85">
        <f t="shared" si="63"/>
        <v>0</v>
      </c>
      <c r="L397" s="86">
        <f t="shared" si="62"/>
        <v>0</v>
      </c>
    </row>
    <row r="398" spans="2:12" x14ac:dyDescent="0.2">
      <c r="B398" s="133" t="s">
        <v>150</v>
      </c>
      <c r="C398" s="134">
        <f t="shared" ref="C398:C404" si="64">C50</f>
        <v>401</v>
      </c>
      <c r="D398" s="332">
        <f>CONVERT(INDEX('Screening Emission Calculations'!$J$4:$J$54,MATCH($C398,'Screening Emission Calculations'!$C$4:$C$54,0)),"lbm","g")/8760/3600</f>
        <v>0</v>
      </c>
      <c r="E398" s="86">
        <f>CONVERT(INDEX('Screening Emission Calculations'!$J$83:$J$133,MATCH($C398,'Screening Emission Calculations'!$C$83:$C$133,0)),"lbm","g")/24/3600</f>
        <v>0</v>
      </c>
      <c r="F398" s="84">
        <f t="shared" si="63"/>
        <v>0</v>
      </c>
      <c r="G398" s="85">
        <f t="shared" si="63"/>
        <v>0</v>
      </c>
      <c r="H398" s="85">
        <f t="shared" si="63"/>
        <v>0</v>
      </c>
      <c r="I398" s="85">
        <f t="shared" si="63"/>
        <v>0</v>
      </c>
      <c r="J398" s="85">
        <f t="shared" si="63"/>
        <v>0</v>
      </c>
      <c r="K398" s="85">
        <f t="shared" si="63"/>
        <v>0</v>
      </c>
      <c r="L398" s="86">
        <f t="shared" si="62"/>
        <v>0</v>
      </c>
    </row>
    <row r="399" spans="2:12" x14ac:dyDescent="0.2">
      <c r="B399" s="133" t="s">
        <v>89</v>
      </c>
      <c r="C399" s="134" t="str">
        <f t="shared" si="64"/>
        <v>7782-49-2</v>
      </c>
      <c r="D399" s="332">
        <f>CONVERT(INDEX('Screening Emission Calculations'!$J$4:$J$54,MATCH($C399,'Screening Emission Calculations'!$C$4:$C$54,0)),"lbm","g")/8760/3600</f>
        <v>0</v>
      </c>
      <c r="E399" s="86">
        <f>CONVERT(INDEX('Screening Emission Calculations'!$J$83:$J$133,MATCH($C399,'Screening Emission Calculations'!$C$83:$C$133,0)),"lbm","g")/24/3600</f>
        <v>0</v>
      </c>
      <c r="F399" s="84">
        <f t="shared" si="63"/>
        <v>0</v>
      </c>
      <c r="G399" s="85">
        <f t="shared" si="63"/>
        <v>0</v>
      </c>
      <c r="H399" s="85">
        <f t="shared" si="63"/>
        <v>0</v>
      </c>
      <c r="I399" s="85">
        <f t="shared" si="63"/>
        <v>0</v>
      </c>
      <c r="J399" s="85">
        <f t="shared" si="63"/>
        <v>0</v>
      </c>
      <c r="K399" s="85">
        <f t="shared" si="63"/>
        <v>0</v>
      </c>
      <c r="L399" s="86">
        <f t="shared" si="62"/>
        <v>0</v>
      </c>
    </row>
    <row r="400" spans="2:12" x14ac:dyDescent="0.2">
      <c r="B400" s="133" t="s">
        <v>91</v>
      </c>
      <c r="C400" s="134" t="str">
        <f t="shared" si="64"/>
        <v>7440-22-4</v>
      </c>
      <c r="D400" s="332">
        <f>CONVERT(INDEX('Screening Emission Calculations'!$J$4:$J$54,MATCH($C400,'Screening Emission Calculations'!$C$4:$C$54,0)),"lbm","g")/8760/3600</f>
        <v>0</v>
      </c>
      <c r="E400" s="86">
        <f>CONVERT(INDEX('Screening Emission Calculations'!$J$83:$J$133,MATCH($C400,'Screening Emission Calculations'!$C$83:$C$133,0)),"lbm","g")/24/3600</f>
        <v>0</v>
      </c>
      <c r="F400" s="84">
        <f t="shared" si="63"/>
        <v>0</v>
      </c>
      <c r="G400" s="85">
        <f t="shared" si="63"/>
        <v>0</v>
      </c>
      <c r="H400" s="85">
        <f t="shared" si="63"/>
        <v>0</v>
      </c>
      <c r="I400" s="85">
        <f t="shared" si="63"/>
        <v>0</v>
      </c>
      <c r="J400" s="85">
        <f t="shared" si="63"/>
        <v>0</v>
      </c>
      <c r="K400" s="85">
        <f t="shared" si="63"/>
        <v>0</v>
      </c>
      <c r="L400" s="86">
        <f t="shared" si="62"/>
        <v>0</v>
      </c>
    </row>
    <row r="401" spans="1:12" x14ac:dyDescent="0.2">
      <c r="B401" s="133" t="s">
        <v>93</v>
      </c>
      <c r="C401" s="134" t="str">
        <f t="shared" si="64"/>
        <v>7440-28-0</v>
      </c>
      <c r="D401" s="332">
        <f>CONVERT(INDEX('Screening Emission Calculations'!$J$4:$J$54,MATCH($C401,'Screening Emission Calculations'!$C$4:$C$54,0)),"lbm","g")/8760/3600</f>
        <v>0</v>
      </c>
      <c r="E401" s="86">
        <f>CONVERT(INDEX('Screening Emission Calculations'!$J$83:$J$133,MATCH($C401,'Screening Emission Calculations'!$C$83:$C$133,0)),"lbm","g")/24/3600</f>
        <v>0</v>
      </c>
      <c r="F401" s="84">
        <f t="shared" si="63"/>
        <v>0</v>
      </c>
      <c r="G401" s="85">
        <f t="shared" si="63"/>
        <v>0</v>
      </c>
      <c r="H401" s="85">
        <f t="shared" si="63"/>
        <v>0</v>
      </c>
      <c r="I401" s="85">
        <f t="shared" si="63"/>
        <v>0</v>
      </c>
      <c r="J401" s="85">
        <f t="shared" si="63"/>
        <v>0</v>
      </c>
      <c r="K401" s="85">
        <f t="shared" si="63"/>
        <v>0</v>
      </c>
      <c r="L401" s="86">
        <f t="shared" si="62"/>
        <v>0</v>
      </c>
    </row>
    <row r="402" spans="1:12" x14ac:dyDescent="0.2">
      <c r="B402" s="133" t="s">
        <v>95</v>
      </c>
      <c r="C402" s="134" t="str">
        <f t="shared" si="64"/>
        <v>108-88-3</v>
      </c>
      <c r="D402" s="332">
        <f>CONVERT(INDEX('Screening Emission Calculations'!$J$4:$J$54,MATCH($C402,'Screening Emission Calculations'!$C$4:$C$54,0)),"lbm","g")/8760/3600</f>
        <v>2.6732242569439894E-5</v>
      </c>
      <c r="E402" s="86">
        <f>CONVERT(INDEX('Screening Emission Calculations'!$J$83:$J$133,MATCH($C402,'Screening Emission Calculations'!$C$83:$C$133,0)),"lbm","g")/24/3600</f>
        <v>2.3093375595913254E-3</v>
      </c>
      <c r="F402" s="84">
        <f t="shared" si="63"/>
        <v>0</v>
      </c>
      <c r="G402" s="85">
        <f t="shared" si="63"/>
        <v>5.3464485138879789E-9</v>
      </c>
      <c r="H402" s="85">
        <f t="shared" si="63"/>
        <v>0</v>
      </c>
      <c r="I402" s="85">
        <f t="shared" si="63"/>
        <v>1.2151019349745407E-9</v>
      </c>
      <c r="J402" s="85">
        <f t="shared" si="63"/>
        <v>0</v>
      </c>
      <c r="K402" s="85">
        <f t="shared" si="63"/>
        <v>1.2151019349745407E-9</v>
      </c>
      <c r="L402" s="86">
        <f t="shared" si="62"/>
        <v>3.079116746121767E-7</v>
      </c>
    </row>
    <row r="403" spans="1:12" x14ac:dyDescent="0.2">
      <c r="B403" s="133" t="s">
        <v>97</v>
      </c>
      <c r="C403" s="134" t="str">
        <f t="shared" si="64"/>
        <v>1330-20-7</v>
      </c>
      <c r="D403" s="332">
        <f>CONVERT(INDEX('Screening Emission Calculations'!$J$4:$J$54,MATCH($C403,'Screening Emission Calculations'!$C$4:$C$54,0)),"lbm","g")/8760/3600</f>
        <v>1.0753767409338248E-5</v>
      </c>
      <c r="E403" s="86">
        <f>CONVERT(INDEX('Screening Emission Calculations'!$J$83:$J$133,MATCH($C403,'Screening Emission Calculations'!$C$83:$C$133,0)),"lbm","g")/24/3600</f>
        <v>9.2899347748265858E-4</v>
      </c>
      <c r="F403" s="84">
        <f t="shared" si="63"/>
        <v>0</v>
      </c>
      <c r="G403" s="85">
        <f t="shared" si="63"/>
        <v>4.8880760951537492E-8</v>
      </c>
      <c r="H403" s="85">
        <f t="shared" si="63"/>
        <v>0</v>
      </c>
      <c r="I403" s="85">
        <f t="shared" si="63"/>
        <v>1.1086358153956957E-8</v>
      </c>
      <c r="J403" s="85">
        <f t="shared" si="63"/>
        <v>0</v>
      </c>
      <c r="K403" s="85">
        <f t="shared" si="63"/>
        <v>1.1086358153956957E-8</v>
      </c>
      <c r="L403" s="86">
        <f t="shared" si="62"/>
        <v>1.0678085948076535E-7</v>
      </c>
    </row>
    <row r="404" spans="1:12" ht="15.75" thickBot="1" x14ac:dyDescent="0.25">
      <c r="B404" s="139" t="s">
        <v>99</v>
      </c>
      <c r="C404" s="140" t="str">
        <f t="shared" si="64"/>
        <v>7440-66-6</v>
      </c>
      <c r="D404" s="334">
        <f>CONVERT(INDEX('Screening Emission Calculations'!$J$4:$J$54,MATCH($C404,'Screening Emission Calculations'!$C$4:$C$54,0)),"lbm","g")/8760/3600</f>
        <v>1.2554473772955136E-6</v>
      </c>
      <c r="E404" s="86">
        <f>CONVERT(INDEX('Screening Emission Calculations'!$J$83:$J$133,MATCH($C404,'Screening Emission Calculations'!$C$83:$C$133,0)),"lbm","g")/24/3600</f>
        <v>1.0997719025108699E-4</v>
      </c>
      <c r="F404" s="84">
        <f t="shared" si="63"/>
        <v>0</v>
      </c>
      <c r="G404" s="85">
        <f t="shared" si="63"/>
        <v>0</v>
      </c>
      <c r="H404" s="85">
        <f t="shared" si="63"/>
        <v>0</v>
      </c>
      <c r="I404" s="85">
        <f t="shared" si="63"/>
        <v>0</v>
      </c>
      <c r="J404" s="85">
        <f t="shared" si="63"/>
        <v>0</v>
      </c>
      <c r="K404" s="85">
        <f t="shared" si="63"/>
        <v>0</v>
      </c>
      <c r="L404" s="86">
        <f t="shared" si="62"/>
        <v>0</v>
      </c>
    </row>
    <row r="405" spans="1:12" ht="15.75" thickBot="1" x14ac:dyDescent="0.25">
      <c r="B405" s="660" t="s">
        <v>208</v>
      </c>
      <c r="C405" s="661"/>
      <c r="D405" s="661"/>
      <c r="E405" s="662"/>
      <c r="F405" s="150">
        <f t="shared" ref="F405:L405" si="65">SUM(F354:F404)</f>
        <v>5.1791531747919901E-2</v>
      </c>
      <c r="G405" s="151">
        <f t="shared" si="65"/>
        <v>1.2462082463435724E-3</v>
      </c>
      <c r="H405" s="151">
        <f t="shared" si="65"/>
        <v>2.0060791228828003E-3</v>
      </c>
      <c r="I405" s="151">
        <f t="shared" si="65"/>
        <v>2.3854273865953147E-4</v>
      </c>
      <c r="J405" s="151">
        <f t="shared" si="65"/>
        <v>4.0592705015527475E-3</v>
      </c>
      <c r="K405" s="151">
        <f t="shared" si="65"/>
        <v>2.3854273865953147E-4</v>
      </c>
      <c r="L405" s="152">
        <f t="shared" si="65"/>
        <v>1.4103894898665323E-3</v>
      </c>
    </row>
    <row r="406" spans="1:12" ht="13.5" x14ac:dyDescent="0.2">
      <c r="A406" s="147">
        <v>1</v>
      </c>
      <c r="B406" s="143" t="str">
        <f>$B$174</f>
        <v>If the toxic is listed in the Risk-Based Concentrations (Table 2) in OAR Chapter 340-245-8010, then it's considered a permitted toxic. Emission rate is normalized based on operational hours of 8,760 hrs/yr or 24 hrs/day.</v>
      </c>
      <c r="C406" s="144"/>
      <c r="D406" s="144"/>
      <c r="E406" s="144"/>
      <c r="F406" s="144"/>
      <c r="G406" s="144"/>
      <c r="H406" s="144"/>
      <c r="I406" s="144"/>
      <c r="J406" s="144"/>
      <c r="K406" s="144"/>
      <c r="L406" s="144"/>
    </row>
    <row r="408" spans="1:12" ht="15.75" thickBot="1" x14ac:dyDescent="0.25">
      <c r="B408" s="56" t="s">
        <v>209</v>
      </c>
    </row>
    <row r="409" spans="1:12" ht="31.5" customHeight="1" x14ac:dyDescent="0.2">
      <c r="B409" s="666" t="s">
        <v>1</v>
      </c>
      <c r="C409" s="681" t="s">
        <v>2</v>
      </c>
      <c r="D409" s="683" t="s">
        <v>205</v>
      </c>
      <c r="E409" s="657" t="s">
        <v>203</v>
      </c>
      <c r="F409" s="648" t="s">
        <v>1186</v>
      </c>
      <c r="G409" s="649"/>
      <c r="H409" s="649"/>
      <c r="I409" s="649"/>
      <c r="J409" s="649"/>
      <c r="K409" s="649"/>
      <c r="L409" s="650"/>
    </row>
    <row r="410" spans="1:12" x14ac:dyDescent="0.2">
      <c r="B410" s="667"/>
      <c r="C410" s="682"/>
      <c r="D410" s="684"/>
      <c r="E410" s="658"/>
      <c r="F410" s="651" t="s">
        <v>181</v>
      </c>
      <c r="G410" s="652"/>
      <c r="H410" s="652" t="s">
        <v>182</v>
      </c>
      <c r="I410" s="652"/>
      <c r="J410" s="652"/>
      <c r="K410" s="652"/>
      <c r="L410" s="655" t="s">
        <v>183</v>
      </c>
    </row>
    <row r="411" spans="1:12" ht="30" customHeight="1" thickBot="1" x14ac:dyDescent="0.25">
      <c r="B411" s="668"/>
      <c r="C411" s="654"/>
      <c r="D411" s="685"/>
      <c r="E411" s="659"/>
      <c r="F411" s="148" t="s">
        <v>184</v>
      </c>
      <c r="G411" s="149" t="s">
        <v>185</v>
      </c>
      <c r="H411" s="149" t="s">
        <v>186</v>
      </c>
      <c r="I411" s="149" t="s">
        <v>187</v>
      </c>
      <c r="J411" s="149" t="s">
        <v>188</v>
      </c>
      <c r="K411" s="149" t="s">
        <v>189</v>
      </c>
      <c r="L411" s="656"/>
    </row>
    <row r="412" spans="1:12" ht="15" customHeight="1" x14ac:dyDescent="0.2">
      <c r="B412" s="130" t="s">
        <v>4</v>
      </c>
      <c r="C412" s="131" t="str">
        <f t="shared" ref="C412:C430" si="66">C6</f>
        <v>106-99-0</v>
      </c>
      <c r="D412" s="332">
        <f>CONVERT(INDEX('Screening Emission Calculations'!$K$4:$K$54,MATCH($C412,'Screening Emission Calculations'!$C$4:$C$54,0)),"lbm","g")/8760/3600</f>
        <v>5.1801513331356664E-5</v>
      </c>
      <c r="E412" s="86">
        <f>CONVERT(INDEX('Screening Emission Calculations'!$K$83:$K$133,MATCH($C412,'Screening Emission Calculations'!$C$83:$C$133,0)),"lbm","g")/24/3600</f>
        <v>4.4750147717322313E-3</v>
      </c>
      <c r="F412" s="84">
        <f t="shared" ref="F412:K421" si="67">IF(INDEX($B$6:$L$56,MATCH($C412,$C$6:$C$56,0),MATCH(F$5,$B$5:$L$5,0))="",0,$D412/INDEX($B$6:$L$56,MATCH($C412,$C$6:$C$56,0),MATCH(F$5,$B$5:$L$5,0)))</f>
        <v>1.5697428282229291E-3</v>
      </c>
      <c r="G412" s="85">
        <f t="shared" si="67"/>
        <v>2.5900756665678332E-5</v>
      </c>
      <c r="H412" s="85">
        <f t="shared" si="67"/>
        <v>6.0234317827158912E-5</v>
      </c>
      <c r="I412" s="85">
        <f t="shared" si="67"/>
        <v>5.886535605835984E-6</v>
      </c>
      <c r="J412" s="85">
        <f t="shared" si="67"/>
        <v>1.2950378332839165E-4</v>
      </c>
      <c r="K412" s="85">
        <f t="shared" si="67"/>
        <v>5.886535605835984E-6</v>
      </c>
      <c r="L412" s="86">
        <f t="shared" ref="L412:L443" si="68">IF(INDEX($B$6:$L$56,MATCH($C412,$C$6:$C$56,0),MATCH(L$4,$B$4:$L$4,0))="",0,$E412/INDEX($B$6:$L$56,MATCH($C412,$C$6:$C$56,0),MATCH(L$4,$B$4:$L$4,0)))</f>
        <v>6.7803254117155024E-6</v>
      </c>
    </row>
    <row r="413" spans="1:12" ht="15.75" customHeight="1" x14ac:dyDescent="0.2">
      <c r="B413" s="132" t="s">
        <v>129</v>
      </c>
      <c r="C413" s="134" t="str">
        <f t="shared" si="66"/>
        <v>83-32-9</v>
      </c>
      <c r="D413" s="332">
        <f>CONVERT(INDEX('Screening Emission Calculations'!$K$4:$K$54,MATCH($C413,'Screening Emission Calculations'!$C$4:$C$54,0)),"lbm","g")/8760/3600</f>
        <v>1.750420095094911E-7</v>
      </c>
      <c r="E413" s="86">
        <f>CONVERT(INDEX('Screening Emission Calculations'!$K$83:$K$133,MATCH($C413,'Screening Emission Calculations'!$C$83:$C$133,0)),"lbm","g")/24/3600</f>
        <v>1.5121480587218817E-5</v>
      </c>
      <c r="F413" s="84">
        <f t="shared" si="67"/>
        <v>0</v>
      </c>
      <c r="G413" s="85">
        <f t="shared" si="67"/>
        <v>0</v>
      </c>
      <c r="H413" s="85">
        <f t="shared" si="67"/>
        <v>0</v>
      </c>
      <c r="I413" s="85">
        <f t="shared" si="67"/>
        <v>0</v>
      </c>
      <c r="J413" s="85">
        <f t="shared" si="67"/>
        <v>0</v>
      </c>
      <c r="K413" s="85">
        <f t="shared" si="67"/>
        <v>0</v>
      </c>
      <c r="L413" s="86">
        <f t="shared" si="68"/>
        <v>0</v>
      </c>
    </row>
    <row r="414" spans="1:12" ht="15.75" customHeight="1" x14ac:dyDescent="0.2">
      <c r="B414" s="133" t="s">
        <v>130</v>
      </c>
      <c r="C414" s="134" t="str">
        <f t="shared" si="66"/>
        <v>208-96-8</v>
      </c>
      <c r="D414" s="332">
        <f>CONVERT(INDEX('Screening Emission Calculations'!$K$4:$K$54,MATCH($C414,'Screening Emission Calculations'!$C$4:$C$54,0)),"lbm","g")/8760/3600</f>
        <v>1.9296096432160513E-7</v>
      </c>
      <c r="E414" s="86">
        <f>CONVERT(INDEX('Screening Emission Calculations'!$K$83:$K$133,MATCH($C414,'Screening Emission Calculations'!$C$83:$C$133,0)),"lbm","g")/24/3600</f>
        <v>1.6669458287508765E-5</v>
      </c>
      <c r="F414" s="84">
        <f t="shared" si="67"/>
        <v>0</v>
      </c>
      <c r="G414" s="85">
        <f t="shared" si="67"/>
        <v>0</v>
      </c>
      <c r="H414" s="85">
        <f t="shared" si="67"/>
        <v>0</v>
      </c>
      <c r="I414" s="85">
        <f t="shared" si="67"/>
        <v>0</v>
      </c>
      <c r="J414" s="85">
        <f t="shared" si="67"/>
        <v>0</v>
      </c>
      <c r="K414" s="85">
        <f t="shared" si="67"/>
        <v>0</v>
      </c>
      <c r="L414" s="86">
        <f t="shared" si="68"/>
        <v>0</v>
      </c>
    </row>
    <row r="415" spans="1:12" ht="15.75" customHeight="1" x14ac:dyDescent="0.2">
      <c r="B415" s="133" t="s">
        <v>11</v>
      </c>
      <c r="C415" s="134" t="str">
        <f t="shared" si="66"/>
        <v>75-07-0</v>
      </c>
      <c r="D415" s="332">
        <f>CONVERT(INDEX('Screening Emission Calculations'!$K$4:$K$54,MATCH($C415,'Screening Emission Calculations'!$C$4:$C$54,0)),"lbm","g")/8760/3600</f>
        <v>1.8664271109683381E-4</v>
      </c>
      <c r="E415" s="86">
        <f>CONVERT(INDEX('Screening Emission Calculations'!$K$83:$K$133,MATCH($C415,'Screening Emission Calculations'!$C$83:$C$133,0)),"lbm","g")/24/3600</f>
        <v>1.6123638779658958E-2</v>
      </c>
      <c r="F415" s="84">
        <f t="shared" si="67"/>
        <v>4.1476158021518621E-4</v>
      </c>
      <c r="G415" s="85">
        <f t="shared" si="67"/>
        <v>1.3331622221202414E-6</v>
      </c>
      <c r="H415" s="85">
        <f t="shared" si="67"/>
        <v>1.5553559258069483E-5</v>
      </c>
      <c r="I415" s="85">
        <f t="shared" si="67"/>
        <v>3.0103663080134484E-7</v>
      </c>
      <c r="J415" s="85">
        <f t="shared" si="67"/>
        <v>3.3935038381242513E-5</v>
      </c>
      <c r="K415" s="85">
        <f t="shared" si="67"/>
        <v>3.0103663080134484E-7</v>
      </c>
      <c r="L415" s="86">
        <f t="shared" si="68"/>
        <v>3.4305614424806292E-5</v>
      </c>
    </row>
    <row r="416" spans="1:12" ht="15.75" customHeight="1" x14ac:dyDescent="0.2">
      <c r="B416" s="133" t="s">
        <v>13</v>
      </c>
      <c r="C416" s="134" t="str">
        <f t="shared" si="66"/>
        <v>107-02-8</v>
      </c>
      <c r="D416" s="332">
        <f>CONVERT(INDEX('Screening Emission Calculations'!$K$4:$K$54,MATCH($C416,'Screening Emission Calculations'!$C$4:$C$54,0)),"lbm","g")/8760/3600</f>
        <v>8.0776048846963685E-6</v>
      </c>
      <c r="E416" s="86">
        <f>CONVERT(INDEX('Screening Emission Calculations'!$K$83:$K$133,MATCH($C416,'Screening Emission Calculations'!$C$83:$C$133,0)),"lbm","g")/24/3600</f>
        <v>6.978058912682735E-4</v>
      </c>
      <c r="F416" s="84">
        <f t="shared" si="67"/>
        <v>0</v>
      </c>
      <c r="G416" s="85">
        <f t="shared" si="67"/>
        <v>2.3078871099132482E-5</v>
      </c>
      <c r="H416" s="85">
        <f t="shared" si="67"/>
        <v>0</v>
      </c>
      <c r="I416" s="85">
        <f t="shared" si="67"/>
        <v>5.3850699231309121E-6</v>
      </c>
      <c r="J416" s="85">
        <f t="shared" si="67"/>
        <v>0</v>
      </c>
      <c r="K416" s="85">
        <f t="shared" si="67"/>
        <v>5.3850699231309121E-6</v>
      </c>
      <c r="L416" s="86">
        <f t="shared" si="68"/>
        <v>1.0113128858960485E-4</v>
      </c>
    </row>
    <row r="417" spans="2:12" ht="15.75" customHeight="1" x14ac:dyDescent="0.2">
      <c r="B417" s="133" t="s">
        <v>15</v>
      </c>
      <c r="C417" s="134" t="str">
        <f t="shared" si="66"/>
        <v>7664-41-7</v>
      </c>
      <c r="D417" s="332">
        <f>CONVERT(INDEX('Screening Emission Calculations'!$K$4:$K$54,MATCH($C417,'Screening Emission Calculations'!$C$4:$C$54,0)),"lbm","g")/8760/3600</f>
        <v>1.8755848886352103E-4</v>
      </c>
      <c r="E417" s="86">
        <f>CONVERT(INDEX('Screening Emission Calculations'!$K$83:$K$133,MATCH($C417,'Screening Emission Calculations'!$C$83:$C$133,0)),"lbm","g")/24/3600</f>
        <v>1.6430123624444449E-2</v>
      </c>
      <c r="F417" s="84">
        <f t="shared" si="67"/>
        <v>0</v>
      </c>
      <c r="G417" s="85">
        <f t="shared" si="67"/>
        <v>3.7511697772704208E-7</v>
      </c>
      <c r="H417" s="85">
        <f t="shared" si="67"/>
        <v>0</v>
      </c>
      <c r="I417" s="85">
        <f t="shared" si="67"/>
        <v>8.5253858574327743E-8</v>
      </c>
      <c r="J417" s="85">
        <f t="shared" si="67"/>
        <v>0</v>
      </c>
      <c r="K417" s="85">
        <f t="shared" si="67"/>
        <v>8.5253858574327743E-8</v>
      </c>
      <c r="L417" s="86">
        <f t="shared" si="68"/>
        <v>1.3691769687037041E-5</v>
      </c>
    </row>
    <row r="418" spans="2:12" ht="15.75" customHeight="1" x14ac:dyDescent="0.2">
      <c r="B418" s="133" t="s">
        <v>132</v>
      </c>
      <c r="C418" s="134" t="str">
        <f t="shared" si="66"/>
        <v>120-12-7</v>
      </c>
      <c r="D418" s="332">
        <f>CONVERT(INDEX('Screening Emission Calculations'!$K$4:$K$54,MATCH($C418,'Screening Emission Calculations'!$C$4:$C$54,0)),"lbm","g")/8760/3600</f>
        <v>1.0772284566422338E-7</v>
      </c>
      <c r="E418" s="86">
        <f>CONVERT(INDEX('Screening Emission Calculations'!$K$83:$K$133,MATCH($C418,'Screening Emission Calculations'!$C$83:$C$133,0)),"lbm","g")/24/3600</f>
        <v>9.305931325149687E-6</v>
      </c>
      <c r="F418" s="84">
        <f t="shared" si="67"/>
        <v>0</v>
      </c>
      <c r="G418" s="85">
        <f t="shared" si="67"/>
        <v>0</v>
      </c>
      <c r="H418" s="85">
        <f t="shared" si="67"/>
        <v>0</v>
      </c>
      <c r="I418" s="85">
        <f t="shared" si="67"/>
        <v>0</v>
      </c>
      <c r="J418" s="85">
        <f t="shared" si="67"/>
        <v>0</v>
      </c>
      <c r="K418" s="85">
        <f t="shared" si="67"/>
        <v>0</v>
      </c>
      <c r="L418" s="86">
        <f t="shared" si="68"/>
        <v>0</v>
      </c>
    </row>
    <row r="419" spans="2:12" ht="15.75" customHeight="1" x14ac:dyDescent="0.2">
      <c r="B419" s="133" t="s">
        <v>19</v>
      </c>
      <c r="C419" s="134" t="str">
        <f t="shared" si="66"/>
        <v>7440-36-0</v>
      </c>
      <c r="D419" s="332">
        <f>CONVERT(INDEX('Screening Emission Calculations'!$K$4:$K$54,MATCH($C419,'Screening Emission Calculations'!$C$4:$C$54,0)),"lbm","g")/8760/3600</f>
        <v>7.4598405135739297E-8</v>
      </c>
      <c r="E419" s="86">
        <f>CONVERT(INDEX('Screening Emission Calculations'!$K$83:$K$133,MATCH($C419,'Screening Emission Calculations'!$C$83:$C$133,0)),"lbm","g")/24/3600</f>
        <v>6.5348202898907626E-6</v>
      </c>
      <c r="F419" s="84">
        <f t="shared" si="67"/>
        <v>0</v>
      </c>
      <c r="G419" s="85">
        <f t="shared" si="67"/>
        <v>2.4866135045246433E-7</v>
      </c>
      <c r="H419" s="85">
        <f t="shared" si="67"/>
        <v>0</v>
      </c>
      <c r="I419" s="85">
        <f t="shared" si="67"/>
        <v>5.7383388565953305E-8</v>
      </c>
      <c r="J419" s="85">
        <f t="shared" si="67"/>
        <v>0</v>
      </c>
      <c r="K419" s="85">
        <f t="shared" si="67"/>
        <v>5.7383388565953305E-8</v>
      </c>
      <c r="L419" s="86">
        <f t="shared" si="68"/>
        <v>6.5348202898907626E-6</v>
      </c>
    </row>
    <row r="420" spans="2:12" ht="15.75" customHeight="1" x14ac:dyDescent="0.2">
      <c r="B420" s="133" t="s">
        <v>21</v>
      </c>
      <c r="C420" s="134" t="str">
        <f t="shared" si="66"/>
        <v>7440-38-2</v>
      </c>
      <c r="D420" s="332">
        <f>CONVERT(INDEX('Screening Emission Calculations'!$K$4:$K$54,MATCH($C420,'Screening Emission Calculations'!$C$4:$C$54,0)),"lbm","g")/8760/3600</f>
        <v>6.4907587494095281E-8</v>
      </c>
      <c r="E420" s="86">
        <f>CONVERT(INDEX('Screening Emission Calculations'!$K$83:$K$133,MATCH($C420,'Screening Emission Calculations'!$C$83:$C$133,0)),"lbm","g")/24/3600</f>
        <v>5.6859046644827461E-6</v>
      </c>
      <c r="F420" s="84">
        <f t="shared" si="67"/>
        <v>2.7044828122539701E-3</v>
      </c>
      <c r="G420" s="85">
        <f t="shared" si="67"/>
        <v>3.8180933820056043E-4</v>
      </c>
      <c r="H420" s="85">
        <f t="shared" si="67"/>
        <v>4.992891345699637E-5</v>
      </c>
      <c r="I420" s="85">
        <f t="shared" si="67"/>
        <v>2.7044828122539703E-5</v>
      </c>
      <c r="J420" s="85">
        <f t="shared" si="67"/>
        <v>1.0468965724854078E-4</v>
      </c>
      <c r="K420" s="85">
        <f t="shared" si="67"/>
        <v>2.7044828122539703E-5</v>
      </c>
      <c r="L420" s="86">
        <f t="shared" si="68"/>
        <v>2.8429523322413729E-5</v>
      </c>
    </row>
    <row r="421" spans="2:12" ht="15.75" customHeight="1" x14ac:dyDescent="0.2">
      <c r="B421" s="133" t="s">
        <v>23</v>
      </c>
      <c r="C421" s="134" t="str">
        <f t="shared" si="66"/>
        <v>7440-39-3</v>
      </c>
      <c r="D421" s="332">
        <f>CONVERT(INDEX('Screening Emission Calculations'!$K$4:$K$54,MATCH($C421,'Screening Emission Calculations'!$C$4:$C$54,0)),"lbm","g")/8760/3600</f>
        <v>8.7658589509765851E-8</v>
      </c>
      <c r="E421" s="86">
        <f>CONVERT(INDEX('Screening Emission Calculations'!$K$83:$K$133,MATCH($C421,'Screening Emission Calculations'!$C$83:$C$133,0)),"lbm","g")/24/3600</f>
        <v>7.6788924410554903E-6</v>
      </c>
      <c r="F421" s="84">
        <f t="shared" si="67"/>
        <v>0</v>
      </c>
      <c r="G421" s="85">
        <f t="shared" si="67"/>
        <v>0</v>
      </c>
      <c r="H421" s="85">
        <f t="shared" si="67"/>
        <v>0</v>
      </c>
      <c r="I421" s="85">
        <f t="shared" si="67"/>
        <v>0</v>
      </c>
      <c r="J421" s="85">
        <f t="shared" si="67"/>
        <v>0</v>
      </c>
      <c r="K421" s="85">
        <f t="shared" si="67"/>
        <v>0</v>
      </c>
      <c r="L421" s="86">
        <f t="shared" si="68"/>
        <v>0</v>
      </c>
    </row>
    <row r="422" spans="2:12" ht="15.75" customHeight="1" x14ac:dyDescent="0.2">
      <c r="B422" s="133" t="s">
        <v>133</v>
      </c>
      <c r="C422" s="134" t="str">
        <f t="shared" si="66"/>
        <v>56-55-3</v>
      </c>
      <c r="D422" s="332">
        <f>CONVERT(INDEX('Screening Emission Calculations'!$K$4:$K$54,MATCH($C422,'Screening Emission Calculations'!$C$4:$C$54,0)),"lbm","g")/8760/3600</f>
        <v>1.1566301871439206E-8</v>
      </c>
      <c r="E422" s="86">
        <f>CONVERT(INDEX('Screening Emission Calculations'!$K$83:$K$133,MATCH($C422,'Screening Emission Calculations'!$C$83:$C$133,0)),"lbm","g")/24/3600</f>
        <v>9.991864793199672E-7</v>
      </c>
      <c r="F422" s="84">
        <f t="shared" ref="F422:K431" si="69">IF(INDEX($B$6:$L$56,MATCH($C422,$C$6:$C$56,0),MATCH(F$5,$B$5:$L$5,0))="",0,$D422/INDEX($B$6:$L$56,MATCH($C422,$C$6:$C$56,0),MATCH(F$5,$B$5:$L$5,0)))</f>
        <v>5.5077627959234316E-5</v>
      </c>
      <c r="G422" s="85">
        <f t="shared" si="69"/>
        <v>0</v>
      </c>
      <c r="H422" s="85">
        <f t="shared" si="69"/>
        <v>1.4828592142870778E-6</v>
      </c>
      <c r="I422" s="85">
        <f t="shared" si="69"/>
        <v>0</v>
      </c>
      <c r="J422" s="85">
        <f t="shared" si="69"/>
        <v>7.7108679142928049E-7</v>
      </c>
      <c r="K422" s="85">
        <f t="shared" si="69"/>
        <v>0</v>
      </c>
      <c r="L422" s="86">
        <f t="shared" si="68"/>
        <v>0</v>
      </c>
    </row>
    <row r="423" spans="2:12" ht="15.75" customHeight="1" x14ac:dyDescent="0.2">
      <c r="B423" s="133" t="s">
        <v>27</v>
      </c>
      <c r="C423" s="134" t="str">
        <f t="shared" si="66"/>
        <v>71-43-2</v>
      </c>
      <c r="D423" s="332">
        <f>CONVERT(INDEX('Screening Emission Calculations'!$K$4:$K$54,MATCH($C423,'Screening Emission Calculations'!$C$4:$C$54,0)),"lbm","g")/8760/3600</f>
        <v>4.4391085251295975E-5</v>
      </c>
      <c r="E423" s="86">
        <f>CONVERT(INDEX('Screening Emission Calculations'!$K$83:$K$133,MATCH($C423,'Screening Emission Calculations'!$C$83:$C$133,0)),"lbm","g")/24/3600</f>
        <v>3.8348447652884767E-3</v>
      </c>
      <c r="F423" s="84">
        <f t="shared" si="69"/>
        <v>3.4146988654843054E-4</v>
      </c>
      <c r="G423" s="85">
        <f t="shared" si="69"/>
        <v>1.4797028417098658E-5</v>
      </c>
      <c r="H423" s="85">
        <f t="shared" si="69"/>
        <v>1.3451844015544236E-5</v>
      </c>
      <c r="I423" s="85">
        <f t="shared" si="69"/>
        <v>3.4146988654843056E-6</v>
      </c>
      <c r="J423" s="85">
        <f t="shared" si="69"/>
        <v>2.9594056834197316E-5</v>
      </c>
      <c r="K423" s="85">
        <f t="shared" si="69"/>
        <v>3.4146988654843056E-6</v>
      </c>
      <c r="L423" s="86">
        <f t="shared" si="68"/>
        <v>1.3223602638925782E-4</v>
      </c>
    </row>
    <row r="424" spans="2:12" ht="15.75" customHeight="1" x14ac:dyDescent="0.2">
      <c r="B424" s="133" t="s">
        <v>190</v>
      </c>
      <c r="C424" s="134" t="str">
        <f t="shared" si="66"/>
        <v>50-32-8</v>
      </c>
      <c r="D424" s="332">
        <f>CONVERT(INDEX('Screening Emission Calculations'!$K$4:$K$54,MATCH($C424,'Screening Emission Calculations'!$C$4:$C$54,0)),"lbm","g")/8760/3600</f>
        <v>3.4276773900892954E-9</v>
      </c>
      <c r="E424" s="86">
        <f>CONVERT(INDEX('Screening Emission Calculations'!$K$83:$K$133,MATCH($C424,'Screening Emission Calculations'!$C$83:$C$133,0)),"lbm","g")/24/3600</f>
        <v>2.9610924405363241E-7</v>
      </c>
      <c r="F424" s="84">
        <f t="shared" si="69"/>
        <v>7.9713427676495239E-5</v>
      </c>
      <c r="G424" s="85">
        <f t="shared" si="69"/>
        <v>1.7138386950446476E-6</v>
      </c>
      <c r="H424" s="85">
        <f t="shared" si="69"/>
        <v>2.1422983688058094E-6</v>
      </c>
      <c r="I424" s="85">
        <f t="shared" si="69"/>
        <v>3.8950879432832899E-7</v>
      </c>
      <c r="J424" s="85">
        <f t="shared" si="69"/>
        <v>1.1425591300297652E-6</v>
      </c>
      <c r="K424" s="85">
        <f t="shared" si="69"/>
        <v>3.8950879432832899E-7</v>
      </c>
      <c r="L424" s="86">
        <f t="shared" si="68"/>
        <v>1.4805462202681621E-4</v>
      </c>
    </row>
    <row r="425" spans="2:12" ht="15.75" customHeight="1" x14ac:dyDescent="0.2">
      <c r="B425" s="133" t="s">
        <v>135</v>
      </c>
      <c r="C425" s="134" t="str">
        <f t="shared" si="66"/>
        <v>205-99-2</v>
      </c>
      <c r="D425" s="332">
        <f>CONVERT(INDEX('Screening Emission Calculations'!$K$4:$K$54,MATCH($C425,'Screening Emission Calculations'!$C$4:$C$54,0)),"lbm","g")/8760/3600</f>
        <v>1.0568456619606385E-8</v>
      </c>
      <c r="E425" s="86">
        <f>CONVERT(INDEX('Screening Emission Calculations'!$K$83:$K$133,MATCH($C425,'Screening Emission Calculations'!$C$83:$C$133,0)),"lbm","g")/24/3600</f>
        <v>9.1298490035660241E-7</v>
      </c>
      <c r="F425" s="84">
        <f t="shared" si="69"/>
        <v>1.9940484187936576E-4</v>
      </c>
      <c r="G425" s="85">
        <f t="shared" si="69"/>
        <v>0</v>
      </c>
      <c r="H425" s="85">
        <f t="shared" si="69"/>
        <v>5.2842283098031925E-6</v>
      </c>
      <c r="I425" s="85">
        <f t="shared" si="69"/>
        <v>0</v>
      </c>
      <c r="J425" s="85">
        <f t="shared" si="69"/>
        <v>2.7811727946332591E-6</v>
      </c>
      <c r="K425" s="85">
        <f t="shared" si="69"/>
        <v>0</v>
      </c>
      <c r="L425" s="86">
        <f t="shared" si="68"/>
        <v>0</v>
      </c>
    </row>
    <row r="426" spans="2:12" ht="15.75" customHeight="1" x14ac:dyDescent="0.2">
      <c r="B426" s="133" t="s">
        <v>136</v>
      </c>
      <c r="C426" s="134" t="str">
        <f t="shared" si="66"/>
        <v>192-97-2</v>
      </c>
      <c r="D426" s="332">
        <f>CONVERT(INDEX('Screening Emission Calculations'!$K$4:$K$54,MATCH($C426,'Screening Emission Calculations'!$C$4:$C$54,0)),"lbm","g")/8760/3600</f>
        <v>7.8317727297315634E-9</v>
      </c>
      <c r="E426" s="86">
        <f>CONVERT(INDEX('Screening Emission Calculations'!$K$83:$K$133,MATCH($C426,'Screening Emission Calculations'!$C$83:$C$133,0)),"lbm","g")/24/3600</f>
        <v>6.7656901122198408E-7</v>
      </c>
      <c r="F426" s="84">
        <f t="shared" si="69"/>
        <v>0</v>
      </c>
      <c r="G426" s="85">
        <f t="shared" si="69"/>
        <v>0</v>
      </c>
      <c r="H426" s="85">
        <f t="shared" si="69"/>
        <v>0</v>
      </c>
      <c r="I426" s="85">
        <f t="shared" si="69"/>
        <v>0</v>
      </c>
      <c r="J426" s="85">
        <f t="shared" si="69"/>
        <v>0</v>
      </c>
      <c r="K426" s="85">
        <f t="shared" si="69"/>
        <v>0</v>
      </c>
      <c r="L426" s="86">
        <f t="shared" si="68"/>
        <v>0</v>
      </c>
    </row>
    <row r="427" spans="2:12" ht="15.75" customHeight="1" x14ac:dyDescent="0.2">
      <c r="B427" s="133" t="s">
        <v>137</v>
      </c>
      <c r="C427" s="134" t="str">
        <f t="shared" si="66"/>
        <v>191-24-2</v>
      </c>
      <c r="D427" s="332">
        <f>CONVERT(INDEX('Screening Emission Calculations'!$K$4:$K$54,MATCH($C427,'Screening Emission Calculations'!$C$4:$C$54,0)),"lbm","g")/8760/3600</f>
        <v>5.2121516837559142E-9</v>
      </c>
      <c r="E427" s="86">
        <f>CONVERT(INDEX('Screening Emission Calculations'!$K$83:$K$133,MATCH($C427,'Screening Emission Calculations'!$C$83:$C$133,0)),"lbm","g")/24/3600</f>
        <v>4.5026591459052805E-7</v>
      </c>
      <c r="F427" s="84">
        <f t="shared" si="69"/>
        <v>1.1089684433523222E-6</v>
      </c>
      <c r="G427" s="85">
        <f t="shared" si="69"/>
        <v>0</v>
      </c>
      <c r="H427" s="85">
        <f t="shared" si="69"/>
        <v>3.0659715786799491E-8</v>
      </c>
      <c r="I427" s="85">
        <f t="shared" si="69"/>
        <v>0</v>
      </c>
      <c r="J427" s="85">
        <f t="shared" si="69"/>
        <v>1.5329857893399746E-8</v>
      </c>
      <c r="K427" s="85">
        <f t="shared" si="69"/>
        <v>0</v>
      </c>
      <c r="L427" s="86">
        <f t="shared" si="68"/>
        <v>0</v>
      </c>
    </row>
    <row r="428" spans="2:12" ht="15.75" customHeight="1" x14ac:dyDescent="0.2">
      <c r="B428" s="133" t="s">
        <v>138</v>
      </c>
      <c r="C428" s="134" t="str">
        <f t="shared" si="66"/>
        <v>207-08-9</v>
      </c>
      <c r="D428" s="332">
        <f>CONVERT(INDEX('Screening Emission Calculations'!$K$4:$K$54,MATCH($C428,'Screening Emission Calculations'!$C$4:$C$54,0)),"lbm","g")/8760/3600</f>
        <v>3.1105591081086627E-9</v>
      </c>
      <c r="E428" s="86">
        <f>CONVERT(INDEX('Screening Emission Calculations'!$K$83:$K$133,MATCH($C428,'Screening Emission Calculations'!$C$83:$C$133,0)),"lbm","g")/24/3600</f>
        <v>2.6871411783073384E-7</v>
      </c>
      <c r="F428" s="84">
        <f t="shared" si="69"/>
        <v>2.2218279343633305E-6</v>
      </c>
      <c r="G428" s="85">
        <f t="shared" si="69"/>
        <v>0</v>
      </c>
      <c r="H428" s="85">
        <f t="shared" si="69"/>
        <v>5.9818444386705053E-8</v>
      </c>
      <c r="I428" s="85">
        <f t="shared" si="69"/>
        <v>0</v>
      </c>
      <c r="J428" s="85">
        <f t="shared" si="69"/>
        <v>3.1105591081086622E-8</v>
      </c>
      <c r="K428" s="85">
        <f t="shared" si="69"/>
        <v>0</v>
      </c>
      <c r="L428" s="86">
        <f t="shared" si="68"/>
        <v>0</v>
      </c>
    </row>
    <row r="429" spans="2:12" ht="15.75" customHeight="1" x14ac:dyDescent="0.2">
      <c r="B429" s="133" t="s">
        <v>39</v>
      </c>
      <c r="C429" s="134" t="str">
        <f t="shared" si="66"/>
        <v>7440-41-7</v>
      </c>
      <c r="D429" s="332">
        <f>CONVERT(INDEX('Screening Emission Calculations'!$K$4:$K$54,MATCH($C429,'Screening Emission Calculations'!$C$4:$C$54,0)),"lbm","g")/8760/3600</f>
        <v>1.1185158978099658E-9</v>
      </c>
      <c r="E429" s="86">
        <f>CONVERT(INDEX('Screening Emission Calculations'!$K$83:$K$133,MATCH($C429,'Screening Emission Calculations'!$C$83:$C$133,0)),"lbm","g")/24/3600</f>
        <v>9.7981992648152994E-8</v>
      </c>
      <c r="F429" s="84">
        <f t="shared" si="69"/>
        <v>2.6631330900237279E-6</v>
      </c>
      <c r="G429" s="85">
        <f t="shared" si="69"/>
        <v>1.5978798540142368E-7</v>
      </c>
      <c r="H429" s="85">
        <f t="shared" si="69"/>
        <v>1.0168326343726963E-7</v>
      </c>
      <c r="I429" s="85">
        <f t="shared" si="69"/>
        <v>3.6081157993869865E-8</v>
      </c>
      <c r="J429" s="85">
        <f t="shared" si="69"/>
        <v>2.2370317956199317E-7</v>
      </c>
      <c r="K429" s="85">
        <f t="shared" si="69"/>
        <v>3.6081157993869865E-8</v>
      </c>
      <c r="L429" s="86">
        <f t="shared" si="68"/>
        <v>4.8990996324076496E-6</v>
      </c>
    </row>
    <row r="430" spans="2:12" ht="15.75" customHeight="1" x14ac:dyDescent="0.2">
      <c r="B430" s="133" t="s">
        <v>41</v>
      </c>
      <c r="C430" s="134" t="str">
        <f t="shared" si="66"/>
        <v>7440-43-9</v>
      </c>
      <c r="D430" s="332">
        <f>CONVERT(INDEX('Screening Emission Calculations'!$K$4:$K$54,MATCH($C430,'Screening Emission Calculations'!$C$4:$C$54,0)),"lbm","g")/8760/3600</f>
        <v>1.8938318862197404E-8</v>
      </c>
      <c r="E430" s="86">
        <f>CONVERT(INDEX('Screening Emission Calculations'!$K$83:$K$133,MATCH($C430,'Screening Emission Calculations'!$C$83:$C$133,0)),"lbm","g")/24/3600</f>
        <v>1.6589967323284928E-6</v>
      </c>
      <c r="F430" s="84">
        <f t="shared" si="69"/>
        <v>3.3818426539638225E-5</v>
      </c>
      <c r="G430" s="85">
        <f t="shared" si="69"/>
        <v>3.7876637724394806E-6</v>
      </c>
      <c r="H430" s="85">
        <f t="shared" si="69"/>
        <v>1.3527370615855287E-6</v>
      </c>
      <c r="I430" s="85">
        <f t="shared" si="69"/>
        <v>5.1184645573506501E-7</v>
      </c>
      <c r="J430" s="85">
        <f t="shared" si="69"/>
        <v>2.8266147555518513E-6</v>
      </c>
      <c r="K430" s="85">
        <f t="shared" si="69"/>
        <v>5.1184645573506501E-7</v>
      </c>
      <c r="L430" s="86">
        <f t="shared" si="68"/>
        <v>5.5299891077616432E-5</v>
      </c>
    </row>
    <row r="431" spans="2:12" ht="15.75" customHeight="1" x14ac:dyDescent="0.2">
      <c r="B431" s="133" t="s">
        <v>43</v>
      </c>
      <c r="C431" s="134" t="s">
        <v>44</v>
      </c>
      <c r="D431" s="332">
        <f>CONVERT(INDEX('Screening Emission Calculations'!$K$4:$K$54,MATCH($C431,'Screening Emission Calculations'!$C$4:$C$54,0)),"lbm","g")/8760/3600</f>
        <v>4.7655486045406308E-8</v>
      </c>
      <c r="E431" s="86">
        <f>CONVERT(INDEX('Screening Emission Calculations'!$K$83:$K$133,MATCH($C431,'Screening Emission Calculations'!$C$83:$C$133,0)),"lbm","g")/24/3600</f>
        <v>4.1168489160370112E-6</v>
      </c>
      <c r="F431" s="84">
        <f t="shared" si="69"/>
        <v>0</v>
      </c>
      <c r="G431" s="85">
        <f t="shared" si="69"/>
        <v>9.5310972090812626E-10</v>
      </c>
      <c r="H431" s="85">
        <f t="shared" si="69"/>
        <v>0</v>
      </c>
      <c r="I431" s="85">
        <f t="shared" si="69"/>
        <v>2.1661584566093775E-10</v>
      </c>
      <c r="J431" s="85">
        <f t="shared" si="69"/>
        <v>0</v>
      </c>
      <c r="K431" s="85">
        <f t="shared" si="69"/>
        <v>2.1661584566093775E-10</v>
      </c>
      <c r="L431" s="86">
        <f t="shared" si="68"/>
        <v>0</v>
      </c>
    </row>
    <row r="432" spans="2:12" ht="15.75" customHeight="1" x14ac:dyDescent="0.2">
      <c r="B432" s="133" t="s">
        <v>139</v>
      </c>
      <c r="C432" s="134" t="str">
        <f t="shared" ref="C432:C453" si="70">C26</f>
        <v>218-01-9</v>
      </c>
      <c r="D432" s="332">
        <f>CONVERT(INDEX('Screening Emission Calculations'!$K$4:$K$54,MATCH($C432,'Screening Emission Calculations'!$C$4:$C$54,0)),"lbm","g")/8760/3600</f>
        <v>1.5964567132667884E-8</v>
      </c>
      <c r="E432" s="86">
        <f>CONVERT(INDEX('Screening Emission Calculations'!$K$83:$K$133,MATCH($C432,'Screening Emission Calculations'!$C$83:$C$133,0)),"lbm","g")/24/3600</f>
        <v>1.3791425992907109E-6</v>
      </c>
      <c r="F432" s="84">
        <f t="shared" ref="F432:K441" si="71">IF(INDEX($B$6:$L$56,MATCH($C432,$C$6:$C$56,0),MATCH(F$5,$B$5:$L$5,0))="",0,$D432/INDEX($B$6:$L$56,MATCH($C432,$C$6:$C$56,0),MATCH(F$5,$B$5:$L$5,0)))</f>
        <v>3.7126900308529961E-5</v>
      </c>
      <c r="G432" s="85">
        <f t="shared" si="71"/>
        <v>0</v>
      </c>
      <c r="H432" s="85">
        <f t="shared" si="71"/>
        <v>9.977854457917427E-7</v>
      </c>
      <c r="I432" s="85">
        <f t="shared" si="71"/>
        <v>0</v>
      </c>
      <c r="J432" s="85">
        <f t="shared" si="71"/>
        <v>5.3215223775559619E-7</v>
      </c>
      <c r="K432" s="85">
        <f t="shared" si="71"/>
        <v>0</v>
      </c>
      <c r="L432" s="86">
        <f t="shared" si="68"/>
        <v>0</v>
      </c>
    </row>
    <row r="433" spans="2:12" ht="15.75" customHeight="1" x14ac:dyDescent="0.2">
      <c r="B433" s="133" t="s">
        <v>47</v>
      </c>
      <c r="C433" s="134" t="str">
        <f t="shared" si="70"/>
        <v>7440-48-4</v>
      </c>
      <c r="D433" s="332">
        <f>CONVERT(INDEX('Screening Emission Calculations'!$K$4:$K$54,MATCH($C433,'Screening Emission Calculations'!$C$4:$C$54,0)),"lbm","g")/8760/3600</f>
        <v>3.6928245003965771E-9</v>
      </c>
      <c r="E433" s="86">
        <f>CONVERT(INDEX('Screening Emission Calculations'!$K$83:$K$133,MATCH($C433,'Screening Emission Calculations'!$C$83:$C$133,0)),"lbm","g")/24/3600</f>
        <v>3.2349142623474012E-7</v>
      </c>
      <c r="F433" s="84">
        <f t="shared" si="71"/>
        <v>0</v>
      </c>
      <c r="G433" s="85">
        <f t="shared" si="71"/>
        <v>3.6928245003965769E-8</v>
      </c>
      <c r="H433" s="85">
        <f t="shared" si="71"/>
        <v>0</v>
      </c>
      <c r="I433" s="85">
        <f t="shared" si="71"/>
        <v>8.3927829554467665E-9</v>
      </c>
      <c r="J433" s="85">
        <f t="shared" si="71"/>
        <v>0</v>
      </c>
      <c r="K433" s="85">
        <f t="shared" si="71"/>
        <v>8.3927829554467665E-9</v>
      </c>
      <c r="L433" s="86">
        <f t="shared" si="68"/>
        <v>0</v>
      </c>
    </row>
    <row r="434" spans="2:12" ht="15.75" customHeight="1" x14ac:dyDescent="0.2">
      <c r="B434" s="133" t="s">
        <v>49</v>
      </c>
      <c r="C434" s="134" t="str">
        <f t="shared" si="70"/>
        <v>7440-50-8</v>
      </c>
      <c r="D434" s="332">
        <f>CONVERT(INDEX('Screening Emission Calculations'!$K$4:$K$54,MATCH($C434,'Screening Emission Calculations'!$C$4:$C$54,0)),"lbm","g")/8760/3600</f>
        <v>1.1772465108197349E-7</v>
      </c>
      <c r="E434" s="86">
        <f>CONVERT(INDEX('Screening Emission Calculations'!$K$83:$K$133,MATCH($C434,'Screening Emission Calculations'!$C$83:$C$133,0)),"lbm","g")/24/3600</f>
        <v>1.0312679434780878E-5</v>
      </c>
      <c r="F434" s="84">
        <f t="shared" si="71"/>
        <v>0</v>
      </c>
      <c r="G434" s="85">
        <f t="shared" si="71"/>
        <v>0</v>
      </c>
      <c r="H434" s="85">
        <f t="shared" si="71"/>
        <v>0</v>
      </c>
      <c r="I434" s="85">
        <f t="shared" si="71"/>
        <v>0</v>
      </c>
      <c r="J434" s="85">
        <f t="shared" si="71"/>
        <v>0</v>
      </c>
      <c r="K434" s="85">
        <f t="shared" si="71"/>
        <v>0</v>
      </c>
      <c r="L434" s="86">
        <f t="shared" si="68"/>
        <v>1.0312679434780878E-7</v>
      </c>
    </row>
    <row r="435" spans="2:12" ht="15.75" customHeight="1" x14ac:dyDescent="0.2">
      <c r="B435" s="135" t="s">
        <v>140</v>
      </c>
      <c r="C435" s="136" t="str">
        <f t="shared" si="70"/>
        <v>53-70-3</v>
      </c>
      <c r="D435" s="332">
        <f>CONVERT(INDEX('Screening Emission Calculations'!$K$4:$K$54,MATCH($C435,'Screening Emission Calculations'!$C$4:$C$54,0)),"lbm","g")/8760/3600</f>
        <v>2.4709051842171821E-10</v>
      </c>
      <c r="E435" s="86">
        <f>CONVERT(INDEX('Screening Emission Calculations'!$K$83:$K$133,MATCH($C435,'Screening Emission Calculations'!$C$83:$C$133,0)),"lbm","g")/24/3600</f>
        <v>2.1345587199724485E-8</v>
      </c>
      <c r="F435" s="84">
        <f t="shared" si="71"/>
        <v>5.7462911260864693E-5</v>
      </c>
      <c r="G435" s="85">
        <f t="shared" si="71"/>
        <v>0</v>
      </c>
      <c r="H435" s="85">
        <f t="shared" si="71"/>
        <v>1.5443157401357386E-6</v>
      </c>
      <c r="I435" s="85">
        <f t="shared" si="71"/>
        <v>0</v>
      </c>
      <c r="J435" s="85">
        <f t="shared" si="71"/>
        <v>8.2363506140572747E-7</v>
      </c>
      <c r="K435" s="85">
        <f t="shared" si="71"/>
        <v>0</v>
      </c>
      <c r="L435" s="86">
        <f t="shared" si="68"/>
        <v>0</v>
      </c>
    </row>
    <row r="436" spans="2:12" ht="15.75" customHeight="1" x14ac:dyDescent="0.2">
      <c r="B436" s="133" t="s">
        <v>191</v>
      </c>
      <c r="C436" s="134">
        <f t="shared" si="70"/>
        <v>200</v>
      </c>
      <c r="D436" s="332">
        <f>CONVERT(INDEX('Screening Emission Calculations'!$K$4:$K$54,MATCH($C436,'Screening Emission Calculations'!$C$4:$C$54,0)),"lbm","g")/8760/3600</f>
        <v>5.5709263187079987E-3</v>
      </c>
      <c r="E436" s="86">
        <f>CONVERT(INDEX('Screening Emission Calculations'!$K$83:$K$133,MATCH($C436,'Screening Emission Calculations'!$C$83:$C$133,0)),"lbm","g")/24/3600</f>
        <v>0.48125963828472668</v>
      </c>
      <c r="F436" s="84">
        <f t="shared" si="71"/>
        <v>5.5709263187079985E-2</v>
      </c>
      <c r="G436" s="85">
        <f t="shared" si="71"/>
        <v>1.1141852637415997E-3</v>
      </c>
      <c r="H436" s="85">
        <f t="shared" si="71"/>
        <v>2.1426639687338457E-3</v>
      </c>
      <c r="I436" s="85">
        <f t="shared" si="71"/>
        <v>2.5322392357763631E-4</v>
      </c>
      <c r="J436" s="85">
        <f t="shared" si="71"/>
        <v>4.6424385989233324E-3</v>
      </c>
      <c r="K436" s="85">
        <f t="shared" si="71"/>
        <v>2.5322392357763631E-4</v>
      </c>
      <c r="L436" s="86">
        <f t="shared" si="68"/>
        <v>0</v>
      </c>
    </row>
    <row r="437" spans="2:12" x14ac:dyDescent="0.2">
      <c r="B437" s="133" t="s">
        <v>53</v>
      </c>
      <c r="C437" s="134" t="str">
        <f t="shared" si="70"/>
        <v>100-41-4</v>
      </c>
      <c r="D437" s="332">
        <f>CONVERT(INDEX('Screening Emission Calculations'!$K$4:$K$54,MATCH($C437,'Screening Emission Calculations'!$C$4:$C$54,0)),"lbm","g")/8760/3600</f>
        <v>2.5972239894746438E-6</v>
      </c>
      <c r="E437" s="86">
        <f>CONVERT(INDEX('Screening Emission Calculations'!$K$83:$K$133,MATCH($C437,'Screening Emission Calculations'!$C$83:$C$133,0)),"lbm","g")/24/3600</f>
        <v>2.2436826592401709E-4</v>
      </c>
      <c r="F437" s="84">
        <f t="shared" si="71"/>
        <v>6.4930599736866092E-6</v>
      </c>
      <c r="G437" s="85">
        <f t="shared" si="71"/>
        <v>9.989323036440937E-9</v>
      </c>
      <c r="H437" s="85">
        <f t="shared" si="71"/>
        <v>2.5972239894746439E-7</v>
      </c>
      <c r="I437" s="85">
        <f t="shared" si="71"/>
        <v>2.3611127177042215E-9</v>
      </c>
      <c r="J437" s="85">
        <f t="shared" si="71"/>
        <v>5.4108833114055084E-7</v>
      </c>
      <c r="K437" s="85">
        <f t="shared" si="71"/>
        <v>2.3611127177042215E-9</v>
      </c>
      <c r="L437" s="86">
        <f t="shared" si="68"/>
        <v>1.0198557542000778E-8</v>
      </c>
    </row>
    <row r="438" spans="2:12" x14ac:dyDescent="0.2">
      <c r="B438" s="137" t="s">
        <v>141</v>
      </c>
      <c r="C438" s="138" t="str">
        <f t="shared" si="70"/>
        <v>206-44-0</v>
      </c>
      <c r="D438" s="332">
        <f>CONVERT(INDEX('Screening Emission Calculations'!$K$4:$K$54,MATCH($C438,'Screening Emission Calculations'!$C$4:$C$54,0)),"lbm","g")/8760/3600</f>
        <v>8.8151511836972122E-8</v>
      </c>
      <c r="E438" s="86">
        <f>CONVERT(INDEX('Screening Emission Calculations'!$K$83:$K$133,MATCH($C438,'Screening Emission Calculations'!$C$83:$C$133,0)),"lbm","g")/24/3600</f>
        <v>7.6152083646211036E-6</v>
      </c>
      <c r="F438" s="84">
        <f t="shared" si="71"/>
        <v>1.6632360723957006E-4</v>
      </c>
      <c r="G438" s="85">
        <f t="shared" si="71"/>
        <v>0</v>
      </c>
      <c r="H438" s="85">
        <f t="shared" si="71"/>
        <v>4.4075755918486059E-6</v>
      </c>
      <c r="I438" s="85">
        <f t="shared" si="71"/>
        <v>0</v>
      </c>
      <c r="J438" s="85">
        <f t="shared" si="71"/>
        <v>2.3197766272887402E-6</v>
      </c>
      <c r="K438" s="85">
        <f t="shared" si="71"/>
        <v>0</v>
      </c>
      <c r="L438" s="86">
        <f t="shared" si="68"/>
        <v>0</v>
      </c>
    </row>
    <row r="439" spans="2:12" x14ac:dyDescent="0.2">
      <c r="B439" s="137" t="s">
        <v>142</v>
      </c>
      <c r="C439" s="138" t="str">
        <f t="shared" si="70"/>
        <v>86-73-7</v>
      </c>
      <c r="D439" s="332">
        <f>CONVERT(INDEX('Screening Emission Calculations'!$K$4:$K$54,MATCH($C439,'Screening Emission Calculations'!$C$4:$C$54,0)),"lbm","g")/8760/3600</f>
        <v>5.2049257005169133E-7</v>
      </c>
      <c r="E439" s="86">
        <f>CONVERT(INDEX('Screening Emission Calculations'!$K$83:$K$133,MATCH($C439,'Screening Emission Calculations'!$C$83:$C$133,0)),"lbm","g")/24/3600</f>
        <v>4.4964167835387656E-5</v>
      </c>
      <c r="F439" s="84">
        <f t="shared" si="71"/>
        <v>0</v>
      </c>
      <c r="G439" s="85">
        <f t="shared" si="71"/>
        <v>0</v>
      </c>
      <c r="H439" s="85">
        <f t="shared" si="71"/>
        <v>0</v>
      </c>
      <c r="I439" s="85">
        <f t="shared" si="71"/>
        <v>0</v>
      </c>
      <c r="J439" s="85">
        <f t="shared" si="71"/>
        <v>0</v>
      </c>
      <c r="K439" s="85">
        <f t="shared" si="71"/>
        <v>0</v>
      </c>
      <c r="L439" s="86">
        <f t="shared" si="68"/>
        <v>0</v>
      </c>
    </row>
    <row r="440" spans="2:12" ht="15.75" customHeight="1" x14ac:dyDescent="0.2">
      <c r="B440" s="133" t="s">
        <v>59</v>
      </c>
      <c r="C440" s="134" t="str">
        <f t="shared" si="70"/>
        <v>50-00-0</v>
      </c>
      <c r="D440" s="332">
        <f>CONVERT(INDEX('Screening Emission Calculations'!$K$4:$K$54,MATCH($C440,'Screening Emission Calculations'!$C$4:$C$54,0)),"lbm","g")/8760/3600</f>
        <v>6.4826382905971514E-4</v>
      </c>
      <c r="E440" s="86">
        <f>CONVERT(INDEX('Screening Emission Calculations'!$K$83:$K$133,MATCH($C440,'Screening Emission Calculations'!$C$83:$C$133,0)),"lbm","g")/24/3600</f>
        <v>5.5868274357254687E-2</v>
      </c>
      <c r="F440" s="84">
        <f t="shared" si="71"/>
        <v>3.8133166415277356E-3</v>
      </c>
      <c r="G440" s="85">
        <f t="shared" si="71"/>
        <v>7.2029314339968345E-5</v>
      </c>
      <c r="H440" s="85">
        <f t="shared" si="71"/>
        <v>1.5075903001388725E-4</v>
      </c>
      <c r="I440" s="85">
        <f t="shared" si="71"/>
        <v>1.6206595726492879E-5</v>
      </c>
      <c r="J440" s="85">
        <f t="shared" si="71"/>
        <v>3.2413191452985757E-4</v>
      </c>
      <c r="K440" s="85">
        <f t="shared" si="71"/>
        <v>1.6206595726492879E-5</v>
      </c>
      <c r="L440" s="86">
        <f t="shared" si="68"/>
        <v>1.1401688644337691E-3</v>
      </c>
    </row>
    <row r="441" spans="2:12" ht="15.75" customHeight="1" x14ac:dyDescent="0.2">
      <c r="B441" s="133" t="s">
        <v>61</v>
      </c>
      <c r="C441" s="134" t="str">
        <f t="shared" si="70"/>
        <v>110-54-3</v>
      </c>
      <c r="D441" s="332">
        <f>CONVERT(INDEX('Screening Emission Calculations'!$K$4:$K$54,MATCH($C441,'Screening Emission Calculations'!$C$4:$C$54,0)),"lbm","g")/8760/3600</f>
        <v>6.4096628731071489E-6</v>
      </c>
      <c r="E441" s="86">
        <f>CONVERT(INDEX('Screening Emission Calculations'!$K$83:$K$133,MATCH($C441,'Screening Emission Calculations'!$C$83:$C$133,0)),"lbm","g")/24/3600</f>
        <v>5.5371617920697803E-4</v>
      </c>
      <c r="F441" s="84">
        <f t="shared" si="71"/>
        <v>0</v>
      </c>
      <c r="G441" s="85">
        <f t="shared" si="71"/>
        <v>9.1566612472959276E-9</v>
      </c>
      <c r="H441" s="85">
        <f t="shared" si="71"/>
        <v>0</v>
      </c>
      <c r="I441" s="85">
        <f t="shared" si="71"/>
        <v>2.0676331848732737E-9</v>
      </c>
      <c r="J441" s="85">
        <f t="shared" si="71"/>
        <v>0</v>
      </c>
      <c r="K441" s="85">
        <f t="shared" si="71"/>
        <v>2.0676331848732737E-9</v>
      </c>
      <c r="L441" s="86">
        <f t="shared" si="68"/>
        <v>0</v>
      </c>
    </row>
    <row r="442" spans="2:12" x14ac:dyDescent="0.2">
      <c r="B442" s="133" t="s">
        <v>143</v>
      </c>
      <c r="C442" s="134" t="str">
        <f t="shared" si="70"/>
        <v>18540-29-9</v>
      </c>
      <c r="D442" s="332">
        <f>CONVERT(INDEX('Screening Emission Calculations'!$K$4:$K$54,MATCH($C442,'Screening Emission Calculations'!$C$4:$C$54,0)),"lbm","g")/8760/3600</f>
        <v>1.4804099285040976E-8</v>
      </c>
      <c r="E442" s="86">
        <f>CONVERT(INDEX('Screening Emission Calculations'!$K$83:$K$133,MATCH($C442,'Screening Emission Calculations'!$C$83:$C$133,0)),"lbm","g")/24/3600</f>
        <v>1.2968390973695896E-6</v>
      </c>
      <c r="F442" s="84">
        <f t="shared" ref="F442:K451" si="72">IF(INDEX($B$6:$L$56,MATCH($C442,$C$6:$C$56,0),MATCH(F$5,$B$5:$L$5,0))="",0,$D442/INDEX($B$6:$L$56,MATCH($C442,$C$6:$C$56,0),MATCH(F$5,$B$5:$L$5,0)))</f>
        <v>4.7755158984003147E-4</v>
      </c>
      <c r="G442" s="85">
        <f t="shared" si="72"/>
        <v>1.7836264198844548E-7</v>
      </c>
      <c r="H442" s="85">
        <f t="shared" si="72"/>
        <v>2.8469421702001879E-5</v>
      </c>
      <c r="I442" s="85">
        <f t="shared" si="72"/>
        <v>1.6822840096637473E-8</v>
      </c>
      <c r="J442" s="85">
        <f t="shared" si="72"/>
        <v>1.4804099285040976E-5</v>
      </c>
      <c r="K442" s="85">
        <f t="shared" si="72"/>
        <v>1.6822840096637473E-8</v>
      </c>
      <c r="L442" s="86">
        <f t="shared" si="68"/>
        <v>4.3227969912319652E-6</v>
      </c>
    </row>
    <row r="443" spans="2:12" x14ac:dyDescent="0.2">
      <c r="B443" s="133" t="s">
        <v>64</v>
      </c>
      <c r="C443" s="134" t="str">
        <f t="shared" si="70"/>
        <v>7647-01-0</v>
      </c>
      <c r="D443" s="332">
        <f>CONVERT(INDEX('Screening Emission Calculations'!$K$4:$K$54,MATCH($C443,'Screening Emission Calculations'!$C$4:$C$54,0)),"lbm","g")/8760/3600</f>
        <v>4.4391085251295975E-5</v>
      </c>
      <c r="E443" s="86">
        <f>CONVERT(INDEX('Screening Emission Calculations'!$K$83:$K$133,MATCH($C443,'Screening Emission Calculations'!$C$83:$C$133,0)),"lbm","g")/24/3600</f>
        <v>3.8348447652884767E-3</v>
      </c>
      <c r="F443" s="84">
        <f t="shared" si="72"/>
        <v>0</v>
      </c>
      <c r="G443" s="85">
        <f t="shared" si="72"/>
        <v>2.2195542625647988E-6</v>
      </c>
      <c r="H443" s="85">
        <f t="shared" si="72"/>
        <v>0</v>
      </c>
      <c r="I443" s="85">
        <f t="shared" si="72"/>
        <v>5.0444415058290875E-7</v>
      </c>
      <c r="J443" s="85">
        <f t="shared" si="72"/>
        <v>0</v>
      </c>
      <c r="K443" s="85">
        <f t="shared" si="72"/>
        <v>5.0444415058290875E-7</v>
      </c>
      <c r="L443" s="86">
        <f t="shared" si="68"/>
        <v>1.8261165548992746E-6</v>
      </c>
    </row>
    <row r="444" spans="2:12" x14ac:dyDescent="0.2">
      <c r="B444" s="137" t="s">
        <v>144</v>
      </c>
      <c r="C444" s="138" t="str">
        <f t="shared" si="70"/>
        <v>193-39-5</v>
      </c>
      <c r="D444" s="332">
        <f>CONVERT(INDEX('Screening Emission Calculations'!$K$4:$K$54,MATCH($C444,'Screening Emission Calculations'!$C$4:$C$54,0)),"lbm","g")/8760/3600</f>
        <v>2.5521832528262321E-9</v>
      </c>
      <c r="E444" s="86">
        <f>CONVERT(INDEX('Screening Emission Calculations'!$K$83:$K$133,MATCH($C444,'Screening Emission Calculations'!$C$83:$C$133,0)),"lbm","g")/24/3600</f>
        <v>2.2047729925395E-7</v>
      </c>
      <c r="F444" s="84">
        <f t="shared" si="72"/>
        <v>4.1839069718462823E-6</v>
      </c>
      <c r="G444" s="85">
        <f t="shared" si="72"/>
        <v>0</v>
      </c>
      <c r="H444" s="85">
        <f t="shared" si="72"/>
        <v>1.1600832967391965E-7</v>
      </c>
      <c r="I444" s="85">
        <f t="shared" si="72"/>
        <v>0</v>
      </c>
      <c r="J444" s="85">
        <f t="shared" si="72"/>
        <v>5.9353098902935633E-8</v>
      </c>
      <c r="K444" s="85">
        <f t="shared" si="72"/>
        <v>0</v>
      </c>
      <c r="L444" s="86">
        <f t="shared" ref="L444:L462" si="73">IF(INDEX($B$6:$L$56,MATCH($C444,$C$6:$C$56,0),MATCH(L$4,$B$4:$L$4,0))="",0,$E444/INDEX($B$6:$L$56,MATCH($C444,$C$6:$C$56,0),MATCH(L$4,$B$4:$L$4,0)))</f>
        <v>0</v>
      </c>
    </row>
    <row r="445" spans="2:12" x14ac:dyDescent="0.2">
      <c r="B445" s="133" t="s">
        <v>68</v>
      </c>
      <c r="C445" s="134" t="str">
        <f t="shared" si="70"/>
        <v>7439-92-1</v>
      </c>
      <c r="D445" s="332">
        <f>CONVERT(INDEX('Screening Emission Calculations'!$K$4:$K$54,MATCH($C445,'Screening Emission Calculations'!$C$4:$C$54,0)),"lbm","g")/8760/3600</f>
        <v>8.5262103682592237E-8</v>
      </c>
      <c r="E445" s="86">
        <f>CONVERT(INDEX('Screening Emission Calculations'!$K$83:$K$133,MATCH($C445,'Screening Emission Calculations'!$C$83:$C$133,0)),"lbm","g")/24/3600</f>
        <v>7.4689602825950801E-6</v>
      </c>
      <c r="F445" s="84">
        <f t="shared" si="72"/>
        <v>0</v>
      </c>
      <c r="G445" s="85">
        <f t="shared" si="72"/>
        <v>5.6841402455061491E-7</v>
      </c>
      <c r="H445" s="85">
        <f t="shared" si="72"/>
        <v>0</v>
      </c>
      <c r="I445" s="85">
        <f t="shared" si="72"/>
        <v>1.291850055796852E-7</v>
      </c>
      <c r="J445" s="85">
        <f t="shared" si="72"/>
        <v>0</v>
      </c>
      <c r="K445" s="85">
        <f t="shared" si="72"/>
        <v>1.291850055796852E-7</v>
      </c>
      <c r="L445" s="86">
        <f t="shared" si="73"/>
        <v>4.9793068550633868E-5</v>
      </c>
    </row>
    <row r="446" spans="2:12" x14ac:dyDescent="0.2">
      <c r="B446" s="133" t="s">
        <v>70</v>
      </c>
      <c r="C446" s="134" t="str">
        <f t="shared" si="70"/>
        <v>7439-96-5</v>
      </c>
      <c r="D446" s="332">
        <f>CONVERT(INDEX('Screening Emission Calculations'!$K$4:$K$54,MATCH($C446,'Screening Emission Calculations'!$C$4:$C$54,0)),"lbm","g")/8760/3600</f>
        <v>9.8447727420840364E-8</v>
      </c>
      <c r="E446" s="86">
        <f>CONVERT(INDEX('Screening Emission Calculations'!$K$83:$K$133,MATCH($C446,'Screening Emission Calculations'!$C$83:$C$133,0)),"lbm","g")/24/3600</f>
        <v>8.6240209220656165E-6</v>
      </c>
      <c r="F446" s="84">
        <f t="shared" si="72"/>
        <v>0</v>
      </c>
      <c r="G446" s="85">
        <f t="shared" si="72"/>
        <v>1.0938636380093373E-6</v>
      </c>
      <c r="H446" s="85">
        <f t="shared" si="72"/>
        <v>0</v>
      </c>
      <c r="I446" s="85">
        <f t="shared" si="72"/>
        <v>2.4611931855210089E-7</v>
      </c>
      <c r="J446" s="85">
        <f t="shared" si="72"/>
        <v>0</v>
      </c>
      <c r="K446" s="85">
        <f t="shared" si="72"/>
        <v>2.4611931855210089E-7</v>
      </c>
      <c r="L446" s="86">
        <f t="shared" si="73"/>
        <v>2.8746736406885391E-5</v>
      </c>
    </row>
    <row r="447" spans="2:12" x14ac:dyDescent="0.2">
      <c r="B447" s="133" t="s">
        <v>72</v>
      </c>
      <c r="C447" s="134" t="str">
        <f t="shared" si="70"/>
        <v>7439-97-6</v>
      </c>
      <c r="D447" s="332">
        <f>CONVERT(INDEX('Screening Emission Calculations'!$K$4:$K$54,MATCH($C447,'Screening Emission Calculations'!$C$4:$C$54,0)),"lbm","g")/8760/3600</f>
        <v>3.5418865139077634E-9</v>
      </c>
      <c r="E447" s="86">
        <f>CONVERT(INDEX('Screening Emission Calculations'!$K$83:$K$133,MATCH($C447,'Screening Emission Calculations'!$C$83:$C$133,0)),"lbm","g")/24/3600</f>
        <v>3.1026925861832007E-7</v>
      </c>
      <c r="F447" s="84">
        <f t="shared" si="72"/>
        <v>0</v>
      </c>
      <c r="G447" s="85">
        <f t="shared" si="72"/>
        <v>4.5998526154646281E-8</v>
      </c>
      <c r="H447" s="85">
        <f t="shared" si="72"/>
        <v>0</v>
      </c>
      <c r="I447" s="85">
        <f t="shared" si="72"/>
        <v>5.6220420855678779E-9</v>
      </c>
      <c r="J447" s="85">
        <f t="shared" si="72"/>
        <v>0</v>
      </c>
      <c r="K447" s="85">
        <f t="shared" si="72"/>
        <v>5.6220420855678779E-9</v>
      </c>
      <c r="L447" s="86">
        <f t="shared" si="73"/>
        <v>5.1711543103053348E-7</v>
      </c>
    </row>
    <row r="448" spans="2:12" x14ac:dyDescent="0.2">
      <c r="B448" s="133" t="s">
        <v>145</v>
      </c>
      <c r="C448" s="134" t="str">
        <f t="shared" si="70"/>
        <v>91-57-6</v>
      </c>
      <c r="D448" s="332">
        <f>CONVERT(INDEX('Screening Emission Calculations'!$K$4:$K$54,MATCH($C448,'Screening Emission Calculations'!$C$4:$C$54,0)),"lbm","g")/8760/3600</f>
        <v>2.9303137759191297E-6</v>
      </c>
      <c r="E448" s="86">
        <f>CONVERT(INDEX('Screening Emission Calculations'!$K$83:$K$133,MATCH($C448,'Screening Emission Calculations'!$C$83:$C$133,0)),"lbm","g")/24/3600</f>
        <v>2.5314313404644939E-4</v>
      </c>
      <c r="F448" s="84">
        <f t="shared" si="72"/>
        <v>0</v>
      </c>
      <c r="G448" s="85">
        <f t="shared" si="72"/>
        <v>0</v>
      </c>
      <c r="H448" s="85">
        <f t="shared" si="72"/>
        <v>0</v>
      </c>
      <c r="I448" s="85">
        <f t="shared" si="72"/>
        <v>0</v>
      </c>
      <c r="J448" s="85">
        <f t="shared" si="72"/>
        <v>0</v>
      </c>
      <c r="K448" s="85">
        <f t="shared" si="72"/>
        <v>0</v>
      </c>
      <c r="L448" s="86">
        <f t="shared" si="73"/>
        <v>0</v>
      </c>
    </row>
    <row r="449" spans="1:12" x14ac:dyDescent="0.2">
      <c r="B449" s="133" t="s">
        <v>146</v>
      </c>
      <c r="C449" s="134" t="str">
        <f t="shared" si="70"/>
        <v>91-20-3</v>
      </c>
      <c r="D449" s="332">
        <f>CONVERT(INDEX('Screening Emission Calculations'!$K$4:$K$54,MATCH($C449,'Screening Emission Calculations'!$C$4:$C$54,0)),"lbm","g")/8760/3600</f>
        <v>6.2791800349812836E-6</v>
      </c>
      <c r="E449" s="86">
        <f>CONVERT(INDEX('Screening Emission Calculations'!$K$83:$K$133,MATCH($C449,'Screening Emission Calculations'!$C$83:$C$133,0)),"lbm","g")/24/3600</f>
        <v>5.4244406396324572E-4</v>
      </c>
      <c r="F449" s="84">
        <f t="shared" si="72"/>
        <v>2.1652344948211322E-4</v>
      </c>
      <c r="G449" s="85">
        <f t="shared" si="72"/>
        <v>1.6970756851300765E-6</v>
      </c>
      <c r="H449" s="85">
        <f t="shared" si="72"/>
        <v>8.2620789933964254E-6</v>
      </c>
      <c r="I449" s="85">
        <f t="shared" si="72"/>
        <v>3.9244875218633022E-7</v>
      </c>
      <c r="J449" s="85">
        <f t="shared" si="72"/>
        <v>1.794051438566081E-5</v>
      </c>
      <c r="K449" s="85">
        <f t="shared" si="72"/>
        <v>3.9244875218633022E-7</v>
      </c>
      <c r="L449" s="86">
        <f t="shared" si="73"/>
        <v>2.7122203198162287E-6</v>
      </c>
    </row>
    <row r="450" spans="1:12" x14ac:dyDescent="0.2">
      <c r="B450" s="133" t="s">
        <v>78</v>
      </c>
      <c r="C450" s="134">
        <f t="shared" si="70"/>
        <v>365</v>
      </c>
      <c r="D450" s="332">
        <f>CONVERT(INDEX('Screening Emission Calculations'!$K$4:$K$54,MATCH($C450,'Screening Emission Calculations'!$C$4:$C$54,0)),"lbm","g")/8760/3600</f>
        <v>4.2723324858554814E-8</v>
      </c>
      <c r="E450" s="86">
        <f>CONVERT(INDEX('Screening Emission Calculations'!$K$83:$K$133,MATCH($C450,'Screening Emission Calculations'!$C$83:$C$133,0)),"lbm","g")/24/3600</f>
        <v>3.7425632576094012E-6</v>
      </c>
      <c r="F450" s="84">
        <f t="shared" si="72"/>
        <v>1.1242980225935477E-5</v>
      </c>
      <c r="G450" s="85">
        <f t="shared" si="72"/>
        <v>3.0516660613253436E-6</v>
      </c>
      <c r="H450" s="85">
        <f t="shared" si="72"/>
        <v>4.2723324858554813E-7</v>
      </c>
      <c r="I450" s="85">
        <f t="shared" si="72"/>
        <v>6.8908588481540022E-7</v>
      </c>
      <c r="J450" s="85">
        <f t="shared" si="72"/>
        <v>9.2876793170771332E-7</v>
      </c>
      <c r="K450" s="85">
        <f t="shared" si="72"/>
        <v>6.8908588481540022E-7</v>
      </c>
      <c r="L450" s="86">
        <f t="shared" si="73"/>
        <v>1.8712816288047007E-5</v>
      </c>
    </row>
    <row r="451" spans="1:12" x14ac:dyDescent="0.2">
      <c r="B451" s="133" t="s">
        <v>147</v>
      </c>
      <c r="C451" s="134" t="str">
        <f t="shared" si="70"/>
        <v>198-55-0</v>
      </c>
      <c r="D451" s="332">
        <f>CONVERT(INDEX('Screening Emission Calculations'!$K$4:$K$54,MATCH($C451,'Screening Emission Calculations'!$C$4:$C$54,0)),"lbm","g")/8760/3600</f>
        <v>2.8074956092399181E-10</v>
      </c>
      <c r="E451" s="86">
        <f>CONVERT(INDEX('Screening Emission Calculations'!$K$83:$K$133,MATCH($C451,'Screening Emission Calculations'!$C$83:$C$133,0)),"lbm","g")/24/3600</f>
        <v>2.4253315231462523E-8</v>
      </c>
      <c r="F451" s="84">
        <f t="shared" si="72"/>
        <v>0</v>
      </c>
      <c r="G451" s="85">
        <f t="shared" si="72"/>
        <v>0</v>
      </c>
      <c r="H451" s="85">
        <f t="shared" si="72"/>
        <v>0</v>
      </c>
      <c r="I451" s="85">
        <f t="shared" si="72"/>
        <v>0</v>
      </c>
      <c r="J451" s="85">
        <f t="shared" si="72"/>
        <v>0</v>
      </c>
      <c r="K451" s="85">
        <f t="shared" si="72"/>
        <v>0</v>
      </c>
      <c r="L451" s="86">
        <f t="shared" si="73"/>
        <v>0</v>
      </c>
    </row>
    <row r="452" spans="1:12" x14ac:dyDescent="0.2">
      <c r="B452" s="133" t="s">
        <v>148</v>
      </c>
      <c r="C452" s="134" t="str">
        <f t="shared" si="70"/>
        <v>85-01-8</v>
      </c>
      <c r="D452" s="332">
        <f>CONVERT(INDEX('Screening Emission Calculations'!$K$4:$K$54,MATCH($C452,'Screening Emission Calculations'!$C$4:$C$54,0)),"lbm","g")/8760/3600</f>
        <v>1.082243348028463E-6</v>
      </c>
      <c r="E452" s="86">
        <f>CONVERT(INDEX('Screening Emission Calculations'!$K$83:$K$133,MATCH($C452,'Screening Emission Calculations'!$C$83:$C$133,0)),"lbm","g")/24/3600</f>
        <v>9.3492538298194978E-5</v>
      </c>
      <c r="F452" s="84">
        <f t="shared" ref="F452:K462" si="74">IF(INDEX($B$6:$L$56,MATCH($C452,$C$6:$C$56,0),MATCH(F$5,$B$5:$L$5,0))="",0,$D452/INDEX($B$6:$L$56,MATCH($C452,$C$6:$C$56,0),MATCH(F$5,$B$5:$L$5,0)))</f>
        <v>0</v>
      </c>
      <c r="G452" s="85">
        <f t="shared" si="74"/>
        <v>0</v>
      </c>
      <c r="H452" s="85">
        <f t="shared" si="74"/>
        <v>0</v>
      </c>
      <c r="I452" s="85">
        <f t="shared" si="74"/>
        <v>0</v>
      </c>
      <c r="J452" s="85">
        <f t="shared" si="74"/>
        <v>0</v>
      </c>
      <c r="K452" s="85">
        <f t="shared" si="74"/>
        <v>0</v>
      </c>
      <c r="L452" s="86">
        <f t="shared" si="73"/>
        <v>0</v>
      </c>
    </row>
    <row r="453" spans="1:12" x14ac:dyDescent="0.2">
      <c r="B453" s="133" t="s">
        <v>83</v>
      </c>
      <c r="C453" s="134">
        <f t="shared" si="70"/>
        <v>504</v>
      </c>
      <c r="D453" s="332">
        <f>CONVERT(INDEX('Screening Emission Calculations'!$K$4:$K$54,MATCH($C453,'Screening Emission Calculations'!$C$4:$C$54,0)),"lbm","g")/8760/3600</f>
        <v>1.9702985802279369E-6</v>
      </c>
      <c r="E453" s="86">
        <f>CONVERT(INDEX('Screening Emission Calculations'!$K$83:$K$133,MATCH($C453,'Screening Emission Calculations'!$C$83:$C$133,0)),"lbm","g")/24/3600</f>
        <v>1.7259815562796726E-4</v>
      </c>
      <c r="F453" s="84">
        <f t="shared" si="74"/>
        <v>0</v>
      </c>
      <c r="G453" s="85">
        <f t="shared" si="74"/>
        <v>0</v>
      </c>
      <c r="H453" s="85">
        <f t="shared" si="74"/>
        <v>0</v>
      </c>
      <c r="I453" s="85">
        <f t="shared" si="74"/>
        <v>0</v>
      </c>
      <c r="J453" s="85">
        <f t="shared" si="74"/>
        <v>0</v>
      </c>
      <c r="K453" s="85">
        <f t="shared" si="74"/>
        <v>0</v>
      </c>
      <c r="L453" s="86">
        <f t="shared" si="73"/>
        <v>0</v>
      </c>
    </row>
    <row r="454" spans="1:12" x14ac:dyDescent="0.2">
      <c r="B454" s="133" t="s">
        <v>84</v>
      </c>
      <c r="C454" s="134" t="s">
        <v>85</v>
      </c>
      <c r="D454" s="332">
        <f>CONVERT(INDEX('Screening Emission Calculations'!$K$4:$K$54,MATCH($C454,'Screening Emission Calculations'!$C$4:$C$54,0)),"lbm","g")/8760/3600</f>
        <v>1.1199039220670481E-4</v>
      </c>
      <c r="E454" s="86">
        <f>CONVERT(INDEX('Screening Emission Calculations'!$K$83:$K$133,MATCH($C454,'Screening Emission Calculations'!$C$83:$C$133,0)),"lbm","g")/24/3600</f>
        <v>9.6745949526869761E-3</v>
      </c>
      <c r="F454" s="84">
        <f t="shared" si="74"/>
        <v>0</v>
      </c>
      <c r="G454" s="85">
        <f t="shared" si="74"/>
        <v>3.7330130735568268E-8</v>
      </c>
      <c r="H454" s="85">
        <f t="shared" si="74"/>
        <v>0</v>
      </c>
      <c r="I454" s="85">
        <f t="shared" si="74"/>
        <v>8.6146455543619087E-9</v>
      </c>
      <c r="J454" s="85">
        <f t="shared" si="74"/>
        <v>0</v>
      </c>
      <c r="K454" s="85">
        <f t="shared" si="74"/>
        <v>8.6146455543619087E-9</v>
      </c>
      <c r="L454" s="86">
        <f t="shared" si="73"/>
        <v>0</v>
      </c>
    </row>
    <row r="455" spans="1:12" x14ac:dyDescent="0.2">
      <c r="B455" s="133" t="s">
        <v>149</v>
      </c>
      <c r="C455" s="134" t="s">
        <v>87</v>
      </c>
      <c r="D455" s="332">
        <f>CONVERT(INDEX('Screening Emission Calculations'!$K$4:$K$54,MATCH($C455,'Screening Emission Calculations'!$C$4:$C$54,0)),"lbm","g")/8760/3600</f>
        <v>2.9784678778378947E-7</v>
      </c>
      <c r="E455" s="86">
        <f>CONVERT(INDEX('Screening Emission Calculations'!$K$83:$K$133,MATCH($C455,'Screening Emission Calculations'!$C$83:$C$133,0)),"lbm","g")/24/3600</f>
        <v>2.5730305725231317E-5</v>
      </c>
      <c r="F455" s="84">
        <f t="shared" si="74"/>
        <v>0</v>
      </c>
      <c r="G455" s="85">
        <f t="shared" si="74"/>
        <v>0</v>
      </c>
      <c r="H455" s="85">
        <f t="shared" si="74"/>
        <v>0</v>
      </c>
      <c r="I455" s="85">
        <f t="shared" si="74"/>
        <v>0</v>
      </c>
      <c r="J455" s="85">
        <f t="shared" si="74"/>
        <v>0</v>
      </c>
      <c r="K455" s="85">
        <f t="shared" si="74"/>
        <v>0</v>
      </c>
      <c r="L455" s="86">
        <f t="shared" si="73"/>
        <v>0</v>
      </c>
    </row>
    <row r="456" spans="1:12" x14ac:dyDescent="0.2">
      <c r="B456" s="133" t="s">
        <v>150</v>
      </c>
      <c r="C456" s="134">
        <f t="shared" ref="C456:C462" si="75">C50</f>
        <v>401</v>
      </c>
      <c r="D456" s="332">
        <f>CONVERT(INDEX('Screening Emission Calculations'!$K$4:$K$54,MATCH($C456,'Screening Emission Calculations'!$C$4:$C$54,0)),"lbm","g")/8760/3600</f>
        <v>0</v>
      </c>
      <c r="E456" s="86">
        <f>CONVERT(INDEX('Screening Emission Calculations'!$K$83:$K$133,MATCH($C456,'Screening Emission Calculations'!$C$83:$C$133,0)),"lbm","g")/24/3600</f>
        <v>0</v>
      </c>
      <c r="F456" s="84">
        <f t="shared" si="74"/>
        <v>0</v>
      </c>
      <c r="G456" s="85">
        <f t="shared" si="74"/>
        <v>0</v>
      </c>
      <c r="H456" s="85">
        <f t="shared" si="74"/>
        <v>0</v>
      </c>
      <c r="I456" s="85">
        <f t="shared" si="74"/>
        <v>0</v>
      </c>
      <c r="J456" s="85">
        <f t="shared" si="74"/>
        <v>0</v>
      </c>
      <c r="K456" s="85">
        <f t="shared" si="74"/>
        <v>0</v>
      </c>
      <c r="L456" s="86">
        <f t="shared" si="73"/>
        <v>0</v>
      </c>
    </row>
    <row r="457" spans="1:12" x14ac:dyDescent="0.2">
      <c r="B457" s="133" t="s">
        <v>89</v>
      </c>
      <c r="C457" s="134" t="str">
        <f t="shared" si="75"/>
        <v>7782-49-2</v>
      </c>
      <c r="D457" s="332">
        <f>CONVERT(INDEX('Screening Emission Calculations'!$K$4:$K$54,MATCH($C457,'Screening Emission Calculations'!$C$4:$C$54,0)),"lbm","g")/8760/3600</f>
        <v>8.8242208267494729E-8</v>
      </c>
      <c r="E457" s="86">
        <f>CONVERT(INDEX('Screening Emission Calculations'!$K$83:$K$133,MATCH($C457,'Screening Emission Calculations'!$C$83:$C$133,0)),"lbm","g")/24/3600</f>
        <v>7.7300174442325384E-6</v>
      </c>
      <c r="F457" s="84">
        <f t="shared" si="74"/>
        <v>0</v>
      </c>
      <c r="G457" s="85">
        <f t="shared" si="74"/>
        <v>0</v>
      </c>
      <c r="H457" s="85">
        <f t="shared" si="74"/>
        <v>0</v>
      </c>
      <c r="I457" s="85">
        <f t="shared" si="74"/>
        <v>0</v>
      </c>
      <c r="J457" s="85">
        <f t="shared" si="74"/>
        <v>0</v>
      </c>
      <c r="K457" s="85">
        <f t="shared" si="74"/>
        <v>0</v>
      </c>
      <c r="L457" s="86">
        <f t="shared" si="73"/>
        <v>3.8650087221162692E-6</v>
      </c>
    </row>
    <row r="458" spans="1:12" x14ac:dyDescent="0.2">
      <c r="B458" s="133" t="s">
        <v>91</v>
      </c>
      <c r="C458" s="134" t="str">
        <f t="shared" si="75"/>
        <v>7440-22-4</v>
      </c>
      <c r="D458" s="332">
        <f>CONVERT(INDEX('Screening Emission Calculations'!$K$4:$K$54,MATCH($C458,'Screening Emission Calculations'!$C$4:$C$54,0)),"lbm","g")/8760/3600</f>
        <v>1.125656049047993E-8</v>
      </c>
      <c r="E458" s="86">
        <f>CONVERT(INDEX('Screening Emission Calculations'!$K$83:$K$133,MATCH($C458,'Screening Emission Calculations'!$C$83:$C$133,0)),"lbm","g")/24/3600</f>
        <v>9.8607469896604201E-7</v>
      </c>
      <c r="F458" s="84">
        <f t="shared" si="74"/>
        <v>0</v>
      </c>
      <c r="G458" s="85">
        <f t="shared" si="74"/>
        <v>0</v>
      </c>
      <c r="H458" s="85">
        <f t="shared" si="74"/>
        <v>0</v>
      </c>
      <c r="I458" s="85">
        <f t="shared" si="74"/>
        <v>0</v>
      </c>
      <c r="J458" s="85">
        <f t="shared" si="74"/>
        <v>0</v>
      </c>
      <c r="K458" s="85">
        <f t="shared" si="74"/>
        <v>0</v>
      </c>
      <c r="L458" s="86">
        <f t="shared" si="73"/>
        <v>0</v>
      </c>
    </row>
    <row r="459" spans="1:12" x14ac:dyDescent="0.2">
      <c r="B459" s="133" t="s">
        <v>93</v>
      </c>
      <c r="C459" s="134" t="str">
        <f t="shared" si="75"/>
        <v>7440-28-0</v>
      </c>
      <c r="D459" s="332">
        <f>CONVERT(INDEX('Screening Emission Calculations'!$K$4:$K$54,MATCH($C459,'Screening Emission Calculations'!$C$4:$C$54,0)),"lbm","g")/8760/3600</f>
        <v>5.6289510094734149E-8</v>
      </c>
      <c r="E459" s="86">
        <f>CONVERT(INDEX('Screening Emission Calculations'!$K$83:$K$133,MATCH($C459,'Screening Emission Calculations'!$C$83:$C$133,0)),"lbm","g")/24/3600</f>
        <v>4.9309610842987118E-6</v>
      </c>
      <c r="F459" s="84">
        <f t="shared" si="74"/>
        <v>0</v>
      </c>
      <c r="G459" s="85">
        <f t="shared" si="74"/>
        <v>0</v>
      </c>
      <c r="H459" s="85">
        <f t="shared" si="74"/>
        <v>0</v>
      </c>
      <c r="I459" s="85">
        <f t="shared" si="74"/>
        <v>0</v>
      </c>
      <c r="J459" s="85">
        <f t="shared" si="74"/>
        <v>0</v>
      </c>
      <c r="K459" s="85">
        <f t="shared" si="74"/>
        <v>0</v>
      </c>
      <c r="L459" s="86">
        <f t="shared" si="73"/>
        <v>0</v>
      </c>
    </row>
    <row r="460" spans="1:12" x14ac:dyDescent="0.2">
      <c r="B460" s="133" t="s">
        <v>95</v>
      </c>
      <c r="C460" s="134" t="str">
        <f t="shared" si="75"/>
        <v>108-88-3</v>
      </c>
      <c r="D460" s="332">
        <f>CONVERT(INDEX('Screening Emission Calculations'!$K$4:$K$54,MATCH($C460,'Screening Emission Calculations'!$C$4:$C$54,0)),"lbm","g")/8760/3600</f>
        <v>2.5114441145929127E-5</v>
      </c>
      <c r="E460" s="86">
        <f>CONVERT(INDEX('Screening Emission Calculations'!$K$83:$K$133,MATCH($C460,'Screening Emission Calculations'!$C$83:$C$133,0)),"lbm","g")/24/3600</f>
        <v>2.169579378751505E-3</v>
      </c>
      <c r="F460" s="84">
        <f t="shared" si="74"/>
        <v>0</v>
      </c>
      <c r="G460" s="85">
        <f t="shared" si="74"/>
        <v>5.0228882291858251E-9</v>
      </c>
      <c r="H460" s="85">
        <f t="shared" si="74"/>
        <v>0</v>
      </c>
      <c r="I460" s="85">
        <f t="shared" si="74"/>
        <v>1.1415655066331421E-9</v>
      </c>
      <c r="J460" s="85">
        <f t="shared" si="74"/>
        <v>0</v>
      </c>
      <c r="K460" s="85">
        <f t="shared" si="74"/>
        <v>1.1415655066331421E-9</v>
      </c>
      <c r="L460" s="86">
        <f t="shared" si="73"/>
        <v>2.8927725050020068E-7</v>
      </c>
    </row>
    <row r="461" spans="1:12" x14ac:dyDescent="0.2">
      <c r="B461" s="133" t="s">
        <v>97</v>
      </c>
      <c r="C461" s="134" t="str">
        <f t="shared" si="75"/>
        <v>1330-20-7</v>
      </c>
      <c r="D461" s="332">
        <f>CONVERT(INDEX('Screening Emission Calculations'!$K$4:$K$54,MATCH($C461,'Screening Emission Calculations'!$C$4:$C$54,0)),"lbm","g")/8760/3600</f>
        <v>1.0102963041626135E-5</v>
      </c>
      <c r="E461" s="86">
        <f>CONVERT(INDEX('Screening Emission Calculations'!$K$83:$K$133,MATCH($C461,'Screening Emission Calculations'!$C$83:$C$133,0)),"lbm","g")/24/3600</f>
        <v>8.727719701998464E-4</v>
      </c>
      <c r="F461" s="84">
        <f t="shared" si="74"/>
        <v>0</v>
      </c>
      <c r="G461" s="85">
        <f t="shared" si="74"/>
        <v>4.5922559280118794E-8</v>
      </c>
      <c r="H461" s="85">
        <f t="shared" si="74"/>
        <v>0</v>
      </c>
      <c r="I461" s="85">
        <f t="shared" si="74"/>
        <v>1.0415425816109418E-8</v>
      </c>
      <c r="J461" s="85">
        <f t="shared" si="74"/>
        <v>0</v>
      </c>
      <c r="K461" s="85">
        <f t="shared" si="74"/>
        <v>1.0415425816109418E-8</v>
      </c>
      <c r="L461" s="86">
        <f t="shared" si="73"/>
        <v>1.0031861726435016E-7</v>
      </c>
    </row>
    <row r="462" spans="1:12" ht="15.75" thickBot="1" x14ac:dyDescent="0.25">
      <c r="B462" s="139" t="s">
        <v>99</v>
      </c>
      <c r="C462" s="140" t="str">
        <f t="shared" si="75"/>
        <v>7440-66-6</v>
      </c>
      <c r="D462" s="332">
        <f>CONVERT(INDEX('Screening Emission Calculations'!$K$4:$K$54,MATCH($C462,'Screening Emission Calculations'!$C$4:$C$54,0)),"lbm","g")/8760/3600</f>
        <v>1.2252673028686729E-6</v>
      </c>
      <c r="E462" s="86">
        <f>CONVERT(INDEX('Screening Emission Calculations'!$K$83:$K$133,MATCH($C462,'Screening Emission Calculations'!$C$83:$C$133,0)),"lbm","g")/24/3600</f>
        <v>1.0733341573129575E-4</v>
      </c>
      <c r="F462" s="84">
        <f t="shared" si="74"/>
        <v>0</v>
      </c>
      <c r="G462" s="85">
        <f t="shared" si="74"/>
        <v>0</v>
      </c>
      <c r="H462" s="85">
        <f t="shared" si="74"/>
        <v>0</v>
      </c>
      <c r="I462" s="85">
        <f t="shared" si="74"/>
        <v>0</v>
      </c>
      <c r="J462" s="85">
        <f t="shared" si="74"/>
        <v>0</v>
      </c>
      <c r="K462" s="85">
        <f t="shared" si="74"/>
        <v>0</v>
      </c>
      <c r="L462" s="86">
        <f t="shared" si="73"/>
        <v>0</v>
      </c>
    </row>
    <row r="463" spans="1:12" ht="15.75" thickBot="1" x14ac:dyDescent="0.25">
      <c r="B463" s="660" t="s">
        <v>210</v>
      </c>
      <c r="C463" s="661"/>
      <c r="D463" s="661"/>
      <c r="E463" s="662"/>
      <c r="F463" s="150">
        <f t="shared" ref="F463:L463" si="76">SUM(F412:F462)</f>
        <v>6.5903953594673298E-2</v>
      </c>
      <c r="G463" s="151">
        <f t="shared" si="76"/>
        <v>1.6484190412242002E-3</v>
      </c>
      <c r="H463" s="151">
        <f t="shared" si="76"/>
        <v>2.4875300591339754E-3</v>
      </c>
      <c r="I463" s="151">
        <f t="shared" si="76"/>
        <v>3.1455969988259839E-4</v>
      </c>
      <c r="J463" s="151">
        <f t="shared" si="76"/>
        <v>5.3100340083046468E-3</v>
      </c>
      <c r="K463" s="151">
        <f t="shared" si="76"/>
        <v>3.1455969988259839E-4</v>
      </c>
      <c r="L463" s="152">
        <f t="shared" si="76"/>
        <v>1.7825306457696505E-3</v>
      </c>
    </row>
    <row r="464" spans="1:12" ht="13.5" x14ac:dyDescent="0.2">
      <c r="A464" s="147">
        <v>1</v>
      </c>
      <c r="B464" s="143" t="str">
        <f>$B$174</f>
        <v>If the toxic is listed in the Risk-Based Concentrations (Table 2) in OAR Chapter 340-245-8010, then it's considered a permitted toxic. Emission rate is normalized based on operational hours of 8,760 hrs/yr or 24 hrs/day.</v>
      </c>
      <c r="C464" s="145"/>
      <c r="D464" s="145"/>
      <c r="E464" s="145"/>
      <c r="F464" s="145"/>
      <c r="G464" s="145"/>
      <c r="H464" s="145"/>
      <c r="I464" s="145"/>
      <c r="J464" s="145"/>
      <c r="K464" s="145"/>
      <c r="L464" s="145"/>
    </row>
    <row r="465" spans="1:12" ht="13.5" x14ac:dyDescent="0.2">
      <c r="A465" s="147"/>
      <c r="B465" s="87"/>
      <c r="C465" s="67"/>
      <c r="D465" s="67"/>
      <c r="E465" s="67"/>
      <c r="F465" s="67"/>
      <c r="G465" s="67"/>
      <c r="H465" s="67"/>
      <c r="I465" s="67"/>
      <c r="J465" s="67"/>
      <c r="K465" s="67"/>
      <c r="L465" s="67"/>
    </row>
    <row r="466" spans="1:12" ht="15.75" thickBot="1" x14ac:dyDescent="0.25">
      <c r="B466" s="56" t="s">
        <v>211</v>
      </c>
    </row>
    <row r="467" spans="1:12" ht="32.25" customHeight="1" x14ac:dyDescent="0.2">
      <c r="B467" s="666" t="s">
        <v>1</v>
      </c>
      <c r="C467" s="681" t="s">
        <v>2</v>
      </c>
      <c r="D467" s="683" t="s">
        <v>205</v>
      </c>
      <c r="E467" s="657" t="s">
        <v>203</v>
      </c>
      <c r="F467" s="648" t="s">
        <v>1186</v>
      </c>
      <c r="G467" s="649"/>
      <c r="H467" s="649"/>
      <c r="I467" s="649"/>
      <c r="J467" s="649"/>
      <c r="K467" s="649"/>
      <c r="L467" s="650"/>
    </row>
    <row r="468" spans="1:12" x14ac:dyDescent="0.2">
      <c r="B468" s="667"/>
      <c r="C468" s="682"/>
      <c r="D468" s="684"/>
      <c r="E468" s="658"/>
      <c r="F468" s="651" t="s">
        <v>181</v>
      </c>
      <c r="G468" s="652"/>
      <c r="H468" s="652" t="s">
        <v>182</v>
      </c>
      <c r="I468" s="652"/>
      <c r="J468" s="652"/>
      <c r="K468" s="652"/>
      <c r="L468" s="655" t="s">
        <v>183</v>
      </c>
    </row>
    <row r="469" spans="1:12" ht="30" customHeight="1" thickBot="1" x14ac:dyDescent="0.25">
      <c r="B469" s="668"/>
      <c r="C469" s="654"/>
      <c r="D469" s="684"/>
      <c r="E469" s="658"/>
      <c r="F469" s="148" t="s">
        <v>184</v>
      </c>
      <c r="G469" s="149" t="s">
        <v>185</v>
      </c>
      <c r="H469" s="149" t="s">
        <v>186</v>
      </c>
      <c r="I469" s="149" t="s">
        <v>187</v>
      </c>
      <c r="J469" s="149" t="s">
        <v>188</v>
      </c>
      <c r="K469" s="149" t="s">
        <v>189</v>
      </c>
      <c r="L469" s="656"/>
    </row>
    <row r="470" spans="1:12" ht="15" customHeight="1" x14ac:dyDescent="0.2">
      <c r="B470" s="130" t="s">
        <v>4</v>
      </c>
      <c r="C470" s="131" t="str">
        <f t="shared" ref="C470:C501" si="77">C6</f>
        <v>106-99-0</v>
      </c>
      <c r="D470" s="335">
        <f>CONVERT(INDEX('Screening Emission Calculations'!$L$4:$L$54,MATCH($C470,'Screening Emission Calculations'!$C$4:$C$54,0)),"lbm","g")/8760/3600</f>
        <v>1.7034117267243665E-5</v>
      </c>
      <c r="E470" s="336">
        <f>CONVERT(INDEX('Screening Emission Calculations'!$L$83:$L$133,MATCH($C470,'Screening Emission Calculations'!$C$83:$C$133,0)),"lbm","g")/24/3600</f>
        <v>1.4715385997843414E-3</v>
      </c>
      <c r="F470" s="191">
        <f t="shared" ref="F470:K479" si="78">IF(INDEX($B$6:$L$56,MATCH($C470,$C$6:$C$56,0),MATCH(F$469,$B$5:$L$5,0))="",0,$D470/INDEX($B$6:$L$56,MATCH($C470,$C$6:$C$56,0),MATCH(F$469,$B$5:$L$5,0)))</f>
        <v>5.1618537173465646E-4</v>
      </c>
      <c r="G470" s="85">
        <f t="shared" si="78"/>
        <v>8.5170586336218326E-6</v>
      </c>
      <c r="H470" s="85">
        <f t="shared" si="78"/>
        <v>1.9807113101446122E-5</v>
      </c>
      <c r="I470" s="85">
        <f t="shared" si="78"/>
        <v>1.9356951440049616E-6</v>
      </c>
      <c r="J470" s="85">
        <f t="shared" si="78"/>
        <v>4.258529316810916E-5</v>
      </c>
      <c r="K470" s="85">
        <f t="shared" si="78"/>
        <v>1.9356951440049616E-6</v>
      </c>
      <c r="L470" s="86">
        <f t="shared" ref="L470:L501" si="79">IF(INDEX($B$6:$L$56,MATCH($C470,$C$6:$C$56,0),MATCH(L$4,$B$4:$L$4,0))="",0,$E470/INDEX($B$6:$L$56,MATCH($C470,$C$6:$C$56,0),MATCH(L$4,$B$4:$L$4,0)))</f>
        <v>2.2296039390671839E-6</v>
      </c>
    </row>
    <row r="471" spans="1:12" ht="15.75" customHeight="1" x14ac:dyDescent="0.2">
      <c r="B471" s="132" t="s">
        <v>129</v>
      </c>
      <c r="C471" s="131" t="str">
        <f t="shared" si="77"/>
        <v>83-32-9</v>
      </c>
      <c r="D471" s="337">
        <f>CONVERT(INDEX('Screening Emission Calculations'!$L$4:$L$54,MATCH($C471,'Screening Emission Calculations'!$C$4:$C$54,0)),"lbm","g")/8760/3600</f>
        <v>5.7559826439930812E-8</v>
      </c>
      <c r="E471" s="338">
        <f>CONVERT(INDEX('Screening Emission Calculations'!$L$83:$L$133,MATCH($C471,'Screening Emission Calculations'!$C$83:$C$133,0)),"lbm","g")/24/3600</f>
        <v>4.9724623280670477E-6</v>
      </c>
      <c r="F471" s="191">
        <f t="shared" si="78"/>
        <v>0</v>
      </c>
      <c r="G471" s="85">
        <f t="shared" si="78"/>
        <v>0</v>
      </c>
      <c r="H471" s="85">
        <f t="shared" si="78"/>
        <v>0</v>
      </c>
      <c r="I471" s="85">
        <f t="shared" si="78"/>
        <v>0</v>
      </c>
      <c r="J471" s="85">
        <f t="shared" si="78"/>
        <v>0</v>
      </c>
      <c r="K471" s="85">
        <f t="shared" si="78"/>
        <v>0</v>
      </c>
      <c r="L471" s="86">
        <f t="shared" si="79"/>
        <v>0</v>
      </c>
    </row>
    <row r="472" spans="1:12" x14ac:dyDescent="0.2">
      <c r="B472" s="133" t="s">
        <v>130</v>
      </c>
      <c r="C472" s="131" t="str">
        <f t="shared" si="77"/>
        <v>208-96-8</v>
      </c>
      <c r="D472" s="337">
        <f>CONVERT(INDEX('Screening Emission Calculations'!$L$4:$L$54,MATCH($C472,'Screening Emission Calculations'!$C$4:$C$54,0)),"lbm","g")/8760/3600</f>
        <v>6.3452194402687318E-8</v>
      </c>
      <c r="E472" s="338">
        <f>CONVERT(INDEX('Screening Emission Calculations'!$L$83:$L$133,MATCH($C472,'Screening Emission Calculations'!$C$83:$C$133,0)),"lbm","g")/24/3600</f>
        <v>5.4814905779783425E-6</v>
      </c>
      <c r="F472" s="191">
        <f t="shared" si="78"/>
        <v>0</v>
      </c>
      <c r="G472" s="85">
        <f t="shared" si="78"/>
        <v>0</v>
      </c>
      <c r="H472" s="85">
        <f t="shared" si="78"/>
        <v>0</v>
      </c>
      <c r="I472" s="85">
        <f t="shared" si="78"/>
        <v>0</v>
      </c>
      <c r="J472" s="85">
        <f t="shared" si="78"/>
        <v>0</v>
      </c>
      <c r="K472" s="85">
        <f t="shared" si="78"/>
        <v>0</v>
      </c>
      <c r="L472" s="86">
        <f t="shared" si="79"/>
        <v>0</v>
      </c>
    </row>
    <row r="473" spans="1:12" ht="15.75" customHeight="1" x14ac:dyDescent="0.2">
      <c r="B473" s="133" t="s">
        <v>11</v>
      </c>
      <c r="C473" s="131" t="str">
        <f t="shared" si="77"/>
        <v>75-07-0</v>
      </c>
      <c r="D473" s="337">
        <f>CONVERT(INDEX('Screening Emission Calculations'!$L$4:$L$54,MATCH($C473,'Screening Emission Calculations'!$C$4:$C$54,0)),"lbm","g")/8760/3600</f>
        <v>6.137453567356006E-5</v>
      </c>
      <c r="E473" s="338">
        <f>CONVERT(INDEX('Screening Emission Calculations'!$L$83:$L$133,MATCH($C473,'Screening Emission Calculations'!$C$83:$C$133,0)),"lbm","g")/24/3600</f>
        <v>5.3020063717160735E-3</v>
      </c>
      <c r="F473" s="191">
        <f t="shared" si="78"/>
        <v>1.3638785705235567E-4</v>
      </c>
      <c r="G473" s="85">
        <f t="shared" si="78"/>
        <v>4.3838954052542901E-7</v>
      </c>
      <c r="H473" s="85">
        <f t="shared" si="78"/>
        <v>5.1145446394633386E-6</v>
      </c>
      <c r="I473" s="85">
        <f t="shared" si="78"/>
        <v>9.8991186570258158E-8</v>
      </c>
      <c r="J473" s="85">
        <f t="shared" si="78"/>
        <v>1.115900648610183E-5</v>
      </c>
      <c r="K473" s="85">
        <f t="shared" si="78"/>
        <v>9.8991186570258158E-8</v>
      </c>
      <c r="L473" s="86">
        <f t="shared" si="79"/>
        <v>1.1280864620672497E-5</v>
      </c>
    </row>
    <row r="474" spans="1:12" ht="15.75" customHeight="1" x14ac:dyDescent="0.2">
      <c r="B474" s="133" t="s">
        <v>13</v>
      </c>
      <c r="C474" s="131" t="str">
        <f t="shared" si="77"/>
        <v>107-02-8</v>
      </c>
      <c r="D474" s="337">
        <f>CONVERT(INDEX('Screening Emission Calculations'!$L$4:$L$54,MATCH($C474,'Screening Emission Calculations'!$C$4:$C$54,0)),"lbm","g")/8760/3600</f>
        <v>2.6561939988940214E-6</v>
      </c>
      <c r="E474" s="338">
        <f>CONVERT(INDEX('Screening Emission Calculations'!$L$83:$L$133,MATCH($C474,'Screening Emission Calculations'!$C$83:$C$133,0)),"lbm","g")/24/3600</f>
        <v>2.2946255074834021E-4</v>
      </c>
      <c r="F474" s="191">
        <f t="shared" si="78"/>
        <v>0</v>
      </c>
      <c r="G474" s="85">
        <f t="shared" si="78"/>
        <v>7.5891257111257756E-6</v>
      </c>
      <c r="H474" s="85">
        <f t="shared" si="78"/>
        <v>0</v>
      </c>
      <c r="I474" s="85">
        <f t="shared" si="78"/>
        <v>1.7707959992626808E-6</v>
      </c>
      <c r="J474" s="85">
        <f t="shared" si="78"/>
        <v>0</v>
      </c>
      <c r="K474" s="85">
        <f t="shared" si="78"/>
        <v>1.7707959992626808E-6</v>
      </c>
      <c r="L474" s="86">
        <f t="shared" si="79"/>
        <v>3.3255442137440611E-5</v>
      </c>
    </row>
    <row r="475" spans="1:12" ht="15.75" customHeight="1" x14ac:dyDescent="0.2">
      <c r="B475" s="133" t="s">
        <v>15</v>
      </c>
      <c r="C475" s="131" t="str">
        <f t="shared" si="77"/>
        <v>7664-41-7</v>
      </c>
      <c r="D475" s="337">
        <f>CONVERT(INDEX('Screening Emission Calculations'!$L$4:$L$54,MATCH($C475,'Screening Emission Calculations'!$C$4:$C$54,0)),"lbm","g")/8760/3600</f>
        <v>6.1675674865550496E-5</v>
      </c>
      <c r="E475" s="338">
        <f>CONVERT(INDEX('Screening Emission Calculations'!$L$83:$L$133,MATCH($C475,'Screening Emission Calculations'!$C$83:$C$133,0)),"lbm","g")/24/3600</f>
        <v>5.4027891182222227E-3</v>
      </c>
      <c r="F475" s="191">
        <f t="shared" si="78"/>
        <v>0</v>
      </c>
      <c r="G475" s="85">
        <f t="shared" si="78"/>
        <v>1.23351349731101E-7</v>
      </c>
      <c r="H475" s="85">
        <f t="shared" si="78"/>
        <v>0</v>
      </c>
      <c r="I475" s="85">
        <f t="shared" si="78"/>
        <v>2.8034397666159317E-8</v>
      </c>
      <c r="J475" s="85">
        <f t="shared" si="78"/>
        <v>0</v>
      </c>
      <c r="K475" s="85">
        <f t="shared" si="78"/>
        <v>2.8034397666159317E-8</v>
      </c>
      <c r="L475" s="86">
        <f t="shared" si="79"/>
        <v>4.5023242651851854E-6</v>
      </c>
    </row>
    <row r="476" spans="1:12" x14ac:dyDescent="0.2">
      <c r="B476" s="133" t="s">
        <v>132</v>
      </c>
      <c r="C476" s="131" t="str">
        <f t="shared" si="77"/>
        <v>120-12-7</v>
      </c>
      <c r="D476" s="337">
        <f>CONVERT(INDEX('Screening Emission Calculations'!$L$4:$L$54,MATCH($C476,'Screening Emission Calculations'!$C$4:$C$54,0)),"lbm","g")/8760/3600</f>
        <v>3.5422972561977743E-8</v>
      </c>
      <c r="E476" s="338">
        <f>CONVERT(INDEX('Screening Emission Calculations'!$L$83:$L$133,MATCH($C476,'Screening Emission Calculations'!$C$83:$C$133,0)),"lbm","g")/24/3600</f>
        <v>3.0601099326872598E-6</v>
      </c>
      <c r="F476" s="191">
        <f t="shared" si="78"/>
        <v>0</v>
      </c>
      <c r="G476" s="85">
        <f t="shared" si="78"/>
        <v>0</v>
      </c>
      <c r="H476" s="85">
        <f t="shared" si="78"/>
        <v>0</v>
      </c>
      <c r="I476" s="85">
        <f t="shared" si="78"/>
        <v>0</v>
      </c>
      <c r="J476" s="85">
        <f t="shared" si="78"/>
        <v>0</v>
      </c>
      <c r="K476" s="85">
        <f t="shared" si="78"/>
        <v>0</v>
      </c>
      <c r="L476" s="86">
        <f t="shared" si="79"/>
        <v>0</v>
      </c>
    </row>
    <row r="477" spans="1:12" x14ac:dyDescent="0.2">
      <c r="B477" s="133" t="s">
        <v>19</v>
      </c>
      <c r="C477" s="131" t="str">
        <f t="shared" si="77"/>
        <v>7440-36-0</v>
      </c>
      <c r="D477" s="337">
        <f>CONVERT(INDEX('Screening Emission Calculations'!$L$4:$L$54,MATCH($C477,'Screening Emission Calculations'!$C$4:$C$54,0)),"lbm","g")/8760/3600</f>
        <v>2.4530518498623476E-8</v>
      </c>
      <c r="E477" s="338">
        <f>CONVERT(INDEX('Screening Emission Calculations'!$L$83:$L$133,MATCH($C477,'Screening Emission Calculations'!$C$83:$C$133,0)),"lbm","g")/24/3600</f>
        <v>2.1488734204794169E-6</v>
      </c>
      <c r="F477" s="191">
        <f t="shared" si="78"/>
        <v>0</v>
      </c>
      <c r="G477" s="85">
        <f t="shared" si="78"/>
        <v>8.1768394995411594E-8</v>
      </c>
      <c r="H477" s="85">
        <f t="shared" si="78"/>
        <v>0</v>
      </c>
      <c r="I477" s="85">
        <f t="shared" si="78"/>
        <v>1.886962961432575E-8</v>
      </c>
      <c r="J477" s="85">
        <f t="shared" si="78"/>
        <v>0</v>
      </c>
      <c r="K477" s="85">
        <f t="shared" si="78"/>
        <v>1.886962961432575E-8</v>
      </c>
      <c r="L477" s="86">
        <f t="shared" si="79"/>
        <v>2.1488734204794169E-6</v>
      </c>
    </row>
    <row r="478" spans="1:12" ht="15.75" customHeight="1" x14ac:dyDescent="0.2">
      <c r="B478" s="133" t="s">
        <v>21</v>
      </c>
      <c r="C478" s="131" t="str">
        <f t="shared" si="77"/>
        <v>7440-38-2</v>
      </c>
      <c r="D478" s="337">
        <f>CONVERT(INDEX('Screening Emission Calculations'!$L$4:$L$54,MATCH($C478,'Screening Emission Calculations'!$C$4:$C$54,0)),"lbm","g")/8760/3600</f>
        <v>2.1343844721984701E-8</v>
      </c>
      <c r="E478" s="338">
        <f>CONVERT(INDEX('Screening Emission Calculations'!$L$83:$L$133,MATCH($C478,'Screening Emission Calculations'!$C$83:$C$133,0)),"lbm","g")/24/3600</f>
        <v>1.8697207976458599E-6</v>
      </c>
      <c r="F478" s="191">
        <f t="shared" si="78"/>
        <v>8.8932686341602917E-4</v>
      </c>
      <c r="G478" s="85">
        <f t="shared" si="78"/>
        <v>1.2555202777638058E-4</v>
      </c>
      <c r="H478" s="85">
        <f t="shared" si="78"/>
        <v>1.6418342093834388E-5</v>
      </c>
      <c r="I478" s="85">
        <f t="shared" si="78"/>
        <v>8.8932686341602938E-6</v>
      </c>
      <c r="J478" s="85">
        <f t="shared" si="78"/>
        <v>3.4425556003201131E-5</v>
      </c>
      <c r="K478" s="85">
        <f t="shared" si="78"/>
        <v>8.8932686341602938E-6</v>
      </c>
      <c r="L478" s="86">
        <f t="shared" si="79"/>
        <v>9.3486039882292997E-6</v>
      </c>
    </row>
    <row r="479" spans="1:12" x14ac:dyDescent="0.2">
      <c r="B479" s="133" t="s">
        <v>23</v>
      </c>
      <c r="C479" s="131" t="str">
        <f t="shared" si="77"/>
        <v>7440-39-3</v>
      </c>
      <c r="D479" s="337">
        <f>CONVERT(INDEX('Screening Emission Calculations'!$L$4:$L$54,MATCH($C479,'Screening Emission Calculations'!$C$4:$C$54,0)),"lbm","g")/8760/3600</f>
        <v>2.8825155814254296E-8</v>
      </c>
      <c r="E479" s="338">
        <f>CONVERT(INDEX('Screening Emission Calculations'!$L$83:$L$133,MATCH($C479,'Screening Emission Calculations'!$C$83:$C$133,0)),"lbm","g")/24/3600</f>
        <v>2.5250836493286764E-6</v>
      </c>
      <c r="F479" s="191">
        <f t="shared" si="78"/>
        <v>0</v>
      </c>
      <c r="G479" s="85">
        <f t="shared" si="78"/>
        <v>0</v>
      </c>
      <c r="H479" s="85">
        <f t="shared" si="78"/>
        <v>0</v>
      </c>
      <c r="I479" s="85">
        <f t="shared" si="78"/>
        <v>0</v>
      </c>
      <c r="J479" s="85">
        <f t="shared" si="78"/>
        <v>0</v>
      </c>
      <c r="K479" s="85">
        <f t="shared" si="78"/>
        <v>0</v>
      </c>
      <c r="L479" s="86">
        <f t="shared" si="79"/>
        <v>0</v>
      </c>
    </row>
    <row r="480" spans="1:12" x14ac:dyDescent="0.2">
      <c r="B480" s="133" t="s">
        <v>133</v>
      </c>
      <c r="C480" s="131" t="str">
        <f t="shared" si="77"/>
        <v>56-55-3</v>
      </c>
      <c r="D480" s="337">
        <f>CONVERT(INDEX('Screening Emission Calculations'!$L$4:$L$54,MATCH($C480,'Screening Emission Calculations'!$C$4:$C$54,0)),"lbm","g")/8760/3600</f>
        <v>3.8033974252094569E-9</v>
      </c>
      <c r="E480" s="338">
        <f>CONVERT(INDEX('Screening Emission Calculations'!$L$83:$L$133,MATCH($C480,'Screening Emission Calculations'!$C$83:$C$133,0)),"lbm","g")/24/3600</f>
        <v>3.2856684227944942E-7</v>
      </c>
      <c r="F480" s="191">
        <f t="shared" ref="F480:K489" si="80">IF(INDEX($B$6:$L$56,MATCH($C480,$C$6:$C$56,0),MATCH(F$469,$B$5:$L$5,0))="",0,$D480/INDEX($B$6:$L$56,MATCH($C480,$C$6:$C$56,0),MATCH(F$469,$B$5:$L$5,0)))</f>
        <v>1.8111416310521223E-5</v>
      </c>
      <c r="G480" s="85">
        <f t="shared" si="80"/>
        <v>0</v>
      </c>
      <c r="H480" s="85">
        <f t="shared" si="80"/>
        <v>4.8761505451403293E-7</v>
      </c>
      <c r="I480" s="85">
        <f t="shared" si="80"/>
        <v>0</v>
      </c>
      <c r="J480" s="85">
        <f t="shared" si="80"/>
        <v>2.5355982834729713E-7</v>
      </c>
      <c r="K480" s="85">
        <f t="shared" si="80"/>
        <v>0</v>
      </c>
      <c r="L480" s="86">
        <f t="shared" si="79"/>
        <v>0</v>
      </c>
    </row>
    <row r="481" spans="2:12" ht="15.75" customHeight="1" x14ac:dyDescent="0.2">
      <c r="B481" s="133" t="s">
        <v>27</v>
      </c>
      <c r="C481" s="131" t="str">
        <f t="shared" si="77"/>
        <v>71-43-2</v>
      </c>
      <c r="D481" s="337">
        <f>CONVERT(INDEX('Screening Emission Calculations'!$L$4:$L$54,MATCH($C481,'Screening Emission Calculations'!$C$4:$C$54,0)),"lbm","g")/8760/3600</f>
        <v>1.4597313923125548E-5</v>
      </c>
      <c r="E481" s="338">
        <f>CONVERT(INDEX('Screening Emission Calculations'!$L$83:$L$133,MATCH($C481,'Screening Emission Calculations'!$C$83:$C$133,0)),"lbm","g")/24/3600</f>
        <v>1.2610287080948612E-3</v>
      </c>
      <c r="F481" s="191">
        <f t="shared" si="80"/>
        <v>1.1228703017788882E-4</v>
      </c>
      <c r="G481" s="85">
        <f t="shared" si="80"/>
        <v>4.8657713077085162E-6</v>
      </c>
      <c r="H481" s="85">
        <f t="shared" si="80"/>
        <v>4.4234284615531969E-6</v>
      </c>
      <c r="I481" s="85">
        <f t="shared" si="80"/>
        <v>1.1228703017788883E-6</v>
      </c>
      <c r="J481" s="85">
        <f t="shared" si="80"/>
        <v>9.7315426154170325E-6</v>
      </c>
      <c r="K481" s="85">
        <f t="shared" si="80"/>
        <v>1.1228703017788883E-6</v>
      </c>
      <c r="L481" s="86">
        <f t="shared" si="79"/>
        <v>4.3483748554995214E-5</v>
      </c>
    </row>
    <row r="482" spans="2:12" ht="15.75" customHeight="1" x14ac:dyDescent="0.2">
      <c r="B482" s="133" t="s">
        <v>190</v>
      </c>
      <c r="C482" s="131" t="str">
        <f t="shared" si="77"/>
        <v>50-32-8</v>
      </c>
      <c r="D482" s="337">
        <f>CONVERT(INDEX('Screening Emission Calculations'!$L$4:$L$54,MATCH($C482,'Screening Emission Calculations'!$C$4:$C$54,0)),"lbm","g")/8760/3600</f>
        <v>1.1271380865569706E-9</v>
      </c>
      <c r="E482" s="338">
        <f>CONVERT(INDEX('Screening Emission Calculations'!$L$83:$L$133,MATCH($C482,'Screening Emission Calculations'!$C$83:$C$133,0)),"lbm","g")/24/3600</f>
        <v>9.7370892523157655E-8</v>
      </c>
      <c r="F482" s="191">
        <f t="shared" si="80"/>
        <v>2.621251364085978E-5</v>
      </c>
      <c r="G482" s="85">
        <f t="shared" si="80"/>
        <v>5.635690432784853E-7</v>
      </c>
      <c r="H482" s="85">
        <f t="shared" si="80"/>
        <v>7.0446130409810655E-7</v>
      </c>
      <c r="I482" s="85">
        <f t="shared" si="80"/>
        <v>1.2808387347238301E-7</v>
      </c>
      <c r="J482" s="85">
        <f t="shared" si="80"/>
        <v>3.7571269551899017E-7</v>
      </c>
      <c r="K482" s="85">
        <f t="shared" si="80"/>
        <v>1.2808387347238301E-7</v>
      </c>
      <c r="L482" s="86">
        <f t="shared" si="79"/>
        <v>4.868544626157883E-5</v>
      </c>
    </row>
    <row r="483" spans="2:12" x14ac:dyDescent="0.2">
      <c r="B483" s="133" t="s">
        <v>135</v>
      </c>
      <c r="C483" s="131" t="str">
        <f t="shared" si="77"/>
        <v>205-99-2</v>
      </c>
      <c r="D483" s="337">
        <f>CONVERT(INDEX('Screening Emission Calculations'!$L$4:$L$54,MATCH($C483,'Screening Emission Calculations'!$C$4:$C$54,0)),"lbm","g")/8760/3600</f>
        <v>3.4752716246067631E-9</v>
      </c>
      <c r="E483" s="338">
        <f>CONVERT(INDEX('Screening Emission Calculations'!$L$83:$L$133,MATCH($C483,'Screening Emission Calculations'!$C$83:$C$133,0)),"lbm","g")/24/3600</f>
        <v>3.0022080158965576E-7</v>
      </c>
      <c r="F483" s="191">
        <f t="shared" si="80"/>
        <v>6.5571162728429486E-5</v>
      </c>
      <c r="G483" s="85">
        <f t="shared" si="80"/>
        <v>0</v>
      </c>
      <c r="H483" s="85">
        <f t="shared" si="80"/>
        <v>1.7376358123033816E-6</v>
      </c>
      <c r="I483" s="85">
        <f t="shared" si="80"/>
        <v>0</v>
      </c>
      <c r="J483" s="85">
        <f t="shared" si="80"/>
        <v>9.1454516437020086E-7</v>
      </c>
      <c r="K483" s="85">
        <f t="shared" si="80"/>
        <v>0</v>
      </c>
      <c r="L483" s="86">
        <f t="shared" si="79"/>
        <v>0</v>
      </c>
    </row>
    <row r="484" spans="2:12" x14ac:dyDescent="0.2">
      <c r="B484" s="133" t="s">
        <v>136</v>
      </c>
      <c r="C484" s="131" t="str">
        <f t="shared" si="77"/>
        <v>192-97-2</v>
      </c>
      <c r="D484" s="337">
        <f>CONVERT(INDEX('Screening Emission Calculations'!$L$4:$L$54,MATCH($C484,'Screening Emission Calculations'!$C$4:$C$54,0)),"lbm","g")/8760/3600</f>
        <v>2.5753559405743051E-9</v>
      </c>
      <c r="E484" s="338">
        <f>CONVERT(INDEX('Screening Emission Calculations'!$L$83:$L$133,MATCH($C484,'Screening Emission Calculations'!$C$83:$C$133,0)),"lbm","g")/24/3600</f>
        <v>2.2247913497851742E-7</v>
      </c>
      <c r="F484" s="191">
        <f t="shared" si="80"/>
        <v>0</v>
      </c>
      <c r="G484" s="85">
        <f t="shared" si="80"/>
        <v>0</v>
      </c>
      <c r="H484" s="85">
        <f t="shared" si="80"/>
        <v>0</v>
      </c>
      <c r="I484" s="85">
        <f t="shared" si="80"/>
        <v>0</v>
      </c>
      <c r="J484" s="85">
        <f t="shared" si="80"/>
        <v>0</v>
      </c>
      <c r="K484" s="85">
        <f t="shared" si="80"/>
        <v>0</v>
      </c>
      <c r="L484" s="86">
        <f t="shared" si="79"/>
        <v>0</v>
      </c>
    </row>
    <row r="485" spans="2:12" x14ac:dyDescent="0.2">
      <c r="B485" s="133" t="s">
        <v>137</v>
      </c>
      <c r="C485" s="131" t="str">
        <f t="shared" si="77"/>
        <v>191-24-2</v>
      </c>
      <c r="D485" s="337">
        <f>CONVERT(INDEX('Screening Emission Calculations'!$L$4:$L$54,MATCH($C485,'Screening Emission Calculations'!$C$4:$C$54,0)),"lbm","g")/8760/3600</f>
        <v>1.7139345414068523E-9</v>
      </c>
      <c r="E485" s="338">
        <f>CONVERT(INDEX('Screening Emission Calculations'!$L$83:$L$133,MATCH($C485,'Screening Emission Calculations'!$C$83:$C$133,0)),"lbm","g")/24/3600</f>
        <v>1.4806290197578101E-7</v>
      </c>
      <c r="F485" s="191">
        <f t="shared" si="80"/>
        <v>3.6466692370358559E-7</v>
      </c>
      <c r="G485" s="85">
        <f t="shared" si="80"/>
        <v>0</v>
      </c>
      <c r="H485" s="85">
        <f t="shared" si="80"/>
        <v>1.0081967890628542E-8</v>
      </c>
      <c r="I485" s="85">
        <f t="shared" si="80"/>
        <v>0</v>
      </c>
      <c r="J485" s="85">
        <f t="shared" si="80"/>
        <v>5.0409839453142709E-9</v>
      </c>
      <c r="K485" s="85">
        <f t="shared" si="80"/>
        <v>0</v>
      </c>
      <c r="L485" s="86">
        <f t="shared" si="79"/>
        <v>0</v>
      </c>
    </row>
    <row r="486" spans="2:12" x14ac:dyDescent="0.2">
      <c r="B486" s="133" t="s">
        <v>138</v>
      </c>
      <c r="C486" s="131" t="str">
        <f t="shared" si="77"/>
        <v>207-08-9</v>
      </c>
      <c r="D486" s="337">
        <f>CONVERT(INDEX('Screening Emission Calculations'!$L$4:$L$54,MATCH($C486,'Screening Emission Calculations'!$C$4:$C$54,0)),"lbm","g")/8760/3600</f>
        <v>1.0228587005805173E-9</v>
      </c>
      <c r="E486" s="338">
        <f>CONVERT(INDEX('Screening Emission Calculations'!$L$83:$L$133,MATCH($C486,'Screening Emission Calculations'!$C$83:$C$133,0)),"lbm","g")/24/3600</f>
        <v>8.8362433838818001E-8</v>
      </c>
      <c r="F486" s="191">
        <f t="shared" si="80"/>
        <v>7.3061335755751243E-7</v>
      </c>
      <c r="G486" s="85">
        <f t="shared" si="80"/>
        <v>0</v>
      </c>
      <c r="H486" s="85">
        <f t="shared" si="80"/>
        <v>1.967035962654841E-8</v>
      </c>
      <c r="I486" s="85">
        <f t="shared" si="80"/>
        <v>0</v>
      </c>
      <c r="J486" s="85">
        <f t="shared" si="80"/>
        <v>1.0228587005805173E-8</v>
      </c>
      <c r="K486" s="85">
        <f t="shared" si="80"/>
        <v>0</v>
      </c>
      <c r="L486" s="86">
        <f t="shared" si="79"/>
        <v>0</v>
      </c>
    </row>
    <row r="487" spans="2:12" x14ac:dyDescent="0.2">
      <c r="B487" s="133" t="s">
        <v>39</v>
      </c>
      <c r="C487" s="131" t="str">
        <f t="shared" si="77"/>
        <v>7440-41-7</v>
      </c>
      <c r="D487" s="337">
        <f>CONVERT(INDEX('Screening Emission Calculations'!$L$4:$L$54,MATCH($C487,'Screening Emission Calculations'!$C$4:$C$54,0)),"lbm","g")/8760/3600</f>
        <v>3.6780645473996427E-10</v>
      </c>
      <c r="E487" s="338">
        <f>CONVERT(INDEX('Screening Emission Calculations'!$L$83:$L$133,MATCH($C487,'Screening Emission Calculations'!$C$83:$C$133,0)),"lbm","g")/24/3600</f>
        <v>3.2219845435220868E-8</v>
      </c>
      <c r="F487" s="191">
        <f t="shared" si="80"/>
        <v>8.7572965414277199E-7</v>
      </c>
      <c r="G487" s="85">
        <f t="shared" si="80"/>
        <v>5.2543779248566321E-8</v>
      </c>
      <c r="H487" s="85">
        <f t="shared" si="80"/>
        <v>3.3436950430905844E-8</v>
      </c>
      <c r="I487" s="85">
        <f t="shared" si="80"/>
        <v>1.186472434645046E-8</v>
      </c>
      <c r="J487" s="85">
        <f t="shared" si="80"/>
        <v>7.3561290947992855E-8</v>
      </c>
      <c r="K487" s="85">
        <f t="shared" si="80"/>
        <v>1.186472434645046E-8</v>
      </c>
      <c r="L487" s="86">
        <f t="shared" si="79"/>
        <v>1.6109922717610434E-6</v>
      </c>
    </row>
    <row r="488" spans="2:12" ht="15.75" customHeight="1" x14ac:dyDescent="0.2">
      <c r="B488" s="133" t="s">
        <v>41</v>
      </c>
      <c r="C488" s="131" t="str">
        <f t="shared" si="77"/>
        <v>7440-43-9</v>
      </c>
      <c r="D488" s="337">
        <f>CONVERT(INDEX('Screening Emission Calculations'!$L$4:$L$54,MATCH($C488,'Screening Emission Calculations'!$C$4:$C$54,0)),"lbm","g")/8760/3600</f>
        <v>6.2275698835201284E-9</v>
      </c>
      <c r="E488" s="338">
        <f>CONVERT(INDEX('Screening Emission Calculations'!$L$83:$L$133,MATCH($C488,'Screening Emission Calculations'!$C$83:$C$133,0)),"lbm","g")/24/3600</f>
        <v>5.4553512179636326E-7</v>
      </c>
      <c r="F488" s="191">
        <f t="shared" si="80"/>
        <v>1.1120660506285945E-5</v>
      </c>
      <c r="G488" s="85">
        <f t="shared" si="80"/>
        <v>1.2455139767040257E-6</v>
      </c>
      <c r="H488" s="85">
        <f t="shared" si="80"/>
        <v>4.4482642025143774E-7</v>
      </c>
      <c r="I488" s="85">
        <f t="shared" si="80"/>
        <v>1.6831269955459808E-7</v>
      </c>
      <c r="J488" s="85">
        <f t="shared" si="80"/>
        <v>9.2948804231643709E-7</v>
      </c>
      <c r="K488" s="85">
        <f t="shared" si="80"/>
        <v>1.6831269955459808E-7</v>
      </c>
      <c r="L488" s="86">
        <f t="shared" si="79"/>
        <v>1.8184504059878774E-5</v>
      </c>
    </row>
    <row r="489" spans="2:12" ht="15.75" customHeight="1" x14ac:dyDescent="0.2">
      <c r="B489" s="133" t="s">
        <v>43</v>
      </c>
      <c r="C489" s="131" t="str">
        <f t="shared" si="77"/>
        <v>108-90-7</v>
      </c>
      <c r="D489" s="337">
        <f>CONVERT(INDEX('Screening Emission Calculations'!$L$4:$L$54,MATCH($C489,'Screening Emission Calculations'!$C$4:$C$54,0)),"lbm","g")/8760/3600</f>
        <v>1.5670761055421953E-8</v>
      </c>
      <c r="E489" s="338">
        <f>CONVERT(INDEX('Screening Emission Calculations'!$L$83:$L$133,MATCH($C489,'Screening Emission Calculations'!$C$83:$C$133,0)),"lbm","g")/24/3600</f>
        <v>1.3537613613471399E-6</v>
      </c>
      <c r="F489" s="191">
        <f t="shared" si="80"/>
        <v>0</v>
      </c>
      <c r="G489" s="85">
        <f t="shared" si="80"/>
        <v>3.1341522110843908E-10</v>
      </c>
      <c r="H489" s="85">
        <f t="shared" si="80"/>
        <v>0</v>
      </c>
      <c r="I489" s="85">
        <f t="shared" si="80"/>
        <v>7.1230732070099788E-11</v>
      </c>
      <c r="J489" s="85">
        <f t="shared" si="80"/>
        <v>0</v>
      </c>
      <c r="K489" s="85">
        <f t="shared" si="80"/>
        <v>7.1230732070099788E-11</v>
      </c>
      <c r="L489" s="86">
        <f t="shared" si="79"/>
        <v>0</v>
      </c>
    </row>
    <row r="490" spans="2:12" x14ac:dyDescent="0.2">
      <c r="B490" s="133" t="s">
        <v>139</v>
      </c>
      <c r="C490" s="131" t="str">
        <f t="shared" si="77"/>
        <v>218-01-9</v>
      </c>
      <c r="D490" s="337">
        <f>CONVERT(INDEX('Screening Emission Calculations'!$L$4:$L$54,MATCH($C490,'Screening Emission Calculations'!$C$4:$C$54,0)),"lbm","g")/8760/3600</f>
        <v>5.2496981491472293E-9</v>
      </c>
      <c r="E490" s="338">
        <f>CONVERT(INDEX('Screening Emission Calculations'!$L$83:$L$133,MATCH($C490,'Screening Emission Calculations'!$C$83:$C$133,0)),"lbm","g")/24/3600</f>
        <v>4.5350946823301915E-7</v>
      </c>
      <c r="F490" s="191">
        <f t="shared" ref="F490:K499" si="81">IF(INDEX($B$6:$L$56,MATCH($C490,$C$6:$C$56,0),MATCH(F$469,$B$5:$L$5,0))="",0,$D490/INDEX($B$6:$L$56,MATCH($C490,$C$6:$C$56,0),MATCH(F$469,$B$5:$L$5,0)))</f>
        <v>1.2208600346854022E-5</v>
      </c>
      <c r="G490" s="85">
        <f t="shared" si="81"/>
        <v>0</v>
      </c>
      <c r="H490" s="85">
        <f t="shared" si="81"/>
        <v>3.2810613432170184E-7</v>
      </c>
      <c r="I490" s="85">
        <f t="shared" si="81"/>
        <v>0</v>
      </c>
      <c r="J490" s="85">
        <f t="shared" si="81"/>
        <v>1.7498993830490766E-7</v>
      </c>
      <c r="K490" s="85">
        <f t="shared" si="81"/>
        <v>0</v>
      </c>
      <c r="L490" s="86">
        <f t="shared" si="79"/>
        <v>0</v>
      </c>
    </row>
    <row r="491" spans="2:12" x14ac:dyDescent="0.2">
      <c r="B491" s="133" t="s">
        <v>47</v>
      </c>
      <c r="C491" s="131" t="str">
        <f t="shared" si="77"/>
        <v>7440-48-4</v>
      </c>
      <c r="D491" s="337">
        <f>CONVERT(INDEX('Screening Emission Calculations'!$L$4:$L$54,MATCH($C491,'Screening Emission Calculations'!$C$4:$C$54,0)),"lbm","g")/8760/3600</f>
        <v>1.2143275657745801E-9</v>
      </c>
      <c r="E491" s="338">
        <f>CONVERT(INDEX('Screening Emission Calculations'!$L$83:$L$133,MATCH($C491,'Screening Emission Calculations'!$C$83:$C$133,0)),"lbm","g")/24/3600</f>
        <v>1.0637509476185322E-7</v>
      </c>
      <c r="F491" s="191">
        <f t="shared" si="81"/>
        <v>0</v>
      </c>
      <c r="G491" s="85">
        <f t="shared" si="81"/>
        <v>1.21432756577458E-8</v>
      </c>
      <c r="H491" s="85">
        <f t="shared" si="81"/>
        <v>0</v>
      </c>
      <c r="I491" s="85">
        <f t="shared" si="81"/>
        <v>2.7598353767604091E-9</v>
      </c>
      <c r="J491" s="85">
        <f t="shared" si="81"/>
        <v>0</v>
      </c>
      <c r="K491" s="85">
        <f t="shared" si="81"/>
        <v>2.7598353767604091E-9</v>
      </c>
      <c r="L491" s="86">
        <f t="shared" si="79"/>
        <v>0</v>
      </c>
    </row>
    <row r="492" spans="2:12" ht="15.75" customHeight="1" x14ac:dyDescent="0.2">
      <c r="B492" s="133" t="s">
        <v>49</v>
      </c>
      <c r="C492" s="131" t="str">
        <f t="shared" si="77"/>
        <v>7440-50-8</v>
      </c>
      <c r="D492" s="337">
        <f>CONVERT(INDEX('Screening Emission Calculations'!$L$4:$L$54,MATCH($C492,'Screening Emission Calculations'!$C$4:$C$54,0)),"lbm","g")/8760/3600</f>
        <v>3.8711909803642808E-8</v>
      </c>
      <c r="E492" s="338">
        <f>CONVERT(INDEX('Screening Emission Calculations'!$L$83:$L$133,MATCH($C492,'Screening Emission Calculations'!$C$83:$C$133,0)),"lbm","g")/24/3600</f>
        <v>3.3911632987991107E-6</v>
      </c>
      <c r="F492" s="191">
        <f t="shared" si="81"/>
        <v>0</v>
      </c>
      <c r="G492" s="85">
        <f t="shared" si="81"/>
        <v>0</v>
      </c>
      <c r="H492" s="85">
        <f t="shared" si="81"/>
        <v>0</v>
      </c>
      <c r="I492" s="85">
        <f t="shared" si="81"/>
        <v>0</v>
      </c>
      <c r="J492" s="85">
        <f t="shared" si="81"/>
        <v>0</v>
      </c>
      <c r="K492" s="85">
        <f t="shared" si="81"/>
        <v>0</v>
      </c>
      <c r="L492" s="86">
        <f t="shared" si="79"/>
        <v>3.3911632987991109E-8</v>
      </c>
    </row>
    <row r="493" spans="2:12" x14ac:dyDescent="0.2">
      <c r="B493" s="135" t="s">
        <v>140</v>
      </c>
      <c r="C493" s="131" t="str">
        <f t="shared" si="77"/>
        <v>53-70-3</v>
      </c>
      <c r="D493" s="337">
        <f>CONVERT(INDEX('Screening Emission Calculations'!$L$4:$L$54,MATCH($C493,'Screening Emission Calculations'!$C$4:$C$54,0)),"lbm","g")/8760/3600</f>
        <v>8.1251851456466845E-11</v>
      </c>
      <c r="E493" s="338">
        <f>CONVERT(INDEX('Screening Emission Calculations'!$L$83:$L$133,MATCH($C493,'Screening Emission Calculations'!$C$83:$C$133,0)),"lbm","g")/24/3600</f>
        <v>7.0191624165965199E-9</v>
      </c>
      <c r="F493" s="191">
        <f t="shared" si="81"/>
        <v>1.8895779408480658E-5</v>
      </c>
      <c r="G493" s="85">
        <f t="shared" si="81"/>
        <v>0</v>
      </c>
      <c r="H493" s="85">
        <f t="shared" si="81"/>
        <v>5.0782407160291774E-7</v>
      </c>
      <c r="I493" s="85">
        <f t="shared" si="81"/>
        <v>0</v>
      </c>
      <c r="J493" s="85">
        <f t="shared" si="81"/>
        <v>2.708395048548895E-7</v>
      </c>
      <c r="K493" s="85">
        <f t="shared" si="81"/>
        <v>0</v>
      </c>
      <c r="L493" s="86">
        <f t="shared" si="79"/>
        <v>0</v>
      </c>
    </row>
    <row r="494" spans="2:12" ht="15.75" customHeight="1" x14ac:dyDescent="0.2">
      <c r="B494" s="133" t="s">
        <v>191</v>
      </c>
      <c r="C494" s="131">
        <f t="shared" si="77"/>
        <v>200</v>
      </c>
      <c r="D494" s="337">
        <f>CONVERT(INDEX('Screening Emission Calculations'!$L$4:$L$54,MATCH($C494,'Screening Emission Calculations'!$C$4:$C$54,0)),"lbm","g")/8760/3600</f>
        <v>1.8392524817679449E-2</v>
      </c>
      <c r="E494" s="338">
        <f>CONVERT(INDEX('Screening Emission Calculations'!$L$83:$L$133,MATCH($C494,'Screening Emission Calculations'!$C$83:$C$133,0)),"lbm","g")/24/3600</f>
        <v>1.5888883346337488</v>
      </c>
      <c r="F494" s="191">
        <f t="shared" si="81"/>
        <v>0.18392524817679448</v>
      </c>
      <c r="G494" s="85">
        <f t="shared" si="81"/>
        <v>3.6785049635358899E-3</v>
      </c>
      <c r="H494" s="85">
        <f t="shared" si="81"/>
        <v>7.0740480067997876E-3</v>
      </c>
      <c r="I494" s="85">
        <f t="shared" si="81"/>
        <v>8.3602385534906586E-4</v>
      </c>
      <c r="J494" s="85">
        <f t="shared" si="81"/>
        <v>1.5327104014732874E-2</v>
      </c>
      <c r="K494" s="85">
        <f t="shared" si="81"/>
        <v>8.3602385534906586E-4</v>
      </c>
      <c r="L494" s="86">
        <f t="shared" si="79"/>
        <v>0</v>
      </c>
    </row>
    <row r="495" spans="2:12" x14ac:dyDescent="0.2">
      <c r="B495" s="133" t="s">
        <v>53</v>
      </c>
      <c r="C495" s="131" t="str">
        <f t="shared" si="77"/>
        <v>100-41-4</v>
      </c>
      <c r="D495" s="337">
        <f>CONVERT(INDEX('Screening Emission Calculations'!$L$4:$L$54,MATCH($C495,'Screening Emission Calculations'!$C$4:$C$54,0)),"lbm","g")/8760/3600</f>
        <v>8.5405647752049634E-7</v>
      </c>
      <c r="E495" s="338">
        <f>CONVERT(INDEX('Screening Emission Calculations'!$L$83:$L$133,MATCH($C495,'Screening Emission Calculations'!$C$83:$C$133,0)),"lbm","g")/24/3600</f>
        <v>7.3779994193419145E-5</v>
      </c>
      <c r="F495" s="191">
        <f t="shared" si="81"/>
        <v>2.1351411938012406E-6</v>
      </c>
      <c r="G495" s="85">
        <f t="shared" si="81"/>
        <v>3.2848326058480628E-9</v>
      </c>
      <c r="H495" s="85">
        <f t="shared" si="81"/>
        <v>8.5405647752049631E-8</v>
      </c>
      <c r="I495" s="85">
        <f t="shared" si="81"/>
        <v>7.7641497956408757E-10</v>
      </c>
      <c r="J495" s="85">
        <f t="shared" si="81"/>
        <v>1.7792843281677008E-7</v>
      </c>
      <c r="K495" s="85">
        <f t="shared" si="81"/>
        <v>7.7641497956408757E-10</v>
      </c>
      <c r="L495" s="86">
        <f t="shared" si="79"/>
        <v>3.3536360997008704E-9</v>
      </c>
    </row>
    <row r="496" spans="2:12" x14ac:dyDescent="0.2">
      <c r="B496" s="137" t="s">
        <v>141</v>
      </c>
      <c r="C496" s="131" t="str">
        <f t="shared" si="77"/>
        <v>206-44-0</v>
      </c>
      <c r="D496" s="337">
        <f>CONVERT(INDEX('Screening Emission Calculations'!$L$4:$L$54,MATCH($C496,'Screening Emission Calculations'!$C$4:$C$54,0)),"lbm","g")/8760/3600</f>
        <v>2.8987245610194504E-8</v>
      </c>
      <c r="E496" s="338">
        <f>CONVERT(INDEX('Screening Emission Calculations'!$L$83:$L$133,MATCH($C496,'Screening Emission Calculations'!$C$83:$C$133,0)),"lbm","g")/24/3600</f>
        <v>2.5041421370778598E-6</v>
      </c>
      <c r="F496" s="191">
        <f t="shared" si="81"/>
        <v>5.4692916245650007E-5</v>
      </c>
      <c r="G496" s="85">
        <f t="shared" si="81"/>
        <v>0</v>
      </c>
      <c r="H496" s="85">
        <f t="shared" si="81"/>
        <v>1.4493622805097252E-6</v>
      </c>
      <c r="I496" s="85">
        <f t="shared" si="81"/>
        <v>0</v>
      </c>
      <c r="J496" s="85">
        <f t="shared" si="81"/>
        <v>7.6282225289985537E-7</v>
      </c>
      <c r="K496" s="85">
        <f t="shared" si="81"/>
        <v>0</v>
      </c>
      <c r="L496" s="86">
        <f t="shared" si="79"/>
        <v>0</v>
      </c>
    </row>
    <row r="497" spans="2:12" x14ac:dyDescent="0.2">
      <c r="B497" s="137" t="s">
        <v>142</v>
      </c>
      <c r="C497" s="131" t="str">
        <f t="shared" si="77"/>
        <v>86-73-7</v>
      </c>
      <c r="D497" s="337">
        <f>CONVERT(INDEX('Screening Emission Calculations'!$L$4:$L$54,MATCH($C497,'Screening Emission Calculations'!$C$4:$C$54,0)),"lbm","g")/8760/3600</f>
        <v>1.7115583898632301E-7</v>
      </c>
      <c r="E497" s="338">
        <f>CONVERT(INDEX('Screening Emission Calculations'!$L$83:$L$133,MATCH($C497,'Screening Emission Calculations'!$C$83:$C$133,0)),"lbm","g")/24/3600</f>
        <v>1.4785763165501709E-5</v>
      </c>
      <c r="F497" s="191">
        <f t="shared" si="81"/>
        <v>0</v>
      </c>
      <c r="G497" s="85">
        <f t="shared" si="81"/>
        <v>0</v>
      </c>
      <c r="H497" s="85">
        <f t="shared" si="81"/>
        <v>0</v>
      </c>
      <c r="I497" s="85">
        <f t="shared" si="81"/>
        <v>0</v>
      </c>
      <c r="J497" s="85">
        <f t="shared" si="81"/>
        <v>0</v>
      </c>
      <c r="K497" s="85">
        <f t="shared" si="81"/>
        <v>0</v>
      </c>
      <c r="L497" s="86">
        <f t="shared" si="79"/>
        <v>0</v>
      </c>
    </row>
    <row r="498" spans="2:12" ht="15.75" customHeight="1" x14ac:dyDescent="0.2">
      <c r="B498" s="133" t="s">
        <v>59</v>
      </c>
      <c r="C498" s="131" t="str">
        <f t="shared" si="77"/>
        <v>50-00-0</v>
      </c>
      <c r="D498" s="337">
        <f>CONVERT(INDEX('Screening Emission Calculations'!$L$4:$L$54,MATCH($C498,'Screening Emission Calculations'!$C$4:$C$54,0)),"lbm","g")/8760/3600</f>
        <v>2.1317141863558733E-4</v>
      </c>
      <c r="E498" s="338">
        <f>CONVERT(INDEX('Screening Emission Calculations'!$L$83:$L$133,MATCH($C498,'Screening Emission Calculations'!$C$83:$C$133,0)),"lbm","g")/24/3600</f>
        <v>1.8371408009502155E-2</v>
      </c>
      <c r="F498" s="191">
        <f t="shared" si="81"/>
        <v>1.2539495213858077E-3</v>
      </c>
      <c r="G498" s="85">
        <f t="shared" si="81"/>
        <v>2.3685713181731927E-5</v>
      </c>
      <c r="H498" s="85">
        <f t="shared" si="81"/>
        <v>4.9574748519904035E-5</v>
      </c>
      <c r="I498" s="85">
        <f t="shared" si="81"/>
        <v>5.3292854658896837E-6</v>
      </c>
      <c r="J498" s="85">
        <f t="shared" si="81"/>
        <v>1.0658570931779367E-4</v>
      </c>
      <c r="K498" s="85">
        <f t="shared" si="81"/>
        <v>5.3292854658896837E-6</v>
      </c>
      <c r="L498" s="86">
        <f t="shared" si="79"/>
        <v>3.7492669407147253E-4</v>
      </c>
    </row>
    <row r="499" spans="2:12" ht="15.75" customHeight="1" x14ac:dyDescent="0.2">
      <c r="B499" s="133" t="s">
        <v>61</v>
      </c>
      <c r="C499" s="131" t="str">
        <f t="shared" si="77"/>
        <v>110-54-3</v>
      </c>
      <c r="D499" s="337">
        <f>CONVERT(INDEX('Screening Emission Calculations'!$L$4:$L$54,MATCH($C499,'Screening Emission Calculations'!$C$4:$C$54,0)),"lbm","g")/8760/3600</f>
        <v>2.1077173619542524E-6</v>
      </c>
      <c r="E499" s="338">
        <f>CONVERT(INDEX('Screening Emission Calculations'!$L$83:$L$133,MATCH($C499,'Screening Emission Calculations'!$C$83:$C$133,0)),"lbm","g")/24/3600</f>
        <v>1.8208090310119037E-4</v>
      </c>
      <c r="F499" s="191">
        <f t="shared" si="81"/>
        <v>0</v>
      </c>
      <c r="G499" s="85">
        <f t="shared" si="81"/>
        <v>3.0110248027917893E-9</v>
      </c>
      <c r="H499" s="85">
        <f t="shared" si="81"/>
        <v>0</v>
      </c>
      <c r="I499" s="85">
        <f t="shared" si="81"/>
        <v>6.7990882643685565E-10</v>
      </c>
      <c r="J499" s="85">
        <f t="shared" si="81"/>
        <v>0</v>
      </c>
      <c r="K499" s="85">
        <f t="shared" si="81"/>
        <v>6.7990882643685565E-10</v>
      </c>
      <c r="L499" s="86">
        <f t="shared" si="79"/>
        <v>0</v>
      </c>
    </row>
    <row r="500" spans="2:12" x14ac:dyDescent="0.2">
      <c r="B500" s="133" t="s">
        <v>143</v>
      </c>
      <c r="C500" s="131" t="str">
        <f t="shared" si="77"/>
        <v>18540-29-9</v>
      </c>
      <c r="D500" s="337">
        <f>CONVERT(INDEX('Screening Emission Calculations'!$L$4:$L$54,MATCH($C500,'Screening Emission Calculations'!$C$4:$C$54,0)),"lbm","g")/8760/3600</f>
        <v>4.8680964520134737E-9</v>
      </c>
      <c r="E500" s="338">
        <f>CONVERT(INDEX('Screening Emission Calculations'!$L$83:$L$133,MATCH($C500,'Screening Emission Calculations'!$C$83:$C$133,0)),"lbm","g")/24/3600</f>
        <v>4.2644524919638028E-7</v>
      </c>
      <c r="F500" s="191">
        <f t="shared" ref="F500:K509" si="82">IF(INDEX($B$6:$L$56,MATCH($C500,$C$6:$C$56,0),MATCH(F$469,$B$5:$L$5,0))="",0,$D500/INDEX($B$6:$L$56,MATCH($C500,$C$6:$C$56,0),MATCH(F$469,$B$5:$L$5,0)))</f>
        <v>1.5703536941978947E-4</v>
      </c>
      <c r="G500" s="85">
        <f t="shared" si="82"/>
        <v>5.8651764482090038E-8</v>
      </c>
      <c r="H500" s="85">
        <f t="shared" si="82"/>
        <v>9.3617239461797581E-6</v>
      </c>
      <c r="I500" s="85">
        <f t="shared" si="82"/>
        <v>5.5319277863789472E-9</v>
      </c>
      <c r="J500" s="85">
        <f t="shared" si="82"/>
        <v>4.8680964520134732E-6</v>
      </c>
      <c r="K500" s="85">
        <f t="shared" si="82"/>
        <v>5.5319277863789472E-9</v>
      </c>
      <c r="L500" s="86">
        <f t="shared" si="79"/>
        <v>1.4214841639879342E-6</v>
      </c>
    </row>
    <row r="501" spans="2:12" x14ac:dyDescent="0.2">
      <c r="B501" s="133" t="s">
        <v>64</v>
      </c>
      <c r="C501" s="131" t="str">
        <f t="shared" si="77"/>
        <v>7647-01-0</v>
      </c>
      <c r="D501" s="337">
        <f>CONVERT(INDEX('Screening Emission Calculations'!$L$4:$L$54,MATCH($C501,'Screening Emission Calculations'!$C$4:$C$54,0)),"lbm","g")/8760/3600</f>
        <v>1.4597313923125548E-5</v>
      </c>
      <c r="E501" s="338">
        <f>CONVERT(INDEX('Screening Emission Calculations'!$L$83:$L$133,MATCH($C501,'Screening Emission Calculations'!$C$83:$C$133,0)),"lbm","g")/24/3600</f>
        <v>1.2610287080948612E-3</v>
      </c>
      <c r="F501" s="191">
        <f t="shared" si="82"/>
        <v>0</v>
      </c>
      <c r="G501" s="85">
        <f t="shared" si="82"/>
        <v>7.2986569615627743E-7</v>
      </c>
      <c r="H501" s="85">
        <f t="shared" si="82"/>
        <v>0</v>
      </c>
      <c r="I501" s="85">
        <f t="shared" si="82"/>
        <v>1.6587856730824486E-7</v>
      </c>
      <c r="J501" s="85">
        <f t="shared" si="82"/>
        <v>0</v>
      </c>
      <c r="K501" s="85">
        <f t="shared" si="82"/>
        <v>1.6587856730824486E-7</v>
      </c>
      <c r="L501" s="86">
        <f t="shared" si="79"/>
        <v>6.0048986099755289E-7</v>
      </c>
    </row>
    <row r="502" spans="2:12" x14ac:dyDescent="0.2">
      <c r="B502" s="137" t="s">
        <v>144</v>
      </c>
      <c r="C502" s="131" t="str">
        <f t="shared" ref="C502:C520" si="83">C38</f>
        <v>193-39-5</v>
      </c>
      <c r="D502" s="337">
        <f>CONVERT(INDEX('Screening Emission Calculations'!$L$4:$L$54,MATCH($C502,'Screening Emission Calculations'!$C$4:$C$54,0)),"lbm","g")/8760/3600</f>
        <v>8.3924553589868731E-10</v>
      </c>
      <c r="E502" s="338">
        <f>CONVERT(INDEX('Screening Emission Calculations'!$L$83:$L$133,MATCH($C502,'Screening Emission Calculations'!$C$83:$C$133,0)),"lbm","g")/24/3600</f>
        <v>7.2500510674918543E-8</v>
      </c>
      <c r="F502" s="191">
        <f t="shared" si="82"/>
        <v>1.3758123539322744E-6</v>
      </c>
      <c r="G502" s="85">
        <f t="shared" si="82"/>
        <v>0</v>
      </c>
      <c r="H502" s="85">
        <f t="shared" si="82"/>
        <v>3.8147524359031246E-8</v>
      </c>
      <c r="I502" s="85">
        <f t="shared" si="82"/>
        <v>0</v>
      </c>
      <c r="J502" s="85">
        <f t="shared" si="82"/>
        <v>1.951733804415552E-8</v>
      </c>
      <c r="K502" s="85">
        <f t="shared" si="82"/>
        <v>0</v>
      </c>
      <c r="L502" s="86">
        <f t="shared" ref="L502:L520" si="84">IF(INDEX($B$6:$L$56,MATCH($C502,$C$6:$C$56,0),MATCH(L$4,$B$4:$L$4,0))="",0,$E502/INDEX($B$6:$L$56,MATCH($C502,$C$6:$C$56,0),MATCH(L$4,$B$4:$L$4,0)))</f>
        <v>0</v>
      </c>
    </row>
    <row r="503" spans="2:12" x14ac:dyDescent="0.2">
      <c r="B503" s="133" t="s">
        <v>68</v>
      </c>
      <c r="C503" s="131" t="str">
        <f t="shared" si="83"/>
        <v>7439-92-1</v>
      </c>
      <c r="D503" s="337">
        <f>CONVERT(INDEX('Screening Emission Calculations'!$L$4:$L$54,MATCH($C503,'Screening Emission Calculations'!$C$4:$C$54,0)),"lbm","g")/8760/3600</f>
        <v>2.8037108941024196E-8</v>
      </c>
      <c r="E503" s="338">
        <f>CONVERT(INDEX('Screening Emission Calculations'!$L$83:$L$133,MATCH($C503,'Screening Emission Calculations'!$C$83:$C$133,0)),"lbm","g")/24/3600</f>
        <v>2.4560507432337199E-6</v>
      </c>
      <c r="F503" s="191">
        <f t="shared" si="82"/>
        <v>0</v>
      </c>
      <c r="G503" s="85">
        <f t="shared" si="82"/>
        <v>1.8691405960682799E-7</v>
      </c>
      <c r="H503" s="85">
        <f t="shared" si="82"/>
        <v>0</v>
      </c>
      <c r="I503" s="85">
        <f t="shared" si="82"/>
        <v>4.2480468092460903E-8</v>
      </c>
      <c r="J503" s="85">
        <f t="shared" si="82"/>
        <v>0</v>
      </c>
      <c r="K503" s="85">
        <f t="shared" si="82"/>
        <v>4.2480468092460903E-8</v>
      </c>
      <c r="L503" s="86">
        <f t="shared" si="84"/>
        <v>1.6373671621558133E-5</v>
      </c>
    </row>
    <row r="504" spans="2:12" x14ac:dyDescent="0.2">
      <c r="B504" s="133" t="s">
        <v>70</v>
      </c>
      <c r="C504" s="131" t="str">
        <f t="shared" si="83"/>
        <v>7439-96-5</v>
      </c>
      <c r="D504" s="337">
        <f>CONVERT(INDEX('Screening Emission Calculations'!$L$4:$L$54,MATCH($C504,'Screening Emission Calculations'!$C$4:$C$54,0)),"lbm","g")/8760/3600</f>
        <v>3.2372995029184312E-8</v>
      </c>
      <c r="E504" s="338">
        <f>CONVERT(INDEX('Screening Emission Calculations'!$L$83:$L$133,MATCH($C504,'Screening Emission Calculations'!$C$83:$C$133,0)),"lbm","g")/24/3600</f>
        <v>2.8358743645565464E-6</v>
      </c>
      <c r="F504" s="191">
        <f t="shared" si="82"/>
        <v>0</v>
      </c>
      <c r="G504" s="85">
        <f t="shared" si="82"/>
        <v>3.5969994476871457E-7</v>
      </c>
      <c r="H504" s="85">
        <f t="shared" si="82"/>
        <v>0</v>
      </c>
      <c r="I504" s="85">
        <f t="shared" si="82"/>
        <v>8.0932487572960779E-8</v>
      </c>
      <c r="J504" s="85">
        <f t="shared" si="82"/>
        <v>0</v>
      </c>
      <c r="K504" s="85">
        <f t="shared" si="82"/>
        <v>8.0932487572960779E-8</v>
      </c>
      <c r="L504" s="86">
        <f t="shared" si="84"/>
        <v>9.4529145485218218E-6</v>
      </c>
    </row>
    <row r="505" spans="2:12" x14ac:dyDescent="0.2">
      <c r="B505" s="133" t="s">
        <v>72</v>
      </c>
      <c r="C505" s="131" t="str">
        <f t="shared" si="83"/>
        <v>7439-97-6</v>
      </c>
      <c r="D505" s="337">
        <f>CONVERT(INDEX('Screening Emission Calculations'!$L$4:$L$54,MATCH($C505,'Screening Emission Calculations'!$C$4:$C$54,0)),"lbm","g")/8760/3600</f>
        <v>1.1646939702175224E-9</v>
      </c>
      <c r="E505" s="338">
        <f>CONVERT(INDEX('Screening Emission Calculations'!$L$83:$L$133,MATCH($C505,'Screening Emission Calculations'!$C$83:$C$133,0)),"lbm","g")/24/3600</f>
        <v>1.0202719179105497E-7</v>
      </c>
      <c r="F505" s="191">
        <f t="shared" si="82"/>
        <v>0</v>
      </c>
      <c r="G505" s="85">
        <f t="shared" si="82"/>
        <v>1.5125895717110682E-8</v>
      </c>
      <c r="H505" s="85">
        <f t="shared" si="82"/>
        <v>0</v>
      </c>
      <c r="I505" s="85">
        <f t="shared" si="82"/>
        <v>1.8487205876468609E-9</v>
      </c>
      <c r="J505" s="85">
        <f t="shared" si="82"/>
        <v>0</v>
      </c>
      <c r="K505" s="85">
        <f t="shared" si="82"/>
        <v>1.8487205876468609E-9</v>
      </c>
      <c r="L505" s="86">
        <f t="shared" si="84"/>
        <v>1.7004531965175829E-7</v>
      </c>
    </row>
    <row r="506" spans="2:12" x14ac:dyDescent="0.2">
      <c r="B506" s="133" t="s">
        <v>145</v>
      </c>
      <c r="C506" s="131" t="str">
        <f t="shared" si="83"/>
        <v>91-57-6</v>
      </c>
      <c r="D506" s="337">
        <f>CONVERT(INDEX('Screening Emission Calculations'!$L$4:$L$54,MATCH($C506,'Screening Emission Calculations'!$C$4:$C$54,0)),"lbm","g")/8760/3600</f>
        <v>9.6358784287892831E-7</v>
      </c>
      <c r="E506" s="338">
        <f>CONVERT(INDEX('Screening Emission Calculations'!$L$83:$L$133,MATCH($C506,'Screening Emission Calculations'!$C$83:$C$133,0)),"lbm","g")/24/3600</f>
        <v>8.3242159416501159E-5</v>
      </c>
      <c r="F506" s="191">
        <f t="shared" si="82"/>
        <v>0</v>
      </c>
      <c r="G506" s="85">
        <f t="shared" si="82"/>
        <v>0</v>
      </c>
      <c r="H506" s="85">
        <f t="shared" si="82"/>
        <v>0</v>
      </c>
      <c r="I506" s="85">
        <f t="shared" si="82"/>
        <v>0</v>
      </c>
      <c r="J506" s="85">
        <f t="shared" si="82"/>
        <v>0</v>
      </c>
      <c r="K506" s="85">
        <f t="shared" si="82"/>
        <v>0</v>
      </c>
      <c r="L506" s="86">
        <f t="shared" si="84"/>
        <v>0</v>
      </c>
    </row>
    <row r="507" spans="2:12" x14ac:dyDescent="0.2">
      <c r="B507" s="133" t="s">
        <v>146</v>
      </c>
      <c r="C507" s="131" t="str">
        <f t="shared" si="83"/>
        <v>91-20-3</v>
      </c>
      <c r="D507" s="337">
        <f>CONVERT(INDEX('Screening Emission Calculations'!$L$4:$L$54,MATCH($C507,'Screening Emission Calculations'!$C$4:$C$54,0)),"lbm","g")/8760/3600</f>
        <v>2.0648101219324955E-6</v>
      </c>
      <c r="E507" s="338">
        <f>CONVERT(INDEX('Screening Emission Calculations'!$L$83:$L$133,MATCH($C507,'Screening Emission Calculations'!$C$83:$C$133,0)),"lbm","g")/24/3600</f>
        <v>1.7837424434619616E-4</v>
      </c>
      <c r="F507" s="191">
        <f t="shared" si="82"/>
        <v>7.1200349032155008E-5</v>
      </c>
      <c r="G507" s="85">
        <f t="shared" si="82"/>
        <v>5.5805678971148529E-7</v>
      </c>
      <c r="H507" s="85">
        <f t="shared" si="82"/>
        <v>2.7168554235953887E-6</v>
      </c>
      <c r="I507" s="85">
        <f t="shared" si="82"/>
        <v>1.2905063262078097E-7</v>
      </c>
      <c r="J507" s="85">
        <f t="shared" si="82"/>
        <v>5.8994574912357014E-6</v>
      </c>
      <c r="K507" s="85">
        <f t="shared" si="82"/>
        <v>1.2905063262078097E-7</v>
      </c>
      <c r="L507" s="86">
        <f t="shared" si="84"/>
        <v>8.9187122173098084E-7</v>
      </c>
    </row>
    <row r="508" spans="2:12" x14ac:dyDescent="0.2">
      <c r="B508" s="133" t="s">
        <v>78</v>
      </c>
      <c r="C508" s="131">
        <f t="shared" si="83"/>
        <v>365</v>
      </c>
      <c r="D508" s="337">
        <f>CONVERT(INDEX('Screening Emission Calculations'!$L$4:$L$54,MATCH($C508,'Screening Emission Calculations'!$C$4:$C$54,0)),"lbm","g")/8760/3600</f>
        <v>1.4048897008702685E-8</v>
      </c>
      <c r="E508" s="338">
        <f>CONVERT(INDEX('Screening Emission Calculations'!$L$83:$L$133,MATCH($C508,'Screening Emission Calculations'!$C$83:$C$133,0)),"lbm","g")/24/3600</f>
        <v>1.2306833779623553E-6</v>
      </c>
      <c r="F508" s="191">
        <f t="shared" si="82"/>
        <v>3.6970781601849172E-6</v>
      </c>
      <c r="G508" s="85">
        <f t="shared" si="82"/>
        <v>1.0034926434787632E-6</v>
      </c>
      <c r="H508" s="85">
        <f t="shared" si="82"/>
        <v>1.4048897008702684E-7</v>
      </c>
      <c r="I508" s="85">
        <f t="shared" si="82"/>
        <v>2.2659511304359169E-7</v>
      </c>
      <c r="J508" s="85">
        <f t="shared" si="82"/>
        <v>3.054108045370149E-7</v>
      </c>
      <c r="K508" s="85">
        <f t="shared" si="82"/>
        <v>2.2659511304359169E-7</v>
      </c>
      <c r="L508" s="86">
        <f t="shared" si="84"/>
        <v>6.153416889811776E-6</v>
      </c>
    </row>
    <row r="509" spans="2:12" x14ac:dyDescent="0.2">
      <c r="B509" s="133" t="s">
        <v>147</v>
      </c>
      <c r="C509" s="131" t="str">
        <f t="shared" si="83"/>
        <v>198-55-0</v>
      </c>
      <c r="D509" s="337">
        <f>CONVERT(INDEX('Screening Emission Calculations'!$L$4:$L$54,MATCH($C509,'Screening Emission Calculations'!$C$4:$C$54,0)),"lbm","g")/8760/3600</f>
        <v>9.2320101015496671E-11</v>
      </c>
      <c r="E509" s="338">
        <f>CONVERT(INDEX('Screening Emission Calculations'!$L$83:$L$133,MATCH($C509,'Screening Emission Calculations'!$C$83:$C$133,0)),"lbm","g")/24/3600</f>
        <v>7.975323290836757E-9</v>
      </c>
      <c r="F509" s="191">
        <f t="shared" si="82"/>
        <v>0</v>
      </c>
      <c r="G509" s="85">
        <f t="shared" si="82"/>
        <v>0</v>
      </c>
      <c r="H509" s="85">
        <f t="shared" si="82"/>
        <v>0</v>
      </c>
      <c r="I509" s="85">
        <f t="shared" si="82"/>
        <v>0</v>
      </c>
      <c r="J509" s="85">
        <f t="shared" si="82"/>
        <v>0</v>
      </c>
      <c r="K509" s="85">
        <f t="shared" si="82"/>
        <v>0</v>
      </c>
      <c r="L509" s="86">
        <f t="shared" si="84"/>
        <v>0</v>
      </c>
    </row>
    <row r="510" spans="2:12" x14ac:dyDescent="0.2">
      <c r="B510" s="133" t="s">
        <v>148</v>
      </c>
      <c r="C510" s="131" t="str">
        <f t="shared" si="83"/>
        <v>85-01-8</v>
      </c>
      <c r="D510" s="337">
        <f>CONVERT(INDEX('Screening Emission Calculations'!$L$4:$L$54,MATCH($C510,'Screening Emission Calculations'!$C$4:$C$54,0)),"lbm","g")/8760/3600</f>
        <v>3.5587879419831678E-7</v>
      </c>
      <c r="E510" s="338">
        <f>CONVERT(INDEX('Screening Emission Calculations'!$L$83:$L$133,MATCH($C510,'Screening Emission Calculations'!$C$83:$C$133,0)),"lbm","g")/24/3600</f>
        <v>3.0743558606032219E-5</v>
      </c>
      <c r="F510" s="191">
        <f t="shared" ref="F510:K520" si="85">IF(INDEX($B$6:$L$56,MATCH($C510,$C$6:$C$56,0),MATCH(F$469,$B$5:$L$5,0))="",0,$D510/INDEX($B$6:$L$56,MATCH($C510,$C$6:$C$56,0),MATCH(F$469,$B$5:$L$5,0)))</f>
        <v>0</v>
      </c>
      <c r="G510" s="85">
        <f t="shared" si="85"/>
        <v>0</v>
      </c>
      <c r="H510" s="85">
        <f t="shared" si="85"/>
        <v>0</v>
      </c>
      <c r="I510" s="85">
        <f t="shared" si="85"/>
        <v>0</v>
      </c>
      <c r="J510" s="85">
        <f t="shared" si="85"/>
        <v>0</v>
      </c>
      <c r="K510" s="85">
        <f t="shared" si="85"/>
        <v>0</v>
      </c>
      <c r="L510" s="86">
        <f t="shared" si="84"/>
        <v>0</v>
      </c>
    </row>
    <row r="511" spans="2:12" x14ac:dyDescent="0.2">
      <c r="B511" s="133" t="s">
        <v>83</v>
      </c>
      <c r="C511" s="131">
        <f t="shared" si="83"/>
        <v>504</v>
      </c>
      <c r="D511" s="337">
        <f>CONVERT(INDEX('Screening Emission Calculations'!$L$4:$L$54,MATCH($C511,'Screening Emission Calculations'!$C$4:$C$54,0)),"lbm","g")/8760/3600</f>
        <v>6.4790186441851152E-7</v>
      </c>
      <c r="E511" s="338">
        <f>CONVERT(INDEX('Screening Emission Calculations'!$L$83:$L$133,MATCH($C511,'Screening Emission Calculations'!$C$83:$C$133,0)),"lbm","g")/24/3600</f>
        <v>5.6756203323061617E-5</v>
      </c>
      <c r="F511" s="191">
        <f t="shared" si="85"/>
        <v>0</v>
      </c>
      <c r="G511" s="85">
        <f t="shared" si="85"/>
        <v>0</v>
      </c>
      <c r="H511" s="85">
        <f t="shared" si="85"/>
        <v>0</v>
      </c>
      <c r="I511" s="85">
        <f t="shared" si="85"/>
        <v>0</v>
      </c>
      <c r="J511" s="85">
        <f t="shared" si="85"/>
        <v>0</v>
      </c>
      <c r="K511" s="85">
        <f t="shared" si="85"/>
        <v>0</v>
      </c>
      <c r="L511" s="86">
        <f t="shared" si="84"/>
        <v>0</v>
      </c>
    </row>
    <row r="512" spans="2:12" x14ac:dyDescent="0.2">
      <c r="B512" s="133" t="s">
        <v>84</v>
      </c>
      <c r="C512" s="131" t="str">
        <f t="shared" si="83"/>
        <v>115-07-1</v>
      </c>
      <c r="D512" s="337">
        <f>CONVERT(INDEX('Screening Emission Calculations'!$L$4:$L$54,MATCH($C512,'Screening Emission Calculations'!$C$4:$C$54,0)),"lbm","g")/8760/3600</f>
        <v>3.6826288480241583E-5</v>
      </c>
      <c r="E512" s="338">
        <f>CONVERT(INDEX('Screening Emission Calculations'!$L$83:$L$133,MATCH($C512,'Screening Emission Calculations'!$C$83:$C$133,0)),"lbm","g")/24/3600</f>
        <v>3.181339199165779E-3</v>
      </c>
      <c r="F512" s="191">
        <f t="shared" si="85"/>
        <v>0</v>
      </c>
      <c r="G512" s="85">
        <f t="shared" si="85"/>
        <v>1.2275429493413861E-8</v>
      </c>
      <c r="H512" s="85">
        <f t="shared" si="85"/>
        <v>0</v>
      </c>
      <c r="I512" s="85">
        <f t="shared" si="85"/>
        <v>2.8327914215570449E-9</v>
      </c>
      <c r="J512" s="85">
        <f t="shared" si="85"/>
        <v>0</v>
      </c>
      <c r="K512" s="85">
        <f t="shared" si="85"/>
        <v>2.8327914215570449E-9</v>
      </c>
      <c r="L512" s="86">
        <f t="shared" si="84"/>
        <v>0</v>
      </c>
    </row>
    <row r="513" spans="1:12" x14ac:dyDescent="0.2">
      <c r="B513" s="133" t="s">
        <v>149</v>
      </c>
      <c r="C513" s="131" t="str">
        <f t="shared" si="83"/>
        <v>129-00-0</v>
      </c>
      <c r="D513" s="337">
        <f>CONVERT(INDEX('Screening Emission Calculations'!$L$4:$L$54,MATCH($C513,'Screening Emission Calculations'!$C$4:$C$54,0)),"lbm","g")/8760/3600</f>
        <v>9.7942256596387196E-8</v>
      </c>
      <c r="E513" s="338">
        <f>CONVERT(INDEX('Screening Emission Calculations'!$L$83:$L$133,MATCH($C513,'Screening Emission Calculations'!$C$83:$C$133,0)),"lbm","g")/24/3600</f>
        <v>8.4610085084196251E-6</v>
      </c>
      <c r="F513" s="191">
        <f t="shared" si="85"/>
        <v>0</v>
      </c>
      <c r="G513" s="85">
        <f t="shared" si="85"/>
        <v>0</v>
      </c>
      <c r="H513" s="85">
        <f t="shared" si="85"/>
        <v>0</v>
      </c>
      <c r="I513" s="85">
        <f t="shared" si="85"/>
        <v>0</v>
      </c>
      <c r="J513" s="85">
        <f t="shared" si="85"/>
        <v>0</v>
      </c>
      <c r="K513" s="85">
        <f t="shared" si="85"/>
        <v>0</v>
      </c>
      <c r="L513" s="86">
        <f t="shared" si="84"/>
        <v>0</v>
      </c>
    </row>
    <row r="514" spans="1:12" x14ac:dyDescent="0.2">
      <c r="B514" s="133" t="s">
        <v>150</v>
      </c>
      <c r="C514" s="131">
        <f t="shared" si="83"/>
        <v>401</v>
      </c>
      <c r="D514" s="337">
        <f>CONVERT(INDEX('Screening Emission Calculations'!$L$4:$L$54,MATCH($C514,'Screening Emission Calculations'!$C$4:$C$54,0)),"lbm","g")/8760/3600</f>
        <v>0</v>
      </c>
      <c r="E514" s="338">
        <f>CONVERT(INDEX('Screening Emission Calculations'!$L$83:$L$133,MATCH($C514,'Screening Emission Calculations'!$C$83:$C$133,0)),"lbm","g")/24/3600</f>
        <v>0</v>
      </c>
      <c r="F514" s="191">
        <f t="shared" si="85"/>
        <v>0</v>
      </c>
      <c r="G514" s="85">
        <f t="shared" si="85"/>
        <v>0</v>
      </c>
      <c r="H514" s="85">
        <f t="shared" si="85"/>
        <v>0</v>
      </c>
      <c r="I514" s="85">
        <f t="shared" si="85"/>
        <v>0</v>
      </c>
      <c r="J514" s="85">
        <f t="shared" si="85"/>
        <v>0</v>
      </c>
      <c r="K514" s="85">
        <f t="shared" si="85"/>
        <v>0</v>
      </c>
      <c r="L514" s="86">
        <f t="shared" si="84"/>
        <v>0</v>
      </c>
    </row>
    <row r="515" spans="1:12" x14ac:dyDescent="0.2">
      <c r="B515" s="133" t="s">
        <v>89</v>
      </c>
      <c r="C515" s="131" t="str">
        <f t="shared" si="83"/>
        <v>7782-49-2</v>
      </c>
      <c r="D515" s="337">
        <f>CONVERT(INDEX('Screening Emission Calculations'!$L$4:$L$54,MATCH($C515,'Screening Emission Calculations'!$C$4:$C$54,0)),"lbm","g")/8760/3600</f>
        <v>2.9017069712501335E-8</v>
      </c>
      <c r="E515" s="338">
        <f>CONVERT(INDEX('Screening Emission Calculations'!$L$83:$L$133,MATCH($C515,'Screening Emission Calculations'!$C$83:$C$133,0)),"lbm","g")/24/3600</f>
        <v>2.5418953068151175E-6</v>
      </c>
      <c r="F515" s="191">
        <f t="shared" si="85"/>
        <v>0</v>
      </c>
      <c r="G515" s="85">
        <f t="shared" si="85"/>
        <v>0</v>
      </c>
      <c r="H515" s="85">
        <f t="shared" si="85"/>
        <v>0</v>
      </c>
      <c r="I515" s="85">
        <f t="shared" si="85"/>
        <v>0</v>
      </c>
      <c r="J515" s="85">
        <f t="shared" si="85"/>
        <v>0</v>
      </c>
      <c r="K515" s="85">
        <f t="shared" si="85"/>
        <v>0</v>
      </c>
      <c r="L515" s="86">
        <f t="shared" si="84"/>
        <v>1.2709476534075587E-6</v>
      </c>
    </row>
    <row r="516" spans="1:12" x14ac:dyDescent="0.2">
      <c r="B516" s="133" t="s">
        <v>91</v>
      </c>
      <c r="C516" s="131" t="str">
        <f t="shared" si="83"/>
        <v>7440-22-4</v>
      </c>
      <c r="D516" s="337">
        <f>CONVERT(INDEX('Screening Emission Calculations'!$L$4:$L$54,MATCH($C516,'Screening Emission Calculations'!$C$4:$C$54,0)),"lbm","g")/8760/3600</f>
        <v>3.7015438177283698E-9</v>
      </c>
      <c r="E516" s="338">
        <f>CONVERT(INDEX('Screening Emission Calculations'!$L$83:$L$133,MATCH($C516,'Screening Emission Calculations'!$C$83:$C$133,0)),"lbm","g")/24/3600</f>
        <v>3.2425523843300515E-7</v>
      </c>
      <c r="F516" s="191">
        <f t="shared" si="85"/>
        <v>0</v>
      </c>
      <c r="G516" s="85">
        <f t="shared" si="85"/>
        <v>0</v>
      </c>
      <c r="H516" s="85">
        <f t="shared" si="85"/>
        <v>0</v>
      </c>
      <c r="I516" s="85">
        <f t="shared" si="85"/>
        <v>0</v>
      </c>
      <c r="J516" s="85">
        <f t="shared" si="85"/>
        <v>0</v>
      </c>
      <c r="K516" s="85">
        <f t="shared" si="85"/>
        <v>0</v>
      </c>
      <c r="L516" s="86">
        <f t="shared" si="84"/>
        <v>0</v>
      </c>
    </row>
    <row r="517" spans="1:12" x14ac:dyDescent="0.2">
      <c r="B517" s="133" t="s">
        <v>93</v>
      </c>
      <c r="C517" s="131" t="str">
        <f t="shared" si="83"/>
        <v>7440-28-0</v>
      </c>
      <c r="D517" s="337">
        <f>CONVERT(INDEX('Screening Emission Calculations'!$L$4:$L$54,MATCH($C517,'Screening Emission Calculations'!$C$4:$C$54,0)),"lbm","g")/8760/3600</f>
        <v>1.8509924791888039E-8</v>
      </c>
      <c r="E517" s="338">
        <f>CONVERT(INDEX('Screening Emission Calculations'!$L$83:$L$133,MATCH($C517,'Screening Emission Calculations'!$C$83:$C$133,0)),"lbm","g")/24/3600</f>
        <v>1.6214694117693928E-6</v>
      </c>
      <c r="F517" s="191">
        <f t="shared" si="85"/>
        <v>0</v>
      </c>
      <c r="G517" s="85">
        <f t="shared" si="85"/>
        <v>0</v>
      </c>
      <c r="H517" s="85">
        <f t="shared" si="85"/>
        <v>0</v>
      </c>
      <c r="I517" s="85">
        <f t="shared" si="85"/>
        <v>0</v>
      </c>
      <c r="J517" s="85">
        <f t="shared" si="85"/>
        <v>0</v>
      </c>
      <c r="K517" s="85">
        <f t="shared" si="85"/>
        <v>0</v>
      </c>
      <c r="L517" s="86">
        <f t="shared" si="84"/>
        <v>0</v>
      </c>
    </row>
    <row r="518" spans="1:12" x14ac:dyDescent="0.2">
      <c r="B518" s="133" t="s">
        <v>95</v>
      </c>
      <c r="C518" s="131" t="str">
        <f t="shared" si="83"/>
        <v>108-88-3</v>
      </c>
      <c r="D518" s="337">
        <f>CONVERT(INDEX('Screening Emission Calculations'!$L$4:$L$54,MATCH($C518,'Screening Emission Calculations'!$C$4:$C$54,0)),"lbm","g")/8760/3600</f>
        <v>8.2584910762073689E-6</v>
      </c>
      <c r="E518" s="338">
        <f>CONVERT(INDEX('Screening Emission Calculations'!$L$83:$L$133,MATCH($C518,'Screening Emission Calculations'!$C$83:$C$133,0)),"lbm","g")/24/3600</f>
        <v>7.1343223742994274E-4</v>
      </c>
      <c r="F518" s="191">
        <f t="shared" si="85"/>
        <v>0</v>
      </c>
      <c r="G518" s="85">
        <f t="shared" si="85"/>
        <v>1.6516982152414739E-9</v>
      </c>
      <c r="H518" s="85">
        <f t="shared" si="85"/>
        <v>0</v>
      </c>
      <c r="I518" s="85">
        <f t="shared" si="85"/>
        <v>3.7538595800942587E-10</v>
      </c>
      <c r="J518" s="85">
        <f t="shared" si="85"/>
        <v>0</v>
      </c>
      <c r="K518" s="85">
        <f t="shared" si="85"/>
        <v>3.7538595800942587E-10</v>
      </c>
      <c r="L518" s="86">
        <f t="shared" si="84"/>
        <v>9.512429832399236E-8</v>
      </c>
    </row>
    <row r="519" spans="1:12" x14ac:dyDescent="0.2">
      <c r="B519" s="133" t="s">
        <v>97</v>
      </c>
      <c r="C519" s="131" t="str">
        <f t="shared" si="83"/>
        <v>1330-20-7</v>
      </c>
      <c r="D519" s="337">
        <f>CONVERT(INDEX('Screening Emission Calculations'!$L$4:$L$54,MATCH($C519,'Screening Emission Calculations'!$C$4:$C$54,0)),"lbm","g")/8760/3600</f>
        <v>3.3222013437494535E-6</v>
      </c>
      <c r="E519" s="338">
        <f>CONVERT(INDEX('Screening Emission Calculations'!$L$83:$L$133,MATCH($C519,'Screening Emission Calculations'!$C$83:$C$133,0)),"lbm","g")/24/3600</f>
        <v>2.8699740860559369E-4</v>
      </c>
      <c r="F519" s="191">
        <f t="shared" si="85"/>
        <v>0</v>
      </c>
      <c r="G519" s="85">
        <f t="shared" si="85"/>
        <v>1.5100915198861151E-8</v>
      </c>
      <c r="H519" s="85">
        <f t="shared" si="85"/>
        <v>0</v>
      </c>
      <c r="I519" s="85">
        <f t="shared" si="85"/>
        <v>3.4249498389169625E-9</v>
      </c>
      <c r="J519" s="85">
        <f t="shared" si="85"/>
        <v>0</v>
      </c>
      <c r="K519" s="85">
        <f t="shared" si="85"/>
        <v>3.4249498389169625E-9</v>
      </c>
      <c r="L519" s="86">
        <f t="shared" si="84"/>
        <v>3.2988207885700425E-8</v>
      </c>
    </row>
    <row r="520" spans="1:12" ht="15.75" thickBot="1" x14ac:dyDescent="0.25">
      <c r="B520" s="135" t="s">
        <v>99</v>
      </c>
      <c r="C520" s="131" t="str">
        <f t="shared" si="83"/>
        <v>7440-66-6</v>
      </c>
      <c r="D520" s="334">
        <f>CONVERT(INDEX('Screening Emission Calculations'!$L$4:$L$54,MATCH($C520,'Screening Emission Calculations'!$C$4:$C$54,0)),"lbm","g")/8760/3600</f>
        <v>4.0290998425620168E-7</v>
      </c>
      <c r="E520" s="333">
        <f>CONVERT(INDEX('Screening Emission Calculations'!$L$83:$L$133,MATCH($C520,'Screening Emission Calculations'!$C$83:$C$133,0)),"lbm","g")/24/3600</f>
        <v>3.5294914620843273E-5</v>
      </c>
      <c r="F520" s="191">
        <f t="shared" si="85"/>
        <v>0</v>
      </c>
      <c r="G520" s="85">
        <f t="shared" si="85"/>
        <v>0</v>
      </c>
      <c r="H520" s="85">
        <f t="shared" si="85"/>
        <v>0</v>
      </c>
      <c r="I520" s="85">
        <f t="shared" si="85"/>
        <v>0</v>
      </c>
      <c r="J520" s="85">
        <f t="shared" si="85"/>
        <v>0</v>
      </c>
      <c r="K520" s="85">
        <f t="shared" si="85"/>
        <v>0</v>
      </c>
      <c r="L520" s="86">
        <f t="shared" si="84"/>
        <v>0</v>
      </c>
    </row>
    <row r="521" spans="1:12" ht="15.75" thickBot="1" x14ac:dyDescent="0.25">
      <c r="B521" s="660" t="s">
        <v>212</v>
      </c>
      <c r="C521" s="661"/>
      <c r="D521" s="661"/>
      <c r="E521" s="662"/>
      <c r="F521" s="150">
        <f>SUM(F470:F520)</f>
        <v>0.18727761262984358</v>
      </c>
      <c r="G521" s="151">
        <f t="shared" ref="G521:L521" si="86">SUM(G470:G520)</f>
        <v>3.854179383616057E-3</v>
      </c>
      <c r="H521" s="151">
        <f t="shared" si="86"/>
        <v>7.1874518254835115E-3</v>
      </c>
      <c r="I521" s="151">
        <f t="shared" si="86"/>
        <v>8.5619316583953199E-4</v>
      </c>
      <c r="J521" s="151">
        <f t="shared" si="86"/>
        <v>1.5546632321130655E-2</v>
      </c>
      <c r="K521" s="151">
        <f t="shared" si="86"/>
        <v>8.5619316583953199E-4</v>
      </c>
      <c r="L521" s="152">
        <f t="shared" si="86"/>
        <v>5.861573166457255E-4</v>
      </c>
    </row>
    <row r="522" spans="1:12" ht="13.5" x14ac:dyDescent="0.2">
      <c r="A522" s="147">
        <v>1</v>
      </c>
      <c r="B522" s="143" t="str">
        <f>$B$174</f>
        <v>If the toxic is listed in the Risk-Based Concentrations (Table 2) in OAR Chapter 340-245-8010, then it's considered a permitted toxic. Emission rate is normalized based on operational hours of 8,760 hrs/yr or 24 hrs/day.</v>
      </c>
      <c r="C522" s="144"/>
      <c r="D522" s="144"/>
      <c r="E522" s="144"/>
      <c r="F522" s="144"/>
      <c r="G522" s="144"/>
      <c r="H522" s="144"/>
      <c r="I522" s="144"/>
      <c r="J522" s="144"/>
      <c r="K522" s="144"/>
      <c r="L522" s="144"/>
    </row>
    <row r="523" spans="1:12" s="432" customFormat="1" ht="13.5" x14ac:dyDescent="0.2">
      <c r="A523" s="593"/>
      <c r="B523" s="594"/>
      <c r="C523" s="595"/>
      <c r="D523" s="595"/>
      <c r="E523" s="595"/>
      <c r="F523" s="595"/>
      <c r="G523" s="595"/>
      <c r="H523" s="595"/>
      <c r="I523" s="595"/>
      <c r="J523" s="595"/>
      <c r="K523" s="595"/>
      <c r="L523" s="596"/>
    </row>
    <row r="525" spans="1:12" ht="15.75" thickBot="1" x14ac:dyDescent="0.25">
      <c r="B525" s="56" t="s">
        <v>213</v>
      </c>
    </row>
    <row r="526" spans="1:12" ht="31.5" customHeight="1" x14ac:dyDescent="0.2">
      <c r="B526" s="666" t="s">
        <v>1</v>
      </c>
      <c r="C526" s="681" t="s">
        <v>2</v>
      </c>
      <c r="D526" s="683" t="s">
        <v>205</v>
      </c>
      <c r="E526" s="657" t="s">
        <v>203</v>
      </c>
      <c r="F526" s="648" t="s">
        <v>1186</v>
      </c>
      <c r="G526" s="649"/>
      <c r="H526" s="649"/>
      <c r="I526" s="649"/>
      <c r="J526" s="649"/>
      <c r="K526" s="649"/>
      <c r="L526" s="650"/>
    </row>
    <row r="527" spans="1:12" x14ac:dyDescent="0.2">
      <c r="B527" s="667"/>
      <c r="C527" s="682"/>
      <c r="D527" s="684"/>
      <c r="E527" s="658"/>
      <c r="F527" s="677" t="s">
        <v>181</v>
      </c>
      <c r="G527" s="652"/>
      <c r="H527" s="652" t="s">
        <v>182</v>
      </c>
      <c r="I527" s="652"/>
      <c r="J527" s="652"/>
      <c r="K527" s="652"/>
      <c r="L527" s="655" t="s">
        <v>183</v>
      </c>
    </row>
    <row r="528" spans="1:12" ht="36" customHeight="1" thickBot="1" x14ac:dyDescent="0.25">
      <c r="B528" s="668"/>
      <c r="C528" s="654"/>
      <c r="D528" s="685"/>
      <c r="E528" s="659"/>
      <c r="F528" s="192" t="s">
        <v>184</v>
      </c>
      <c r="G528" s="149" t="s">
        <v>185</v>
      </c>
      <c r="H528" s="149" t="s">
        <v>186</v>
      </c>
      <c r="I528" s="149" t="s">
        <v>187</v>
      </c>
      <c r="J528" s="149" t="s">
        <v>188</v>
      </c>
      <c r="K528" s="149" t="s">
        <v>189</v>
      </c>
      <c r="L528" s="656"/>
    </row>
    <row r="529" spans="2:12" x14ac:dyDescent="0.2">
      <c r="B529" s="130" t="s">
        <v>4</v>
      </c>
      <c r="C529" s="239" t="str">
        <f t="shared" ref="C529:C560" si="87">C6</f>
        <v>106-99-0</v>
      </c>
      <c r="D529" s="339">
        <f>CONVERT(INDEX('Screening Emission Calculations'!$M$4:$M$54,MATCH($C529,'Screening Emission Calculations'!$C$4:$C$54,0)),"lbm","g")/8760/3600</f>
        <v>3.2797031753349737E-5</v>
      </c>
      <c r="E529" s="340">
        <f>CONVERT(INDEX('Screening Emission Calculations'!$M$83:$M$133,MATCH($C529,'Screening Emission Calculations'!$C$83:$C$133,0)),"lbm","g")/24/3600</f>
        <v>2.8332608861519407E-3</v>
      </c>
      <c r="F529" s="191">
        <f t="shared" ref="F529:K538" si="88">IF(INDEX($B$6:$L$56,MATCH($C529,$C$6:$C$56,0),MATCH(F$528,$B$5:$L$5,0))="",0,$D529/INDEX($B$6:$L$56,MATCH($C529,$C$6:$C$56,0),MATCH(F$528,$B$5:$L$5,0)))</f>
        <v>9.9384944707120405E-4</v>
      </c>
      <c r="G529" s="85">
        <f t="shared" si="88"/>
        <v>1.6398515876674869E-5</v>
      </c>
      <c r="H529" s="85">
        <f t="shared" si="88"/>
        <v>3.8136083434127603E-5</v>
      </c>
      <c r="I529" s="85">
        <f t="shared" si="88"/>
        <v>3.7269354265170152E-6</v>
      </c>
      <c r="J529" s="85">
        <f t="shared" si="88"/>
        <v>8.1992579383374336E-5</v>
      </c>
      <c r="K529" s="85">
        <f t="shared" si="88"/>
        <v>3.7269354265170152E-6</v>
      </c>
      <c r="L529" s="86">
        <f t="shared" ref="L529:L560" si="89">IF(INDEX($B$6:$L$56,MATCH($C529,$C$6:$C$56,0),MATCH(L$4,$B$4:$L$4,0))="",0,$E529/INDEX($B$6:$L$56,MATCH($C529,$C$6:$C$56,0),MATCH(L$4,$B$4:$L$4,0)))</f>
        <v>4.2928195244726375E-6</v>
      </c>
    </row>
    <row r="530" spans="2:12" ht="15.75" customHeight="1" x14ac:dyDescent="0.2">
      <c r="B530" s="132" t="s">
        <v>129</v>
      </c>
      <c r="C530" s="239" t="str">
        <f t="shared" si="87"/>
        <v>83-32-9</v>
      </c>
      <c r="D530" s="341">
        <f>CONVERT(INDEX('Screening Emission Calculations'!$M$4:$M$54,MATCH($C530,'Screening Emission Calculations'!$C$4:$C$54,0)),"lbm","g")/8760/3600</f>
        <v>1.1082414344404589E-7</v>
      </c>
      <c r="E530" s="338">
        <f>CONVERT(INDEX('Screening Emission Calculations'!$M$83:$M$133,MATCH($C530,'Screening Emission Calculations'!$C$83:$C$133,0)),"lbm","g")/24/3600</f>
        <v>9.5738453779201339E-6</v>
      </c>
      <c r="F530" s="191">
        <f t="shared" si="88"/>
        <v>0</v>
      </c>
      <c r="G530" s="85">
        <f t="shared" si="88"/>
        <v>0</v>
      </c>
      <c r="H530" s="85">
        <f t="shared" si="88"/>
        <v>0</v>
      </c>
      <c r="I530" s="85">
        <f t="shared" si="88"/>
        <v>0</v>
      </c>
      <c r="J530" s="85">
        <f t="shared" si="88"/>
        <v>0</v>
      </c>
      <c r="K530" s="85">
        <f t="shared" si="88"/>
        <v>0</v>
      </c>
      <c r="L530" s="86">
        <f t="shared" si="89"/>
        <v>0</v>
      </c>
    </row>
    <row r="531" spans="2:12" x14ac:dyDescent="0.2">
      <c r="B531" s="133" t="s">
        <v>130</v>
      </c>
      <c r="C531" s="239" t="str">
        <f t="shared" si="87"/>
        <v>208-96-8</v>
      </c>
      <c r="D531" s="341">
        <f>CONVERT(INDEX('Screening Emission Calculations'!$M$4:$M$54,MATCH($C531,'Screening Emission Calculations'!$C$4:$C$54,0)),"lbm","g")/8760/3600</f>
        <v>1.2216915041711442E-7</v>
      </c>
      <c r="E531" s="338">
        <f>CONVERT(INDEX('Screening Emission Calculations'!$M$83:$M$133,MATCH($C531,'Screening Emission Calculations'!$C$83:$C$133,0)),"lbm","g")/24/3600</f>
        <v>1.0553914694913525E-5</v>
      </c>
      <c r="F531" s="191">
        <f t="shared" si="88"/>
        <v>0</v>
      </c>
      <c r="G531" s="85">
        <f t="shared" si="88"/>
        <v>0</v>
      </c>
      <c r="H531" s="85">
        <f t="shared" si="88"/>
        <v>0</v>
      </c>
      <c r="I531" s="85">
        <f t="shared" si="88"/>
        <v>0</v>
      </c>
      <c r="J531" s="85">
        <f t="shared" si="88"/>
        <v>0</v>
      </c>
      <c r="K531" s="85">
        <f t="shared" si="88"/>
        <v>0</v>
      </c>
      <c r="L531" s="86">
        <f t="shared" si="89"/>
        <v>0</v>
      </c>
    </row>
    <row r="532" spans="2:12" x14ac:dyDescent="0.2">
      <c r="B532" s="133" t="s">
        <v>11</v>
      </c>
      <c r="C532" s="239" t="str">
        <f t="shared" si="87"/>
        <v>75-07-0</v>
      </c>
      <c r="D532" s="341">
        <f>CONVERT(INDEX('Screening Emission Calculations'!$M$4:$M$54,MATCH($C532,'Screening Emission Calculations'!$C$4:$C$54,0)),"lbm","g")/8760/3600</f>
        <v>1.1816888211774999E-4</v>
      </c>
      <c r="E532" s="338">
        <f>CONVERT(INDEX('Screening Emission Calculations'!$M$83:$M$133,MATCH($C532,'Screening Emission Calculations'!$C$83:$C$133,0)),"lbm","g")/24/3600</f>
        <v>1.0208340626139904E-2</v>
      </c>
      <c r="F532" s="191">
        <f t="shared" si="88"/>
        <v>2.6259751581722221E-4</v>
      </c>
      <c r="G532" s="85">
        <f t="shared" si="88"/>
        <v>8.4406344369821418E-7</v>
      </c>
      <c r="H532" s="85">
        <f t="shared" si="88"/>
        <v>9.8474068431458331E-6</v>
      </c>
      <c r="I532" s="85">
        <f t="shared" si="88"/>
        <v>1.9059497115766128E-7</v>
      </c>
      <c r="J532" s="85">
        <f t="shared" si="88"/>
        <v>2.1485251294136363E-5</v>
      </c>
      <c r="K532" s="85">
        <f t="shared" si="88"/>
        <v>1.9059497115766128E-7</v>
      </c>
      <c r="L532" s="86">
        <f t="shared" si="89"/>
        <v>2.1719873672638094E-5</v>
      </c>
    </row>
    <row r="533" spans="2:12" x14ac:dyDescent="0.2">
      <c r="B533" s="133" t="s">
        <v>13</v>
      </c>
      <c r="C533" s="239" t="str">
        <f t="shared" si="87"/>
        <v>107-02-8</v>
      </c>
      <c r="D533" s="341">
        <f>CONVERT(INDEX('Screening Emission Calculations'!$M$4:$M$54,MATCH($C533,'Screening Emission Calculations'!$C$4:$C$54,0)),"lbm","g")/8760/3600</f>
        <v>5.1141645650347565E-6</v>
      </c>
      <c r="E533" s="338">
        <f>CONVERT(INDEX('Screening Emission Calculations'!$M$83:$M$133,MATCH($C533,'Screening Emission Calculations'!$C$83:$C$133,0)),"lbm","g")/24/3600</f>
        <v>4.4180103054531169E-4</v>
      </c>
      <c r="F533" s="191">
        <f t="shared" si="88"/>
        <v>0</v>
      </c>
      <c r="G533" s="85">
        <f t="shared" si="88"/>
        <v>1.4611898757242162E-5</v>
      </c>
      <c r="H533" s="85">
        <f t="shared" si="88"/>
        <v>0</v>
      </c>
      <c r="I533" s="85">
        <f t="shared" si="88"/>
        <v>3.4094430433565042E-6</v>
      </c>
      <c r="J533" s="85">
        <f t="shared" si="88"/>
        <v>0</v>
      </c>
      <c r="K533" s="85">
        <f t="shared" si="88"/>
        <v>3.4094430433565042E-6</v>
      </c>
      <c r="L533" s="86">
        <f t="shared" si="89"/>
        <v>6.4029134861639373E-5</v>
      </c>
    </row>
    <row r="534" spans="2:12" x14ac:dyDescent="0.2">
      <c r="B534" s="133" t="s">
        <v>15</v>
      </c>
      <c r="C534" s="239" t="str">
        <f t="shared" si="87"/>
        <v>7664-41-7</v>
      </c>
      <c r="D534" s="341">
        <f>CONVERT(INDEX('Screening Emission Calculations'!$M$4:$M$54,MATCH($C534,'Screening Emission Calculations'!$C$4:$C$54,0)),"lbm","g")/8760/3600</f>
        <v>1.187486874277017E-4</v>
      </c>
      <c r="E534" s="338">
        <f>CONVERT(INDEX('Screening Emission Calculations'!$M$83:$M$133,MATCH($C534,'Screening Emission Calculations'!$C$83:$C$133,0)),"lbm","g")/24/3600</f>
        <v>1.0402385018666667E-2</v>
      </c>
      <c r="F534" s="191">
        <f t="shared" si="88"/>
        <v>0</v>
      </c>
      <c r="G534" s="85">
        <f t="shared" si="88"/>
        <v>2.3749737485540339E-7</v>
      </c>
      <c r="H534" s="85">
        <f t="shared" si="88"/>
        <v>0</v>
      </c>
      <c r="I534" s="85">
        <f t="shared" si="88"/>
        <v>5.3976676103500772E-8</v>
      </c>
      <c r="J534" s="85">
        <f t="shared" si="88"/>
        <v>0</v>
      </c>
      <c r="K534" s="85">
        <f t="shared" si="88"/>
        <v>5.3976676103500772E-8</v>
      </c>
      <c r="L534" s="86">
        <f t="shared" si="89"/>
        <v>8.668654182222223E-6</v>
      </c>
    </row>
    <row r="535" spans="2:12" x14ac:dyDescent="0.2">
      <c r="B535" s="133" t="s">
        <v>132</v>
      </c>
      <c r="C535" s="239" t="str">
        <f t="shared" si="87"/>
        <v>120-12-7</v>
      </c>
      <c r="D535" s="341">
        <f>CONVERT(INDEX('Screening Emission Calculations'!$M$4:$M$54,MATCH($C535,'Screening Emission Calculations'!$C$4:$C$54,0)),"lbm","g")/8760/3600</f>
        <v>6.8202439708882517E-8</v>
      </c>
      <c r="E535" s="338">
        <f>CONVERT(INDEX('Screening Emission Calculations'!$M$83:$M$133,MATCH($C535,'Screening Emission Calculations'!$C$83:$C$133,0)),"lbm","g")/24/3600</f>
        <v>5.8918534524874103E-6</v>
      </c>
      <c r="F535" s="191">
        <f t="shared" si="88"/>
        <v>0</v>
      </c>
      <c r="G535" s="85">
        <f t="shared" si="88"/>
        <v>0</v>
      </c>
      <c r="H535" s="85">
        <f t="shared" si="88"/>
        <v>0</v>
      </c>
      <c r="I535" s="85">
        <f t="shared" si="88"/>
        <v>0</v>
      </c>
      <c r="J535" s="85">
        <f t="shared" si="88"/>
        <v>0</v>
      </c>
      <c r="K535" s="85">
        <f t="shared" si="88"/>
        <v>0</v>
      </c>
      <c r="L535" s="86">
        <f t="shared" si="89"/>
        <v>0</v>
      </c>
    </row>
    <row r="536" spans="2:12" x14ac:dyDescent="0.2">
      <c r="B536" s="133" t="s">
        <v>19</v>
      </c>
      <c r="C536" s="239" t="str">
        <f t="shared" si="87"/>
        <v>7440-36-0</v>
      </c>
      <c r="D536" s="341">
        <f>CONVERT(INDEX('Screening Emission Calculations'!$M$4:$M$54,MATCH($C536,'Screening Emission Calculations'!$C$4:$C$54,0)),"lbm","g")/8760/3600</f>
        <v>4.7230401288394461E-8</v>
      </c>
      <c r="E536" s="338">
        <f>CONVERT(INDEX('Screening Emission Calculations'!$M$83:$M$133,MATCH($C536,'Screening Emission Calculations'!$C$83:$C$133,0)),"lbm","g")/24/3600</f>
        <v>4.1373831528633555E-6</v>
      </c>
      <c r="F536" s="191">
        <f t="shared" si="88"/>
        <v>0</v>
      </c>
      <c r="G536" s="85">
        <f t="shared" si="88"/>
        <v>1.5743467096131487E-7</v>
      </c>
      <c r="H536" s="85">
        <f t="shared" si="88"/>
        <v>0</v>
      </c>
      <c r="I536" s="85">
        <f t="shared" si="88"/>
        <v>3.6331077914149586E-8</v>
      </c>
      <c r="J536" s="85">
        <f t="shared" si="88"/>
        <v>0</v>
      </c>
      <c r="K536" s="85">
        <f t="shared" si="88"/>
        <v>3.6331077914149586E-8</v>
      </c>
      <c r="L536" s="86">
        <f t="shared" si="89"/>
        <v>4.1373831528633555E-6</v>
      </c>
    </row>
    <row r="537" spans="2:12" x14ac:dyDescent="0.2">
      <c r="B537" s="133" t="s">
        <v>21</v>
      </c>
      <c r="C537" s="239" t="str">
        <f t="shared" si="87"/>
        <v>7440-38-2</v>
      </c>
      <c r="D537" s="341">
        <f>CONVERT(INDEX('Screening Emission Calculations'!$M$4:$M$54,MATCH($C537,'Screening Emission Calculations'!$C$4:$C$54,0)),"lbm","g")/8760/3600</f>
        <v>4.109486521098547E-8</v>
      </c>
      <c r="E537" s="338">
        <f>CONVERT(INDEX('Screening Emission Calculations'!$M$83:$M$133,MATCH($C537,'Screening Emission Calculations'!$C$83:$C$133,0)),"lbm","g")/24/3600</f>
        <v>3.5999101924823274E-6</v>
      </c>
      <c r="F537" s="191">
        <f t="shared" si="88"/>
        <v>1.7122860504577278E-3</v>
      </c>
      <c r="G537" s="85">
        <f t="shared" si="88"/>
        <v>2.4173450124109099E-4</v>
      </c>
      <c r="H537" s="85">
        <f t="shared" si="88"/>
        <v>3.1611434777681135E-5</v>
      </c>
      <c r="I537" s="85">
        <f t="shared" si="88"/>
        <v>1.7122860504577282E-5</v>
      </c>
      <c r="J537" s="85">
        <f t="shared" si="88"/>
        <v>6.6282040662879788E-5</v>
      </c>
      <c r="K537" s="85">
        <f t="shared" si="88"/>
        <v>1.7122860504577282E-5</v>
      </c>
      <c r="L537" s="86">
        <f t="shared" si="89"/>
        <v>1.7999550962411635E-5</v>
      </c>
    </row>
    <row r="538" spans="2:12" x14ac:dyDescent="0.2">
      <c r="B538" s="133" t="s">
        <v>23</v>
      </c>
      <c r="C538" s="239" t="str">
        <f t="shared" si="87"/>
        <v>7440-39-3</v>
      </c>
      <c r="D538" s="341">
        <f>CONVERT(INDEX('Screening Emission Calculations'!$M$4:$M$54,MATCH($C538,'Screening Emission Calculations'!$C$4:$C$54,0)),"lbm","g")/8760/3600</f>
        <v>5.5499180597594077E-8</v>
      </c>
      <c r="E538" s="338">
        <f>CONVERT(INDEX('Screening Emission Calculations'!$M$83:$M$133,MATCH($C538,'Screening Emission Calculations'!$C$83:$C$133,0)),"lbm","g")/24/3600</f>
        <v>4.8617282203492417E-6</v>
      </c>
      <c r="F538" s="191">
        <f t="shared" si="88"/>
        <v>0</v>
      </c>
      <c r="G538" s="85">
        <f t="shared" si="88"/>
        <v>0</v>
      </c>
      <c r="H538" s="85">
        <f t="shared" si="88"/>
        <v>0</v>
      </c>
      <c r="I538" s="85">
        <f t="shared" si="88"/>
        <v>0</v>
      </c>
      <c r="J538" s="85">
        <f t="shared" si="88"/>
        <v>0</v>
      </c>
      <c r="K538" s="85">
        <f t="shared" si="88"/>
        <v>0</v>
      </c>
      <c r="L538" s="86">
        <f t="shared" si="89"/>
        <v>0</v>
      </c>
    </row>
    <row r="539" spans="2:12" x14ac:dyDescent="0.2">
      <c r="B539" s="133" t="s">
        <v>133</v>
      </c>
      <c r="C539" s="239" t="str">
        <f t="shared" si="87"/>
        <v>56-55-3</v>
      </c>
      <c r="D539" s="341">
        <f>CONVERT(INDEX('Screening Emission Calculations'!$M$4:$M$54,MATCH($C539,'Screening Emission Calculations'!$C$4:$C$54,0)),"lbm","g")/8760/3600</f>
        <v>7.3229592216719392E-9</v>
      </c>
      <c r="E539" s="338">
        <f>CONVERT(INDEX('Screening Emission Calculations'!$M$83:$M$133,MATCH($C539,'Screening Emission Calculations'!$C$83:$C$133,0)),"lbm","g")/24/3600</f>
        <v>6.3261377095595478E-7</v>
      </c>
      <c r="F539" s="191">
        <f t="shared" ref="F539:K548" si="90">IF(INDEX($B$6:$L$56,MATCH($C539,$C$6:$C$56,0),MATCH(F$528,$B$5:$L$5,0))="",0,$D539/INDEX($B$6:$L$56,MATCH($C539,$C$6:$C$56,0),MATCH(F$528,$B$5:$L$5,0)))</f>
        <v>3.4871234388913997E-5</v>
      </c>
      <c r="G539" s="85">
        <f t="shared" si="90"/>
        <v>0</v>
      </c>
      <c r="H539" s="85">
        <f t="shared" si="90"/>
        <v>9.3884092585537689E-7</v>
      </c>
      <c r="I539" s="85">
        <f t="shared" si="90"/>
        <v>0</v>
      </c>
      <c r="J539" s="85">
        <f t="shared" si="90"/>
        <v>4.8819728144479598E-7</v>
      </c>
      <c r="K539" s="85">
        <f t="shared" si="90"/>
        <v>0</v>
      </c>
      <c r="L539" s="86">
        <f t="shared" si="89"/>
        <v>0</v>
      </c>
    </row>
    <row r="540" spans="2:12" x14ac:dyDescent="0.2">
      <c r="B540" s="133" t="s">
        <v>27</v>
      </c>
      <c r="C540" s="239" t="str">
        <f t="shared" si="87"/>
        <v>71-43-2</v>
      </c>
      <c r="D540" s="341">
        <f>CONVERT(INDEX('Screening Emission Calculations'!$M$4:$M$54,MATCH($C540,'Screening Emission Calculations'!$C$4:$C$54,0)),"lbm","g")/8760/3600</f>
        <v>2.8105276060943219E-5</v>
      </c>
      <c r="E540" s="338">
        <f>CONVERT(INDEX('Screening Emission Calculations'!$M$83:$M$133,MATCH($C540,'Screening Emission Calculations'!$C$83:$C$133,0)),"lbm","g")/24/3600</f>
        <v>2.4279507961826423E-3</v>
      </c>
      <c r="F540" s="191">
        <f t="shared" si="90"/>
        <v>2.1619443123802474E-4</v>
      </c>
      <c r="G540" s="85">
        <f t="shared" si="90"/>
        <v>9.3684253536477396E-6</v>
      </c>
      <c r="H540" s="85">
        <f t="shared" si="90"/>
        <v>8.5167503214979461E-6</v>
      </c>
      <c r="I540" s="85">
        <f t="shared" si="90"/>
        <v>2.1619443123802477E-6</v>
      </c>
      <c r="J540" s="85">
        <f t="shared" si="90"/>
        <v>1.8736850707295479E-5</v>
      </c>
      <c r="K540" s="85">
        <f t="shared" si="90"/>
        <v>2.1619443123802477E-6</v>
      </c>
      <c r="L540" s="86">
        <f t="shared" si="89"/>
        <v>8.3722441247677322E-5</v>
      </c>
    </row>
    <row r="541" spans="2:12" x14ac:dyDescent="0.2">
      <c r="B541" s="133" t="s">
        <v>190</v>
      </c>
      <c r="C541" s="239" t="str">
        <f t="shared" si="87"/>
        <v>50-32-8</v>
      </c>
      <c r="D541" s="341">
        <f>CONVERT(INDEX('Screening Emission Calculations'!$M$4:$M$54,MATCH($C541,'Screening Emission Calculations'!$C$4:$C$54,0)),"lbm","g")/8760/3600</f>
        <v>2.1701613905350631E-9</v>
      </c>
      <c r="E541" s="338">
        <f>CONVERT(INDEX('Screening Emission Calculations'!$M$83:$M$133,MATCH($C541,'Screening Emission Calculations'!$C$83:$C$133,0)),"lbm","g")/24/3600</f>
        <v>1.8747530052966178E-7</v>
      </c>
      <c r="F541" s="191">
        <f t="shared" si="90"/>
        <v>5.0468869547327045E-5</v>
      </c>
      <c r="G541" s="85">
        <f t="shared" si="90"/>
        <v>1.0850806952675315E-6</v>
      </c>
      <c r="H541" s="85">
        <f t="shared" si="90"/>
        <v>1.3563508690844143E-6</v>
      </c>
      <c r="I541" s="85">
        <f t="shared" si="90"/>
        <v>2.4660924892443898E-7</v>
      </c>
      <c r="J541" s="85">
        <f t="shared" si="90"/>
        <v>7.2338713017835437E-7</v>
      </c>
      <c r="K541" s="85">
        <f t="shared" si="90"/>
        <v>2.4660924892443898E-7</v>
      </c>
      <c r="L541" s="86">
        <f t="shared" si="89"/>
        <v>9.3737650264830887E-5</v>
      </c>
    </row>
    <row r="542" spans="2:12" x14ac:dyDescent="0.2">
      <c r="B542" s="133" t="s">
        <v>135</v>
      </c>
      <c r="C542" s="239" t="str">
        <f t="shared" si="87"/>
        <v>205-99-2</v>
      </c>
      <c r="D542" s="341">
        <f>CONVERT(INDEX('Screening Emission Calculations'!$M$4:$M$54,MATCH($C542,'Screening Emission Calculations'!$C$4:$C$54,0)),"lbm","g")/8760/3600</f>
        <v>6.6911946205115283E-9</v>
      </c>
      <c r="E542" s="338">
        <f>CONVERT(INDEX('Screening Emission Calculations'!$M$83:$M$133,MATCH($C542,'Screening Emission Calculations'!$C$83:$C$133,0)),"lbm","g")/24/3600</f>
        <v>5.780370657472477E-7</v>
      </c>
      <c r="F542" s="191">
        <f t="shared" si="90"/>
        <v>1.262489551039911E-4</v>
      </c>
      <c r="G542" s="85">
        <f t="shared" si="90"/>
        <v>0</v>
      </c>
      <c r="H542" s="85">
        <f t="shared" si="90"/>
        <v>3.3455973102557641E-6</v>
      </c>
      <c r="I542" s="85">
        <f t="shared" si="90"/>
        <v>0</v>
      </c>
      <c r="J542" s="85">
        <f t="shared" si="90"/>
        <v>1.760840689608297E-6</v>
      </c>
      <c r="K542" s="85">
        <f t="shared" si="90"/>
        <v>0</v>
      </c>
      <c r="L542" s="86">
        <f t="shared" si="89"/>
        <v>0</v>
      </c>
    </row>
    <row r="543" spans="2:12" x14ac:dyDescent="0.2">
      <c r="B543" s="133" t="s">
        <v>136</v>
      </c>
      <c r="C543" s="239" t="str">
        <f t="shared" si="87"/>
        <v>192-97-2</v>
      </c>
      <c r="D543" s="341">
        <f>CONVERT(INDEX('Screening Emission Calculations'!$M$4:$M$54,MATCH($C543,'Screening Emission Calculations'!$C$4:$C$54,0)),"lbm","g")/8760/3600</f>
        <v>4.9585211393147062E-9</v>
      </c>
      <c r="E543" s="338">
        <f>CONVERT(INDEX('Screening Emission Calculations'!$M$83:$M$133,MATCH($C543,'Screening Emission Calculations'!$C$83:$C$133,0)),"lbm","g")/24/3600</f>
        <v>4.2835534943625005E-7</v>
      </c>
      <c r="F543" s="191">
        <f t="shared" si="90"/>
        <v>0</v>
      </c>
      <c r="G543" s="85">
        <f t="shared" si="90"/>
        <v>0</v>
      </c>
      <c r="H543" s="85">
        <f t="shared" si="90"/>
        <v>0</v>
      </c>
      <c r="I543" s="85">
        <f t="shared" si="90"/>
        <v>0</v>
      </c>
      <c r="J543" s="85">
        <f t="shared" si="90"/>
        <v>0</v>
      </c>
      <c r="K543" s="85">
        <f t="shared" si="90"/>
        <v>0</v>
      </c>
      <c r="L543" s="86">
        <f t="shared" si="89"/>
        <v>0</v>
      </c>
    </row>
    <row r="544" spans="2:12" x14ac:dyDescent="0.2">
      <c r="B544" s="133" t="s">
        <v>137</v>
      </c>
      <c r="C544" s="239" t="str">
        <f t="shared" si="87"/>
        <v>191-24-2</v>
      </c>
      <c r="D544" s="341">
        <f>CONVERT(INDEX('Screening Emission Calculations'!$M$4:$M$54,MATCH($C544,'Screening Emission Calculations'!$C$4:$C$54,0)),"lbm","g")/8760/3600</f>
        <v>3.2999635200221488E-9</v>
      </c>
      <c r="E544" s="338">
        <f>CONVERT(INDEX('Screening Emission Calculations'!$M$83:$M$133,MATCH($C544,'Screening Emission Calculations'!$C$83:$C$133,0)),"lbm","g")/24/3600</f>
        <v>2.8507633365486197E-7</v>
      </c>
      <c r="F544" s="191">
        <f t="shared" si="90"/>
        <v>7.0211989787705295E-7</v>
      </c>
      <c r="G544" s="85">
        <f t="shared" si="90"/>
        <v>0</v>
      </c>
      <c r="H544" s="85">
        <f t="shared" si="90"/>
        <v>1.9411550117777345E-8</v>
      </c>
      <c r="I544" s="85">
        <f t="shared" si="90"/>
        <v>0</v>
      </c>
      <c r="J544" s="85">
        <f t="shared" si="90"/>
        <v>9.7057750588886724E-9</v>
      </c>
      <c r="K544" s="85">
        <f t="shared" si="90"/>
        <v>0</v>
      </c>
      <c r="L544" s="86">
        <f t="shared" si="89"/>
        <v>0</v>
      </c>
    </row>
    <row r="545" spans="2:12" x14ac:dyDescent="0.2">
      <c r="B545" s="133" t="s">
        <v>138</v>
      </c>
      <c r="C545" s="239" t="str">
        <f t="shared" si="87"/>
        <v>207-08-9</v>
      </c>
      <c r="D545" s="341">
        <f>CONVERT(INDEX('Screening Emission Calculations'!$M$4:$M$54,MATCH($C545,'Screening Emission Calculations'!$C$4:$C$54,0)),"lbm","g")/8760/3600</f>
        <v>1.9693846623117425E-9</v>
      </c>
      <c r="E545" s="338">
        <f>CONVERT(INDEX('Screening Emission Calculations'!$M$83:$M$133,MATCH($C545,'Screening Emission Calculations'!$C$83:$C$133,0)),"lbm","g")/24/3600</f>
        <v>1.7013065619712717E-7</v>
      </c>
      <c r="F545" s="191">
        <f t="shared" si="90"/>
        <v>1.4067033302226731E-6</v>
      </c>
      <c r="G545" s="85">
        <f t="shared" si="90"/>
        <v>0</v>
      </c>
      <c r="H545" s="85">
        <f t="shared" si="90"/>
        <v>3.7872781967533513E-8</v>
      </c>
      <c r="I545" s="85">
        <f t="shared" si="90"/>
        <v>0</v>
      </c>
      <c r="J545" s="85">
        <f t="shared" si="90"/>
        <v>1.9693846623117423E-8</v>
      </c>
      <c r="K545" s="85">
        <f t="shared" si="90"/>
        <v>0</v>
      </c>
      <c r="L545" s="86">
        <f t="shared" si="89"/>
        <v>0</v>
      </c>
    </row>
    <row r="546" spans="2:12" x14ac:dyDescent="0.2">
      <c r="B546" s="133" t="s">
        <v>39</v>
      </c>
      <c r="C546" s="239" t="str">
        <f t="shared" si="87"/>
        <v>7440-41-7</v>
      </c>
      <c r="D546" s="341">
        <f>CONVERT(INDEX('Screening Emission Calculations'!$M$4:$M$54,MATCH($C546,'Screening Emission Calculations'!$C$4:$C$54,0)),"lbm","g")/8760/3600</f>
        <v>7.0816466658888643E-10</v>
      </c>
      <c r="E546" s="338">
        <f>CONVERT(INDEX('Screening Emission Calculations'!$M$83:$M$133,MATCH($C546,'Screening Emission Calculations'!$C$83:$C$133,0)),"lbm","g")/24/3600</f>
        <v>6.2035224793186459E-8</v>
      </c>
      <c r="F546" s="191">
        <f t="shared" si="90"/>
        <v>1.6861063490211581E-6</v>
      </c>
      <c r="G546" s="85">
        <f t="shared" si="90"/>
        <v>1.0116638094126949E-7</v>
      </c>
      <c r="H546" s="85">
        <f t="shared" si="90"/>
        <v>6.437860605353514E-8</v>
      </c>
      <c r="I546" s="85">
        <f t="shared" si="90"/>
        <v>2.2844021502867304E-8</v>
      </c>
      <c r="J546" s="85">
        <f t="shared" si="90"/>
        <v>1.4163293331777728E-7</v>
      </c>
      <c r="K546" s="85">
        <f t="shared" si="90"/>
        <v>2.2844021502867304E-8</v>
      </c>
      <c r="L546" s="86">
        <f t="shared" si="89"/>
        <v>3.101761239659323E-6</v>
      </c>
    </row>
    <row r="547" spans="2:12" x14ac:dyDescent="0.2">
      <c r="B547" s="133" t="s">
        <v>41</v>
      </c>
      <c r="C547" s="239" t="str">
        <f t="shared" si="87"/>
        <v>7440-43-9</v>
      </c>
      <c r="D547" s="341">
        <f>CONVERT(INDEX('Screening Emission Calculations'!$M$4:$M$54,MATCH($C547,'Screening Emission Calculations'!$C$4:$C$54,0)),"lbm","g")/8760/3600</f>
        <v>1.1990395745882038E-8</v>
      </c>
      <c r="E547" s="338">
        <f>CONVERT(INDEX('Screening Emission Calculations'!$M$83:$M$133,MATCH($C547,'Screening Emission Calculations'!$C$83:$C$133,0)),"lbm","g")/24/3600</f>
        <v>1.0503586673392666E-6</v>
      </c>
      <c r="F547" s="191">
        <f t="shared" si="90"/>
        <v>2.1411420974789356E-5</v>
      </c>
      <c r="G547" s="85">
        <f t="shared" si="90"/>
        <v>2.3980791491764078E-6</v>
      </c>
      <c r="H547" s="85">
        <f t="shared" si="90"/>
        <v>8.5645683899157414E-7</v>
      </c>
      <c r="I547" s="85">
        <f t="shared" si="90"/>
        <v>3.2406474988870377E-7</v>
      </c>
      <c r="J547" s="85">
        <f t="shared" si="90"/>
        <v>1.7896113053555281E-6</v>
      </c>
      <c r="K547" s="85">
        <f t="shared" si="90"/>
        <v>3.2406474988870377E-7</v>
      </c>
      <c r="L547" s="86">
        <f t="shared" si="89"/>
        <v>3.5011955577975554E-5</v>
      </c>
    </row>
    <row r="548" spans="2:12" x14ac:dyDescent="0.2">
      <c r="B548" s="133" t="s">
        <v>43</v>
      </c>
      <c r="C548" s="239" t="str">
        <f t="shared" si="87"/>
        <v>108-90-7</v>
      </c>
      <c r="D548" s="341">
        <f>CONVERT(INDEX('Screening Emission Calculations'!$M$4:$M$54,MATCH($C548,'Screening Emission Calculations'!$C$4:$C$54,0)),"lbm","g")/8760/3600</f>
        <v>3.0172062330588536E-8</v>
      </c>
      <c r="E548" s="338">
        <f>CONVERT(INDEX('Screening Emission Calculations'!$M$83:$M$133,MATCH($C548,'Screening Emission Calculations'!$C$83:$C$133,0)),"lbm","g")/24/3600</f>
        <v>2.606495755429568E-6</v>
      </c>
      <c r="F548" s="191">
        <f t="shared" si="90"/>
        <v>0</v>
      </c>
      <c r="G548" s="85">
        <f t="shared" si="90"/>
        <v>6.0344124661177073E-10</v>
      </c>
      <c r="H548" s="85">
        <f t="shared" si="90"/>
        <v>0</v>
      </c>
      <c r="I548" s="85">
        <f t="shared" si="90"/>
        <v>1.3714573786631153E-10</v>
      </c>
      <c r="J548" s="85">
        <f t="shared" si="90"/>
        <v>0</v>
      </c>
      <c r="K548" s="85">
        <f t="shared" si="90"/>
        <v>1.3714573786631153E-10</v>
      </c>
      <c r="L548" s="86">
        <f t="shared" si="89"/>
        <v>0</v>
      </c>
    </row>
    <row r="549" spans="2:12" x14ac:dyDescent="0.2">
      <c r="B549" s="133" t="s">
        <v>139</v>
      </c>
      <c r="C549" s="239" t="str">
        <f t="shared" si="87"/>
        <v>218-01-9</v>
      </c>
      <c r="D549" s="341">
        <f>CONVERT(INDEX('Screening Emission Calculations'!$M$4:$M$54,MATCH($C549,'Screening Emission Calculations'!$C$4:$C$54,0)),"lbm","g")/8760/3600</f>
        <v>1.0107627779701381E-8</v>
      </c>
      <c r="E549" s="338">
        <f>CONVERT(INDEX('Screening Emission Calculations'!$M$83:$M$133,MATCH($C549,'Screening Emission Calculations'!$C$83:$C$133,0)),"lbm","g")/24/3600</f>
        <v>8.7317494629939494E-7</v>
      </c>
      <c r="F549" s="191">
        <f t="shared" ref="F549:K558" si="91">IF(INDEX($B$6:$L$56,MATCH($C549,$C$6:$C$56,0),MATCH(F$528,$B$5:$L$5,0))="",0,$D549/INDEX($B$6:$L$56,MATCH($C549,$C$6:$C$56,0),MATCH(F$528,$B$5:$L$5,0)))</f>
        <v>2.3506111115584607E-5</v>
      </c>
      <c r="G549" s="85">
        <f t="shared" si="91"/>
        <v>0</v>
      </c>
      <c r="H549" s="85">
        <f t="shared" si="91"/>
        <v>6.3172673623133626E-7</v>
      </c>
      <c r="I549" s="85">
        <f t="shared" si="91"/>
        <v>0</v>
      </c>
      <c r="J549" s="85">
        <f t="shared" si="91"/>
        <v>3.3692092599004604E-7</v>
      </c>
      <c r="K549" s="85">
        <f t="shared" si="91"/>
        <v>0</v>
      </c>
      <c r="L549" s="86">
        <f t="shared" si="89"/>
        <v>0</v>
      </c>
    </row>
    <row r="550" spans="2:12" x14ac:dyDescent="0.2">
      <c r="B550" s="133" t="s">
        <v>47</v>
      </c>
      <c r="C550" s="239" t="str">
        <f t="shared" si="87"/>
        <v>7440-48-4</v>
      </c>
      <c r="D550" s="341">
        <f>CONVERT(INDEX('Screening Emission Calculations'!$M$4:$M$54,MATCH($C550,'Screening Emission Calculations'!$C$4:$C$54,0)),"lbm","g")/8760/3600</f>
        <v>2.3380336714167288E-9</v>
      </c>
      <c r="E550" s="338">
        <f>CONVERT(INDEX('Screening Emission Calculations'!$M$83:$M$133,MATCH($C550,'Screening Emission Calculations'!$C$83:$C$133,0)),"lbm","g")/24/3600</f>
        <v>2.0481174961610544E-7</v>
      </c>
      <c r="F550" s="191">
        <f t="shared" si="91"/>
        <v>0</v>
      </c>
      <c r="G550" s="85">
        <f t="shared" si="91"/>
        <v>2.3380336714167286E-8</v>
      </c>
      <c r="H550" s="85">
        <f t="shared" si="91"/>
        <v>0</v>
      </c>
      <c r="I550" s="85">
        <f t="shared" si="91"/>
        <v>5.313712889583475E-9</v>
      </c>
      <c r="J550" s="85">
        <f t="shared" si="91"/>
        <v>0</v>
      </c>
      <c r="K550" s="85">
        <f t="shared" si="91"/>
        <v>5.313712889583475E-9</v>
      </c>
      <c r="L550" s="86">
        <f t="shared" si="89"/>
        <v>0</v>
      </c>
    </row>
    <row r="551" spans="2:12" x14ac:dyDescent="0.2">
      <c r="B551" s="133" t="s">
        <v>49</v>
      </c>
      <c r="C551" s="239" t="str">
        <f t="shared" si="87"/>
        <v>7440-50-8</v>
      </c>
      <c r="D551" s="341">
        <f>CONVERT(INDEX('Screening Emission Calculations'!$M$4:$M$54,MATCH($C551,'Screening Emission Calculations'!$C$4:$C$54,0)),"lbm","g")/8760/3600</f>
        <v>7.4534871114476457E-8</v>
      </c>
      <c r="E551" s="338">
        <f>CONVERT(INDEX('Screening Emission Calculations'!$M$83:$M$133,MATCH($C551,'Screening Emission Calculations'!$C$83:$C$133,0)),"lbm","g")/24/3600</f>
        <v>6.5292547096281395E-6</v>
      </c>
      <c r="F551" s="191">
        <f t="shared" si="91"/>
        <v>0</v>
      </c>
      <c r="G551" s="85">
        <f t="shared" si="91"/>
        <v>0</v>
      </c>
      <c r="H551" s="85">
        <f t="shared" si="91"/>
        <v>0</v>
      </c>
      <c r="I551" s="85">
        <f t="shared" si="91"/>
        <v>0</v>
      </c>
      <c r="J551" s="85">
        <f t="shared" si="91"/>
        <v>0</v>
      </c>
      <c r="K551" s="85">
        <f t="shared" si="91"/>
        <v>0</v>
      </c>
      <c r="L551" s="86">
        <f t="shared" si="89"/>
        <v>6.52925470962814E-8</v>
      </c>
    </row>
    <row r="552" spans="2:12" x14ac:dyDescent="0.2">
      <c r="B552" s="135" t="s">
        <v>140</v>
      </c>
      <c r="C552" s="239" t="str">
        <f t="shared" si="87"/>
        <v>53-70-3</v>
      </c>
      <c r="D552" s="341">
        <f>CONVERT(INDEX('Screening Emission Calculations'!$M$4:$M$54,MATCH($C552,'Screening Emission Calculations'!$C$4:$C$54,0)),"lbm","g")/8760/3600</f>
        <v>1.5644013190871977E-10</v>
      </c>
      <c r="E552" s="338">
        <f>CONVERT(INDEX('Screening Emission Calculations'!$M$83:$M$133,MATCH($C552,'Screening Emission Calculations'!$C$83:$C$133,0)),"lbm","g")/24/3600</f>
        <v>1.3514506742402255E-8</v>
      </c>
      <c r="F552" s="191">
        <f t="shared" si="91"/>
        <v>3.6381426025283664E-5</v>
      </c>
      <c r="G552" s="85">
        <f t="shared" si="91"/>
        <v>0</v>
      </c>
      <c r="H552" s="85">
        <f t="shared" si="91"/>
        <v>9.7775082442949854E-7</v>
      </c>
      <c r="I552" s="85">
        <f t="shared" si="91"/>
        <v>0</v>
      </c>
      <c r="J552" s="85">
        <f t="shared" si="91"/>
        <v>5.2146710636239924E-7</v>
      </c>
      <c r="K552" s="85">
        <f t="shared" si="91"/>
        <v>0</v>
      </c>
      <c r="L552" s="86">
        <f t="shared" si="89"/>
        <v>0</v>
      </c>
    </row>
    <row r="553" spans="2:12" x14ac:dyDescent="0.2">
      <c r="B553" s="133" t="s">
        <v>191</v>
      </c>
      <c r="C553" s="239">
        <f t="shared" si="87"/>
        <v>200</v>
      </c>
      <c r="D553" s="341">
        <f>CONVERT(INDEX('Screening Emission Calculations'!$M$4:$M$54,MATCH($C553,'Screening Emission Calculations'!$C$4:$C$54,0)),"lbm","g")/8760/3600</f>
        <v>3.5271140864457993E-3</v>
      </c>
      <c r="E553" s="338">
        <f>CONVERT(INDEX('Screening Emission Calculations'!$M$83:$M$133,MATCH($C553,'Screening Emission Calculations'!$C$83:$C$133,0)),"lbm","g")/24/3600</f>
        <v>0.30469935380971652</v>
      </c>
      <c r="F553" s="191">
        <f t="shared" si="91"/>
        <v>3.5271140864457991E-2</v>
      </c>
      <c r="G553" s="85">
        <f t="shared" si="91"/>
        <v>7.0542281728915989E-4</v>
      </c>
      <c r="H553" s="85">
        <f t="shared" si="91"/>
        <v>1.356582340940692E-3</v>
      </c>
      <c r="I553" s="85">
        <f t="shared" si="91"/>
        <v>1.6032336756571815E-4</v>
      </c>
      <c r="J553" s="85">
        <f t="shared" si="91"/>
        <v>2.9392617387048329E-3</v>
      </c>
      <c r="K553" s="85">
        <f t="shared" si="91"/>
        <v>1.6032336756571815E-4</v>
      </c>
      <c r="L553" s="86">
        <f t="shared" si="89"/>
        <v>0</v>
      </c>
    </row>
    <row r="554" spans="2:12" x14ac:dyDescent="0.2">
      <c r="B554" s="133" t="s">
        <v>53</v>
      </c>
      <c r="C554" s="239" t="str">
        <f t="shared" si="87"/>
        <v>100-41-4</v>
      </c>
      <c r="D554" s="341">
        <f>CONVERT(INDEX('Screening Emission Calculations'!$M$4:$M$54,MATCH($C554,'Screening Emission Calculations'!$C$4:$C$54,0)),"lbm","g")/8760/3600</f>
        <v>1.6443773970170753E-6</v>
      </c>
      <c r="E554" s="338">
        <f>CONVERT(INDEX('Screening Emission Calculations'!$M$83:$M$133,MATCH($C554,'Screening Emission Calculations'!$C$83:$C$133,0)),"lbm","g")/24/3600</f>
        <v>1.4205401867091146E-4</v>
      </c>
      <c r="F554" s="191">
        <f t="shared" si="91"/>
        <v>4.1109434925426878E-6</v>
      </c>
      <c r="G554" s="85">
        <f t="shared" si="91"/>
        <v>6.3245284500656738E-9</v>
      </c>
      <c r="H554" s="85">
        <f t="shared" si="91"/>
        <v>1.6443773970170752E-7</v>
      </c>
      <c r="I554" s="85">
        <f t="shared" si="91"/>
        <v>1.4948885427427958E-9</v>
      </c>
      <c r="J554" s="85">
        <f t="shared" si="91"/>
        <v>3.4257862437855737E-7</v>
      </c>
      <c r="K554" s="85">
        <f t="shared" si="91"/>
        <v>1.4948885427427958E-9</v>
      </c>
      <c r="L554" s="86">
        <f t="shared" si="89"/>
        <v>6.4570008486777938E-9</v>
      </c>
    </row>
    <row r="555" spans="2:12" x14ac:dyDescent="0.2">
      <c r="B555" s="137" t="s">
        <v>141</v>
      </c>
      <c r="C555" s="239" t="str">
        <f t="shared" si="87"/>
        <v>206-44-0</v>
      </c>
      <c r="D555" s="341">
        <f>CONVERT(INDEX('Screening Emission Calculations'!$M$4:$M$54,MATCH($C555,'Screening Emission Calculations'!$C$4:$C$54,0)),"lbm","g")/8760/3600</f>
        <v>5.5811263936046148E-8</v>
      </c>
      <c r="E555" s="338">
        <f>CONVERT(INDEX('Screening Emission Calculations'!$M$83:$M$133,MATCH($C555,'Screening Emission Calculations'!$C$83:$C$133,0)),"lbm","g")/24/3600</f>
        <v>4.8214079952693129E-6</v>
      </c>
      <c r="F555" s="191">
        <f t="shared" si="91"/>
        <v>1.0530427157744557E-4</v>
      </c>
      <c r="G555" s="85">
        <f t="shared" si="91"/>
        <v>0</v>
      </c>
      <c r="H555" s="85">
        <f t="shared" si="91"/>
        <v>2.7905631968023074E-6</v>
      </c>
      <c r="I555" s="85">
        <f t="shared" si="91"/>
        <v>0</v>
      </c>
      <c r="J555" s="85">
        <f t="shared" si="91"/>
        <v>1.4687174720012145E-6</v>
      </c>
      <c r="K555" s="85">
        <f t="shared" si="91"/>
        <v>0</v>
      </c>
      <c r="L555" s="86">
        <f t="shared" si="89"/>
        <v>0</v>
      </c>
    </row>
    <row r="556" spans="2:12" x14ac:dyDescent="0.2">
      <c r="B556" s="137" t="s">
        <v>142</v>
      </c>
      <c r="C556" s="239" t="str">
        <f t="shared" si="87"/>
        <v>86-73-7</v>
      </c>
      <c r="D556" s="341">
        <f>CONVERT(INDEX('Screening Emission Calculations'!$M$4:$M$54,MATCH($C556,'Screening Emission Calculations'!$C$4:$C$54,0)),"lbm","g")/8760/3600</f>
        <v>3.2953885416769653E-7</v>
      </c>
      <c r="E556" s="338">
        <f>CONVERT(INDEX('Screening Emission Calculations'!$M$83:$M$133,MATCH($C556,'Screening Emission Calculations'!$C$83:$C$133,0)),"lbm","g")/24/3600</f>
        <v>2.846811116939881E-5</v>
      </c>
      <c r="F556" s="191">
        <f t="shared" si="91"/>
        <v>0</v>
      </c>
      <c r="G556" s="85">
        <f t="shared" si="91"/>
        <v>0</v>
      </c>
      <c r="H556" s="85">
        <f t="shared" si="91"/>
        <v>0</v>
      </c>
      <c r="I556" s="85">
        <f t="shared" si="91"/>
        <v>0</v>
      </c>
      <c r="J556" s="85">
        <f t="shared" si="91"/>
        <v>0</v>
      </c>
      <c r="K556" s="85">
        <f t="shared" si="91"/>
        <v>0</v>
      </c>
      <c r="L556" s="86">
        <f t="shared" si="89"/>
        <v>0</v>
      </c>
    </row>
    <row r="557" spans="2:12" x14ac:dyDescent="0.2">
      <c r="B557" s="133" t="s">
        <v>59</v>
      </c>
      <c r="C557" s="239" t="str">
        <f t="shared" si="87"/>
        <v>50-00-0</v>
      </c>
      <c r="D557" s="341">
        <f>CONVERT(INDEX('Screening Emission Calculations'!$M$4:$M$54,MATCH($C557,'Screening Emission Calculations'!$C$4:$C$54,0)),"lbm","g")/8760/3600</f>
        <v>4.1043452244762341E-4</v>
      </c>
      <c r="E557" s="338">
        <f>CONVERT(INDEX('Screening Emission Calculations'!$M$83:$M$133,MATCH($C557,'Screening Emission Calculations'!$C$83:$C$133,0)),"lbm","g")/24/3600</f>
        <v>3.5371815421280262E-2</v>
      </c>
      <c r="F557" s="191">
        <f t="shared" si="91"/>
        <v>2.4143207202801374E-3</v>
      </c>
      <c r="G557" s="85">
        <f t="shared" si="91"/>
        <v>4.5603835827513711E-5</v>
      </c>
      <c r="H557" s="85">
        <f t="shared" si="91"/>
        <v>9.5449888941307771E-5</v>
      </c>
      <c r="I557" s="85">
        <f t="shared" si="91"/>
        <v>1.0260863061190586E-5</v>
      </c>
      <c r="J557" s="85">
        <f t="shared" si="91"/>
        <v>2.052172612238117E-4</v>
      </c>
      <c r="K557" s="85">
        <f t="shared" si="91"/>
        <v>1.0260863061190586E-5</v>
      </c>
      <c r="L557" s="86">
        <f t="shared" si="89"/>
        <v>7.2187378410776043E-4</v>
      </c>
    </row>
    <row r="558" spans="2:12" x14ac:dyDescent="0.2">
      <c r="B558" s="133" t="s">
        <v>61</v>
      </c>
      <c r="C558" s="239" t="str">
        <f t="shared" si="87"/>
        <v>110-54-3</v>
      </c>
      <c r="D558" s="341">
        <f>CONVERT(INDEX('Screening Emission Calculations'!$M$4:$M$54,MATCH($C558,'Screening Emission Calculations'!$C$4:$C$54,0)),"lbm","g")/8760/3600</f>
        <v>4.0581423834641582E-6</v>
      </c>
      <c r="E558" s="338">
        <f>CONVERT(INDEX('Screening Emission Calculations'!$M$83:$M$133,MATCH($C558,'Screening Emission Calculations'!$C$83:$C$133,0)),"lbm","g")/24/3600</f>
        <v>3.5057367910527697E-4</v>
      </c>
      <c r="F558" s="191">
        <f t="shared" si="91"/>
        <v>0</v>
      </c>
      <c r="G558" s="85">
        <f t="shared" si="91"/>
        <v>5.7973462620916543E-9</v>
      </c>
      <c r="H558" s="85">
        <f t="shared" si="91"/>
        <v>0</v>
      </c>
      <c r="I558" s="85">
        <f t="shared" si="91"/>
        <v>1.3090781882142446E-9</v>
      </c>
      <c r="J558" s="85">
        <f t="shared" si="91"/>
        <v>0</v>
      </c>
      <c r="K558" s="85">
        <f t="shared" si="91"/>
        <v>1.3090781882142446E-9</v>
      </c>
      <c r="L558" s="86">
        <f t="shared" si="89"/>
        <v>0</v>
      </c>
    </row>
    <row r="559" spans="2:12" x14ac:dyDescent="0.2">
      <c r="B559" s="133" t="s">
        <v>143</v>
      </c>
      <c r="C559" s="239" t="str">
        <f t="shared" si="87"/>
        <v>18540-29-9</v>
      </c>
      <c r="D559" s="341">
        <f>CONVERT(INDEX('Screening Emission Calculations'!$M$4:$M$54,MATCH($C559,'Screening Emission Calculations'!$C$4:$C$54,0)),"lbm","g")/8760/3600</f>
        <v>9.3729021240259432E-9</v>
      </c>
      <c r="E559" s="338">
        <f>CONVERT(INDEX('Screening Emission Calculations'!$M$83:$M$133,MATCH($C559,'Screening Emission Calculations'!$C$83:$C$133,0)),"lbm","g")/24/3600</f>
        <v>8.2106622606467261E-7</v>
      </c>
      <c r="F559" s="191">
        <f t="shared" ref="F559:K568" si="92">IF(INDEX($B$6:$L$56,MATCH($C559,$C$6:$C$56,0),MATCH(F$528,$B$5:$L$5,0))="",0,$D559/INDEX($B$6:$L$56,MATCH($C559,$C$6:$C$56,0),MATCH(F$528,$B$5:$L$5,0)))</f>
        <v>3.0235168142019172E-4</v>
      </c>
      <c r="G559" s="85">
        <f t="shared" si="92"/>
        <v>1.1292653161477039E-7</v>
      </c>
      <c r="H559" s="85">
        <f t="shared" si="92"/>
        <v>1.8024811776972969E-5</v>
      </c>
      <c r="I559" s="85">
        <f t="shared" si="92"/>
        <v>1.0651025140938572E-8</v>
      </c>
      <c r="J559" s="85">
        <f t="shared" si="92"/>
        <v>9.3729021240259422E-6</v>
      </c>
      <c r="K559" s="85">
        <f t="shared" si="92"/>
        <v>1.0651025140938572E-8</v>
      </c>
      <c r="L559" s="86">
        <f t="shared" si="89"/>
        <v>2.7368874202155755E-6</v>
      </c>
    </row>
    <row r="560" spans="2:12" x14ac:dyDescent="0.2">
      <c r="B560" s="133" t="s">
        <v>64</v>
      </c>
      <c r="C560" s="239" t="str">
        <f t="shared" si="87"/>
        <v>7647-01-0</v>
      </c>
      <c r="D560" s="341">
        <f>CONVERT(INDEX('Screening Emission Calculations'!$M$4:$M$54,MATCH($C560,'Screening Emission Calculations'!$C$4:$C$54,0)),"lbm","g")/8760/3600</f>
        <v>2.8105276060943219E-5</v>
      </c>
      <c r="E560" s="338">
        <f>CONVERT(INDEX('Screening Emission Calculations'!$M$83:$M$133,MATCH($C560,'Screening Emission Calculations'!$C$83:$C$133,0)),"lbm","g")/24/3600</f>
        <v>2.4279507961826423E-3</v>
      </c>
      <c r="F560" s="191">
        <f t="shared" si="92"/>
        <v>0</v>
      </c>
      <c r="G560" s="85">
        <f t="shared" si="92"/>
        <v>1.4052638030471609E-6</v>
      </c>
      <c r="H560" s="85">
        <f t="shared" si="92"/>
        <v>0</v>
      </c>
      <c r="I560" s="85">
        <f t="shared" si="92"/>
        <v>3.1937813705617296E-7</v>
      </c>
      <c r="J560" s="85">
        <f t="shared" si="92"/>
        <v>0</v>
      </c>
      <c r="K560" s="85">
        <f t="shared" si="92"/>
        <v>3.1937813705617296E-7</v>
      </c>
      <c r="L560" s="86">
        <f t="shared" si="89"/>
        <v>1.1561670458012583E-6</v>
      </c>
    </row>
    <row r="561" spans="2:14" x14ac:dyDescent="0.2">
      <c r="B561" s="137" t="s">
        <v>144</v>
      </c>
      <c r="C561" s="239" t="str">
        <f t="shared" ref="C561:C579" si="93">C38</f>
        <v>193-39-5</v>
      </c>
      <c r="D561" s="341">
        <f>CONVERT(INDEX('Screening Emission Calculations'!$M$4:$M$54,MATCH($C561,'Screening Emission Calculations'!$C$4:$C$54,0)),"lbm","g")/8760/3600</f>
        <v>1.615860807924338E-9</v>
      </c>
      <c r="E561" s="338">
        <f>CONVERT(INDEX('Screening Emission Calculations'!$M$83:$M$133,MATCH($C561,'Screening Emission Calculations'!$C$83:$C$133,0)),"lbm","g")/24/3600</f>
        <v>1.3959053547857452E-7</v>
      </c>
      <c r="F561" s="191">
        <f t="shared" si="92"/>
        <v>2.6489521441382591E-6</v>
      </c>
      <c r="G561" s="85">
        <f t="shared" si="92"/>
        <v>0</v>
      </c>
      <c r="H561" s="85">
        <f t="shared" si="92"/>
        <v>7.3448218542015371E-8</v>
      </c>
      <c r="I561" s="85">
        <f t="shared" si="92"/>
        <v>0</v>
      </c>
      <c r="J561" s="85">
        <f t="shared" si="92"/>
        <v>3.7578158323821819E-8</v>
      </c>
      <c r="K561" s="85">
        <f t="shared" si="92"/>
        <v>0</v>
      </c>
      <c r="L561" s="86">
        <f t="shared" ref="L561:L579" si="94">IF(INDEX($B$6:$L$56,MATCH($C561,$C$6:$C$56,0),MATCH(L$4,$B$4:$L$4,0))="",0,$E561/INDEX($B$6:$L$56,MATCH($C561,$C$6:$C$56,0),MATCH(L$4,$B$4:$L$4,0)))</f>
        <v>0</v>
      </c>
    </row>
    <row r="562" spans="2:14" x14ac:dyDescent="0.2">
      <c r="B562" s="133" t="s">
        <v>68</v>
      </c>
      <c r="C562" s="239" t="str">
        <f t="shared" si="93"/>
        <v>7439-92-1</v>
      </c>
      <c r="D562" s="341">
        <f>CONVERT(INDEX('Screening Emission Calculations'!$M$4:$M$54,MATCH($C562,'Screening Emission Calculations'!$C$4:$C$54,0)),"lbm","g")/8760/3600</f>
        <v>5.3981896319285397E-8</v>
      </c>
      <c r="E562" s="338">
        <f>CONVERT(INDEX('Screening Emission Calculations'!$M$83:$M$133,MATCH($C562,'Screening Emission Calculations'!$C$83:$C$133,0)),"lbm","g")/24/3600</f>
        <v>4.7288141175693999E-6</v>
      </c>
      <c r="F562" s="191">
        <f t="shared" si="92"/>
        <v>0</v>
      </c>
      <c r="G562" s="85">
        <f t="shared" si="92"/>
        <v>3.5987930879523598E-7</v>
      </c>
      <c r="H562" s="85">
        <f t="shared" si="92"/>
        <v>0</v>
      </c>
      <c r="I562" s="85">
        <f t="shared" si="92"/>
        <v>8.1790751998917262E-8</v>
      </c>
      <c r="J562" s="85">
        <f t="shared" si="92"/>
        <v>0</v>
      </c>
      <c r="K562" s="85">
        <f t="shared" si="92"/>
        <v>8.1790751998917262E-8</v>
      </c>
      <c r="L562" s="86">
        <f t="shared" si="94"/>
        <v>3.1525427450462667E-5</v>
      </c>
    </row>
    <row r="563" spans="2:14" x14ac:dyDescent="0.2">
      <c r="B563" s="133" t="s">
        <v>70</v>
      </c>
      <c r="C563" s="239" t="str">
        <f t="shared" si="93"/>
        <v>7439-96-5</v>
      </c>
      <c r="D563" s="341">
        <f>CONVERT(INDEX('Screening Emission Calculations'!$M$4:$M$54,MATCH($C563,'Screening Emission Calculations'!$C$4:$C$54,0)),"lbm","g")/8760/3600</f>
        <v>6.233009490693697E-8</v>
      </c>
      <c r="E563" s="338">
        <f>CONVERT(INDEX('Screening Emission Calculations'!$M$83:$M$133,MATCH($C563,'Screening Emission Calculations'!$C$83:$C$133,0)),"lbm","g")/24/3600</f>
        <v>5.4601163138476782E-6</v>
      </c>
      <c r="F563" s="191">
        <f t="shared" si="92"/>
        <v>0</v>
      </c>
      <c r="G563" s="85">
        <f t="shared" si="92"/>
        <v>6.9255661007707744E-7</v>
      </c>
      <c r="H563" s="85">
        <f t="shared" si="92"/>
        <v>0</v>
      </c>
      <c r="I563" s="85">
        <f t="shared" si="92"/>
        <v>1.5582523726734241E-7</v>
      </c>
      <c r="J563" s="85">
        <f t="shared" si="92"/>
        <v>0</v>
      </c>
      <c r="K563" s="85">
        <f t="shared" si="92"/>
        <v>1.5582523726734241E-7</v>
      </c>
      <c r="L563" s="86">
        <f t="shared" si="94"/>
        <v>1.8200387712825595E-5</v>
      </c>
    </row>
    <row r="564" spans="2:14" x14ac:dyDescent="0.2">
      <c r="B564" s="133" t="s">
        <v>72</v>
      </c>
      <c r="C564" s="239" t="str">
        <f t="shared" si="93"/>
        <v>7439-97-6</v>
      </c>
      <c r="D564" s="341">
        <f>CONVERT(INDEX('Screening Emission Calculations'!$M$4:$M$54,MATCH($C564,'Screening Emission Calculations'!$C$4:$C$54,0)),"lbm","g")/8760/3600</f>
        <v>2.24247047997105E-9</v>
      </c>
      <c r="E564" s="338">
        <f>CONVERT(INDEX('Screening Emission Calculations'!$M$83:$M$133,MATCH($C564,'Screening Emission Calculations'!$C$83:$C$133,0)),"lbm","g")/24/3600</f>
        <v>1.9644041404546401E-7</v>
      </c>
      <c r="F564" s="191">
        <f t="shared" si="92"/>
        <v>0</v>
      </c>
      <c r="G564" s="85">
        <f t="shared" si="92"/>
        <v>2.9122993246377274E-8</v>
      </c>
      <c r="H564" s="85">
        <f t="shared" si="92"/>
        <v>0</v>
      </c>
      <c r="I564" s="85">
        <f t="shared" si="92"/>
        <v>3.5594769523349998E-9</v>
      </c>
      <c r="J564" s="85">
        <f t="shared" si="92"/>
        <v>0</v>
      </c>
      <c r="K564" s="85">
        <f t="shared" si="92"/>
        <v>3.5594769523349998E-9</v>
      </c>
      <c r="L564" s="86">
        <f t="shared" si="94"/>
        <v>3.2740069007577339E-7</v>
      </c>
    </row>
    <row r="565" spans="2:14" x14ac:dyDescent="0.2">
      <c r="B565" s="133" t="s">
        <v>145</v>
      </c>
      <c r="C565" s="239" t="str">
        <f t="shared" si="93"/>
        <v>91-57-6</v>
      </c>
      <c r="D565" s="341">
        <f>CONVERT(INDEX('Screening Emission Calculations'!$M$4:$M$54,MATCH($C565,'Screening Emission Calculations'!$C$4:$C$54,0)),"lbm","g")/8760/3600</f>
        <v>1.8552661452445041E-6</v>
      </c>
      <c r="E565" s="338">
        <f>CONVERT(INDEX('Screening Emission Calculations'!$M$83:$M$133,MATCH($C565,'Screening Emission Calculations'!$C$83:$C$133,0)),"lbm","g")/24/3600</f>
        <v>1.6027221738400973E-4</v>
      </c>
      <c r="F565" s="191">
        <f t="shared" si="92"/>
        <v>0</v>
      </c>
      <c r="G565" s="85">
        <f t="shared" si="92"/>
        <v>0</v>
      </c>
      <c r="H565" s="85">
        <f t="shared" si="92"/>
        <v>0</v>
      </c>
      <c r="I565" s="85">
        <f t="shared" si="92"/>
        <v>0</v>
      </c>
      <c r="J565" s="85">
        <f t="shared" si="92"/>
        <v>0</v>
      </c>
      <c r="K565" s="85">
        <f t="shared" si="92"/>
        <v>0</v>
      </c>
      <c r="L565" s="86">
        <f t="shared" si="94"/>
        <v>0</v>
      </c>
    </row>
    <row r="566" spans="2:14" x14ac:dyDescent="0.2">
      <c r="B566" s="133" t="s">
        <v>146</v>
      </c>
      <c r="C566" s="239" t="str">
        <f t="shared" si="93"/>
        <v>91-20-3</v>
      </c>
      <c r="D566" s="341">
        <f>CONVERT(INDEX('Screening Emission Calculations'!$M$4:$M$54,MATCH($C566,'Screening Emission Calculations'!$C$4:$C$54,0)),"lbm","g")/8760/3600</f>
        <v>3.975529936258088E-6</v>
      </c>
      <c r="E566" s="338">
        <f>CONVERT(INDEX('Screening Emission Calculations'!$M$83:$M$133,MATCH($C566,'Screening Emission Calculations'!$C$83:$C$133,0)),"lbm","g")/24/3600</f>
        <v>3.4343697792028807E-4</v>
      </c>
      <c r="F566" s="191">
        <f t="shared" si="92"/>
        <v>1.3708723918131338E-4</v>
      </c>
      <c r="G566" s="85">
        <f t="shared" si="92"/>
        <v>1.0744675503400237E-6</v>
      </c>
      <c r="H566" s="85">
        <f t="shared" si="92"/>
        <v>5.2309604424448522E-6</v>
      </c>
      <c r="I566" s="85">
        <f t="shared" si="92"/>
        <v>2.484706210161305E-7</v>
      </c>
      <c r="J566" s="85">
        <f t="shared" si="92"/>
        <v>1.1358656960737395E-5</v>
      </c>
      <c r="K566" s="85">
        <f t="shared" si="92"/>
        <v>2.484706210161305E-7</v>
      </c>
      <c r="L566" s="86">
        <f t="shared" si="94"/>
        <v>1.7171848896014404E-6</v>
      </c>
    </row>
    <row r="567" spans="2:14" x14ac:dyDescent="0.2">
      <c r="B567" s="133" t="s">
        <v>78</v>
      </c>
      <c r="C567" s="384">
        <v>365</v>
      </c>
      <c r="D567" s="341">
        <f>CONVERT(INDEX('Screening Emission Calculations'!$M$4:$M$54,MATCH($C567,'Screening Emission Calculations'!$C$4:$C$54,0)),"lbm","g")/8760/3600</f>
        <v>2.7049368867502184E-8</v>
      </c>
      <c r="E567" s="338">
        <f>CONVERT(INDEX('Screening Emission Calculations'!$M$83:$M$133,MATCH($C567,'Screening Emission Calculations'!$C$83:$C$133,0)),"lbm","g")/24/3600</f>
        <v>2.3695247127931915E-6</v>
      </c>
      <c r="F567" s="191">
        <f t="shared" si="92"/>
        <v>7.1182549651321542E-6</v>
      </c>
      <c r="G567" s="85">
        <f t="shared" si="92"/>
        <v>1.932097776250156E-6</v>
      </c>
      <c r="H567" s="85">
        <f t="shared" si="92"/>
        <v>2.704936886750218E-7</v>
      </c>
      <c r="I567" s="85">
        <f t="shared" si="92"/>
        <v>4.3628014302422877E-7</v>
      </c>
      <c r="J567" s="85">
        <f t="shared" si="92"/>
        <v>5.8802975798917796E-7</v>
      </c>
      <c r="K567" s="85">
        <f t="shared" si="92"/>
        <v>4.3628014302422877E-7</v>
      </c>
      <c r="L567" s="86">
        <f t="shared" si="94"/>
        <v>1.1847623563965957E-5</v>
      </c>
      <c r="N567" s="59" t="s">
        <v>88</v>
      </c>
    </row>
    <row r="568" spans="2:14" x14ac:dyDescent="0.2">
      <c r="B568" s="133" t="s">
        <v>147</v>
      </c>
      <c r="C568" s="239" t="str">
        <f t="shared" si="93"/>
        <v>198-55-0</v>
      </c>
      <c r="D568" s="341">
        <f>CONVERT(INDEX('Screening Emission Calculations'!$M$4:$M$54,MATCH($C568,'Screening Emission Calculations'!$C$4:$C$54,0)),"lbm","g")/8760/3600</f>
        <v>1.7775064225371749E-10</v>
      </c>
      <c r="E568" s="338">
        <f>CONVERT(INDEX('Screening Emission Calculations'!$M$83:$M$133,MATCH($C568,'Screening Emission Calculations'!$C$83:$C$133,0)),"lbm","g")/24/3600</f>
        <v>1.5355473201760323E-8</v>
      </c>
      <c r="F568" s="191">
        <f t="shared" si="92"/>
        <v>0</v>
      </c>
      <c r="G568" s="85">
        <f t="shared" si="92"/>
        <v>0</v>
      </c>
      <c r="H568" s="85">
        <f t="shared" si="92"/>
        <v>0</v>
      </c>
      <c r="I568" s="85">
        <f t="shared" si="92"/>
        <v>0</v>
      </c>
      <c r="J568" s="85">
        <f t="shared" si="92"/>
        <v>0</v>
      </c>
      <c r="K568" s="85">
        <f t="shared" si="92"/>
        <v>0</v>
      </c>
      <c r="L568" s="86">
        <f t="shared" si="94"/>
        <v>0</v>
      </c>
      <c r="M568" s="77"/>
    </row>
    <row r="569" spans="2:14" x14ac:dyDescent="0.2">
      <c r="B569" s="133" t="s">
        <v>148</v>
      </c>
      <c r="C569" s="239" t="str">
        <f t="shared" si="93"/>
        <v>85-01-8</v>
      </c>
      <c r="D569" s="341">
        <f>CONVERT(INDEX('Screening Emission Calculations'!$M$4:$M$54,MATCH($C569,'Screening Emission Calculations'!$C$4:$C$54,0)),"lbm","g")/8760/3600</f>
        <v>6.8519946942660984E-7</v>
      </c>
      <c r="E569" s="338">
        <f>CONVERT(INDEX('Screening Emission Calculations'!$M$83:$M$133,MATCH($C569,'Screening Emission Calculations'!$C$83:$C$133,0)),"lbm","g")/24/3600</f>
        <v>5.9192821793703811E-5</v>
      </c>
      <c r="F569" s="191">
        <f t="shared" ref="F569:K579" si="95">IF(INDEX($B$6:$L$56,MATCH($C569,$C$6:$C$56,0),MATCH(F$528,$B$5:$L$5,0))="",0,$D569/INDEX($B$6:$L$56,MATCH($C569,$C$6:$C$56,0),MATCH(F$528,$B$5:$L$5,0)))</f>
        <v>0</v>
      </c>
      <c r="G569" s="85">
        <f t="shared" si="95"/>
        <v>0</v>
      </c>
      <c r="H569" s="85">
        <f t="shared" si="95"/>
        <v>0</v>
      </c>
      <c r="I569" s="85">
        <f t="shared" si="95"/>
        <v>0</v>
      </c>
      <c r="J569" s="85">
        <f t="shared" si="95"/>
        <v>0</v>
      </c>
      <c r="K569" s="85">
        <f t="shared" si="95"/>
        <v>0</v>
      </c>
      <c r="L569" s="86">
        <f t="shared" si="94"/>
        <v>0</v>
      </c>
    </row>
    <row r="570" spans="2:14" x14ac:dyDescent="0.2">
      <c r="B570" s="133" t="s">
        <v>83</v>
      </c>
      <c r="C570" s="239">
        <f t="shared" si="93"/>
        <v>504</v>
      </c>
      <c r="D570" s="341">
        <f>CONVERT(INDEX('Screening Emission Calculations'!$M$4:$M$54,MATCH($C570,'Screening Emission Calculations'!$C$4:$C$54,0)),"lbm","g")/8760/3600</f>
        <v>1.2474528434326569E-6</v>
      </c>
      <c r="E570" s="338">
        <f>CONVERT(INDEX('Screening Emission Calculations'!$M$83:$M$133,MATCH($C570,'Screening Emission Calculations'!$C$83:$C$133,0)),"lbm","g")/24/3600</f>
        <v>1.0927686908470073E-4</v>
      </c>
      <c r="F570" s="191">
        <f t="shared" si="95"/>
        <v>0</v>
      </c>
      <c r="G570" s="85">
        <f t="shared" si="95"/>
        <v>0</v>
      </c>
      <c r="H570" s="85">
        <f t="shared" si="95"/>
        <v>0</v>
      </c>
      <c r="I570" s="85">
        <f t="shared" si="95"/>
        <v>0</v>
      </c>
      <c r="J570" s="85">
        <f t="shared" si="95"/>
        <v>0</v>
      </c>
      <c r="K570" s="85">
        <f t="shared" si="95"/>
        <v>0</v>
      </c>
      <c r="L570" s="86">
        <f t="shared" si="94"/>
        <v>0</v>
      </c>
    </row>
    <row r="571" spans="2:14" x14ac:dyDescent="0.2">
      <c r="B571" s="133" t="s">
        <v>84</v>
      </c>
      <c r="C571" s="239" t="str">
        <f t="shared" si="93"/>
        <v>115-07-1</v>
      </c>
      <c r="D571" s="341">
        <f>CONVERT(INDEX('Screening Emission Calculations'!$M$4:$M$54,MATCH($C571,'Screening Emission Calculations'!$C$4:$C$54,0)),"lbm","g")/8760/3600</f>
        <v>7.0904346476883043E-5</v>
      </c>
      <c r="E571" s="338">
        <f>CONVERT(INDEX('Screening Emission Calculations'!$M$83:$M$133,MATCH($C571,'Screening Emission Calculations'!$C$83:$C$133,0)),"lbm","g")/24/3600</f>
        <v>6.125265025259485E-3</v>
      </c>
      <c r="F571" s="191">
        <f t="shared" si="95"/>
        <v>0</v>
      </c>
      <c r="G571" s="85">
        <f t="shared" si="95"/>
        <v>2.3634782158961015E-8</v>
      </c>
      <c r="H571" s="85">
        <f t="shared" si="95"/>
        <v>0</v>
      </c>
      <c r="I571" s="85">
        <f t="shared" si="95"/>
        <v>5.4541804982217726E-9</v>
      </c>
      <c r="J571" s="85">
        <f t="shared" si="95"/>
        <v>0</v>
      </c>
      <c r="K571" s="85">
        <f t="shared" si="95"/>
        <v>5.4541804982217726E-9</v>
      </c>
      <c r="L571" s="86">
        <f t="shared" si="94"/>
        <v>0</v>
      </c>
    </row>
    <row r="572" spans="2:14" x14ac:dyDescent="0.2">
      <c r="B572" s="133" t="s">
        <v>149</v>
      </c>
      <c r="C572" s="239" t="str">
        <f t="shared" si="93"/>
        <v>129-00-0</v>
      </c>
      <c r="D572" s="341">
        <f>CONVERT(INDEX('Screening Emission Calculations'!$M$4:$M$54,MATCH($C572,'Screening Emission Calculations'!$C$4:$C$54,0)),"lbm","g")/8760/3600</f>
        <v>1.8857538956617833E-7</v>
      </c>
      <c r="E572" s="338">
        <f>CONVERT(INDEX('Screening Emission Calculations'!$M$83:$M$133,MATCH($C572,'Screening Emission Calculations'!$C$83:$C$133,0)),"lbm","g")/24/3600</f>
        <v>1.6290598471434802E-5</v>
      </c>
      <c r="F572" s="191">
        <f t="shared" si="95"/>
        <v>0</v>
      </c>
      <c r="G572" s="85">
        <f t="shared" si="95"/>
        <v>0</v>
      </c>
      <c r="H572" s="85">
        <f t="shared" si="95"/>
        <v>0</v>
      </c>
      <c r="I572" s="85">
        <f t="shared" si="95"/>
        <v>0</v>
      </c>
      <c r="J572" s="85">
        <f t="shared" si="95"/>
        <v>0</v>
      </c>
      <c r="K572" s="85">
        <f t="shared" si="95"/>
        <v>0</v>
      </c>
      <c r="L572" s="86">
        <f t="shared" si="94"/>
        <v>0</v>
      </c>
    </row>
    <row r="573" spans="2:14" x14ac:dyDescent="0.2">
      <c r="B573" s="133" t="s">
        <v>150</v>
      </c>
      <c r="C573" s="239">
        <f t="shared" si="93"/>
        <v>401</v>
      </c>
      <c r="D573" s="341">
        <f>CONVERT(INDEX('Screening Emission Calculations'!$M$4:$M$54,MATCH($C573,'Screening Emission Calculations'!$C$4:$C$54,0)),"lbm","g")/8760/3600</f>
        <v>0</v>
      </c>
      <c r="E573" s="338">
        <f>CONVERT(INDEX('Screening Emission Calculations'!$M$83:$M$133,MATCH($C573,'Screening Emission Calculations'!$C$83:$C$133,0)),"lbm","g")/24/3600</f>
        <v>0</v>
      </c>
      <c r="F573" s="191">
        <f t="shared" si="95"/>
        <v>0</v>
      </c>
      <c r="G573" s="85">
        <f t="shared" si="95"/>
        <v>0</v>
      </c>
      <c r="H573" s="85">
        <f t="shared" si="95"/>
        <v>0</v>
      </c>
      <c r="I573" s="85">
        <f t="shared" si="95"/>
        <v>0</v>
      </c>
      <c r="J573" s="85">
        <f t="shared" si="95"/>
        <v>0</v>
      </c>
      <c r="K573" s="85">
        <f t="shared" si="95"/>
        <v>0</v>
      </c>
      <c r="L573" s="86">
        <f t="shared" si="94"/>
        <v>0</v>
      </c>
    </row>
    <row r="574" spans="2:14" x14ac:dyDescent="0.2">
      <c r="B574" s="133" t="s">
        <v>89</v>
      </c>
      <c r="C574" s="239" t="str">
        <f t="shared" si="93"/>
        <v>7782-49-2</v>
      </c>
      <c r="D574" s="341">
        <f>CONVERT(INDEX('Screening Emission Calculations'!$M$4:$M$54,MATCH($C574,'Screening Emission Calculations'!$C$4:$C$54,0)),"lbm","g")/8760/3600</f>
        <v>5.5868686461383169E-8</v>
      </c>
      <c r="E574" s="338">
        <f>CONVERT(INDEX('Screening Emission Calculations'!$M$83:$M$133,MATCH($C574,'Screening Emission Calculations'!$C$83:$C$133,0)),"lbm","g")/24/3600</f>
        <v>4.8940969340171664E-6</v>
      </c>
      <c r="F574" s="191">
        <f t="shared" si="95"/>
        <v>0</v>
      </c>
      <c r="G574" s="85">
        <f t="shared" si="95"/>
        <v>0</v>
      </c>
      <c r="H574" s="85">
        <f t="shared" si="95"/>
        <v>0</v>
      </c>
      <c r="I574" s="85">
        <f t="shared" si="95"/>
        <v>0</v>
      </c>
      <c r="J574" s="85">
        <f t="shared" si="95"/>
        <v>0</v>
      </c>
      <c r="K574" s="85">
        <f t="shared" si="95"/>
        <v>0</v>
      </c>
      <c r="L574" s="86">
        <f t="shared" si="94"/>
        <v>2.4470484670085832E-6</v>
      </c>
    </row>
    <row r="575" spans="2:14" x14ac:dyDescent="0.2">
      <c r="B575" s="133" t="s">
        <v>91</v>
      </c>
      <c r="C575" s="239" t="str">
        <f t="shared" si="93"/>
        <v>7440-22-4</v>
      </c>
      <c r="D575" s="341">
        <f>CONVERT(INDEX('Screening Emission Calculations'!$M$4:$M$54,MATCH($C575,'Screening Emission Calculations'!$C$4:$C$54,0)),"lbm","g")/8760/3600</f>
        <v>7.1268530221934281E-9</v>
      </c>
      <c r="E575" s="338">
        <f>CONVERT(INDEX('Screening Emission Calculations'!$M$83:$M$133,MATCH($C575,'Screening Emission Calculations'!$C$83:$C$133,0)),"lbm","g")/24/3600</f>
        <v>6.243123247441443E-7</v>
      </c>
      <c r="F575" s="191">
        <f t="shared" si="95"/>
        <v>0</v>
      </c>
      <c r="G575" s="85">
        <f t="shared" si="95"/>
        <v>0</v>
      </c>
      <c r="H575" s="85">
        <f t="shared" si="95"/>
        <v>0</v>
      </c>
      <c r="I575" s="85">
        <f t="shared" si="95"/>
        <v>0</v>
      </c>
      <c r="J575" s="85">
        <f t="shared" si="95"/>
        <v>0</v>
      </c>
      <c r="K575" s="85">
        <f t="shared" si="95"/>
        <v>0</v>
      </c>
      <c r="L575" s="86">
        <f t="shared" si="94"/>
        <v>0</v>
      </c>
    </row>
    <row r="576" spans="2:14" x14ac:dyDescent="0.2">
      <c r="B576" s="133" t="s">
        <v>93</v>
      </c>
      <c r="C576" s="239" t="str">
        <f t="shared" si="93"/>
        <v>7440-28-0</v>
      </c>
      <c r="D576" s="341">
        <f>CONVERT(INDEX('Screening Emission Calculations'!$M$4:$M$54,MATCH($C576,'Screening Emission Calculations'!$C$4:$C$54,0)),"lbm","g")/8760/3600</f>
        <v>3.5638511912739661E-8</v>
      </c>
      <c r="E576" s="338">
        <f>CONVERT(INDEX('Screening Emission Calculations'!$M$83:$M$133,MATCH($C576,'Screening Emission Calculations'!$C$83:$C$133,0)),"lbm","g")/24/3600</f>
        <v>3.1219336435559944E-6</v>
      </c>
      <c r="F576" s="191">
        <f t="shared" si="95"/>
        <v>0</v>
      </c>
      <c r="G576" s="85">
        <f t="shared" si="95"/>
        <v>0</v>
      </c>
      <c r="H576" s="85">
        <f t="shared" si="95"/>
        <v>0</v>
      </c>
      <c r="I576" s="85">
        <f t="shared" si="95"/>
        <v>0</v>
      </c>
      <c r="J576" s="85">
        <f t="shared" si="95"/>
        <v>0</v>
      </c>
      <c r="K576" s="85">
        <f t="shared" si="95"/>
        <v>0</v>
      </c>
      <c r="L576" s="86">
        <f t="shared" si="94"/>
        <v>0</v>
      </c>
    </row>
    <row r="577" spans="1:14" x14ac:dyDescent="0.2">
      <c r="B577" s="133" t="s">
        <v>95</v>
      </c>
      <c r="C577" s="239" t="str">
        <f t="shared" si="93"/>
        <v>108-88-3</v>
      </c>
      <c r="D577" s="341">
        <f>CONVERT(INDEX('Screening Emission Calculations'!$M$4:$M$54,MATCH($C577,'Screening Emission Calculations'!$C$4:$C$54,0)),"lbm","g")/8760/3600</f>
        <v>1.5900676848220155E-5</v>
      </c>
      <c r="E577" s="338">
        <f>CONVERT(INDEX('Screening Emission Calculations'!$M$83:$M$133,MATCH($C577,'Screening Emission Calculations'!$C$83:$C$133,0)),"lbm","g")/24/3600</f>
        <v>1.3736232631113823E-3</v>
      </c>
      <c r="F577" s="191">
        <f t="shared" si="95"/>
        <v>0</v>
      </c>
      <c r="G577" s="85">
        <f t="shared" si="95"/>
        <v>3.1801353696440311E-9</v>
      </c>
      <c r="H577" s="85">
        <f t="shared" si="95"/>
        <v>0</v>
      </c>
      <c r="I577" s="85">
        <f t="shared" si="95"/>
        <v>7.2275803855546156E-10</v>
      </c>
      <c r="J577" s="85">
        <f t="shared" si="95"/>
        <v>0</v>
      </c>
      <c r="K577" s="85">
        <f t="shared" si="95"/>
        <v>7.2275803855546156E-10</v>
      </c>
      <c r="L577" s="86">
        <f t="shared" si="94"/>
        <v>1.8314976841485098E-7</v>
      </c>
    </row>
    <row r="578" spans="1:14" x14ac:dyDescent="0.2">
      <c r="B578" s="133" t="s">
        <v>97</v>
      </c>
      <c r="C578" s="239" t="str">
        <f t="shared" si="93"/>
        <v>1330-20-7</v>
      </c>
      <c r="D578" s="341">
        <f>CONVERT(INDEX('Screening Emission Calculations'!$M$4:$M$54,MATCH($C578,'Screening Emission Calculations'!$C$4:$C$54,0)),"lbm","g")/8760/3600</f>
        <v>6.3964772140847679E-6</v>
      </c>
      <c r="E578" s="338">
        <f>CONVERT(INDEX('Screening Emission Calculations'!$M$83:$M$133,MATCH($C578,'Screening Emission Calculations'!$C$83:$C$133,0)),"lbm","g")/24/3600</f>
        <v>5.5257710015106849E-4</v>
      </c>
      <c r="F578" s="191">
        <f t="shared" si="95"/>
        <v>0</v>
      </c>
      <c r="G578" s="85">
        <f t="shared" si="95"/>
        <v>2.9074896427658035E-8</v>
      </c>
      <c r="H578" s="85">
        <f t="shared" si="95"/>
        <v>0</v>
      </c>
      <c r="I578" s="85">
        <f t="shared" si="95"/>
        <v>6.5943064062729567E-9</v>
      </c>
      <c r="J578" s="85">
        <f t="shared" si="95"/>
        <v>0</v>
      </c>
      <c r="K578" s="85">
        <f t="shared" si="95"/>
        <v>6.5943064062729567E-9</v>
      </c>
      <c r="L578" s="86">
        <f t="shared" si="94"/>
        <v>6.3514609212766492E-8</v>
      </c>
    </row>
    <row r="579" spans="1:14" ht="15.75" thickBot="1" x14ac:dyDescent="0.25">
      <c r="B579" s="135" t="s">
        <v>99</v>
      </c>
      <c r="C579" s="239" t="str">
        <f t="shared" si="93"/>
        <v>7440-66-6</v>
      </c>
      <c r="D579" s="341">
        <f>CONVERT(INDEX('Screening Emission Calculations'!$M$4:$M$54,MATCH($C579,'Screening Emission Calculations'!$C$4:$C$54,0)),"lbm","g")/8760/3600</f>
        <v>7.7575205923955235E-7</v>
      </c>
      <c r="E579" s="86">
        <f>CONVERT(INDEX('Screening Emission Calculations'!$M$83:$M$133,MATCH($C579,'Screening Emission Calculations'!$C$83:$C$133,0)),"lbm","g")/24/3600</f>
        <v>6.7955880389384789E-5</v>
      </c>
      <c r="F579" s="191">
        <f t="shared" si="95"/>
        <v>0</v>
      </c>
      <c r="G579" s="85">
        <f t="shared" si="95"/>
        <v>0</v>
      </c>
      <c r="H579" s="85">
        <f t="shared" si="95"/>
        <v>0</v>
      </c>
      <c r="I579" s="85">
        <f t="shared" si="95"/>
        <v>0</v>
      </c>
      <c r="J579" s="85">
        <f t="shared" si="95"/>
        <v>0</v>
      </c>
      <c r="K579" s="85">
        <f t="shared" si="95"/>
        <v>0</v>
      </c>
      <c r="L579" s="86">
        <f t="shared" si="94"/>
        <v>0</v>
      </c>
    </row>
    <row r="580" spans="1:14" ht="15.75" thickBot="1" x14ac:dyDescent="0.25">
      <c r="B580" s="660" t="s">
        <v>214</v>
      </c>
      <c r="C580" s="661"/>
      <c r="D580" s="661"/>
      <c r="E580" s="662"/>
      <c r="F580" s="193">
        <f>SUM(F529:F579)</f>
        <v>4.1725693318836084E-2</v>
      </c>
      <c r="G580" s="151">
        <f t="shared" ref="G580:L580" si="96">SUM(G529:G579)</f>
        <v>1.0436616261002294E-3</v>
      </c>
      <c r="H580" s="151">
        <f t="shared" si="96"/>
        <v>1.5749270067645781E-3</v>
      </c>
      <c r="I580" s="151">
        <f t="shared" si="96"/>
        <v>1.9915681612198859E-4</v>
      </c>
      <c r="J580" s="151">
        <f t="shared" si="96"/>
        <v>3.3619356420677257E-3</v>
      </c>
      <c r="K580" s="151">
        <f t="shared" si="96"/>
        <v>1.9915681612198859E-4</v>
      </c>
      <c r="L580" s="152">
        <f t="shared" si="96"/>
        <v>1.1285715499596805E-3</v>
      </c>
    </row>
    <row r="581" spans="1:14" ht="13.5" x14ac:dyDescent="0.2">
      <c r="A581" s="147">
        <v>1</v>
      </c>
      <c r="B581" s="143" t="str">
        <f>$B$174</f>
        <v>If the toxic is listed in the Risk-Based Concentrations (Table 2) in OAR Chapter 340-245-8010, then it's considered a permitted toxic. Emission rate is normalized based on operational hours of 8,760 hrs/yr or 24 hrs/day.</v>
      </c>
      <c r="C581" s="144"/>
      <c r="D581" s="144"/>
      <c r="E581" s="144"/>
      <c r="F581" s="144"/>
      <c r="G581" s="144"/>
      <c r="H581" s="144"/>
      <c r="I581" s="144"/>
      <c r="J581" s="144"/>
      <c r="K581" s="144"/>
      <c r="L581" s="144"/>
    </row>
    <row r="582" spans="1:14" s="432" customFormat="1" ht="13.5" x14ac:dyDescent="0.2">
      <c r="A582" s="593"/>
      <c r="B582" s="594"/>
      <c r="C582" s="595"/>
      <c r="D582" s="595"/>
      <c r="E582" s="595"/>
      <c r="F582" s="595"/>
      <c r="G582" s="595"/>
      <c r="H582" s="595"/>
      <c r="I582" s="595"/>
      <c r="J582" s="595"/>
      <c r="K582" s="595"/>
      <c r="L582" s="596"/>
    </row>
    <row r="583" spans="1:14" x14ac:dyDescent="0.2">
      <c r="F583" s="77"/>
      <c r="G583" s="77"/>
      <c r="H583" s="77"/>
      <c r="I583" s="77"/>
      <c r="J583" s="77"/>
      <c r="K583" s="77"/>
      <c r="L583" s="77"/>
    </row>
    <row r="584" spans="1:14" ht="15.75" thickBot="1" x14ac:dyDescent="0.25">
      <c r="B584" s="56" t="s">
        <v>215</v>
      </c>
      <c r="C584" s="69"/>
      <c r="D584" s="69"/>
      <c r="E584" s="69"/>
      <c r="F584" s="69"/>
      <c r="G584" s="69"/>
      <c r="H584" s="69"/>
      <c r="I584" s="69"/>
      <c r="J584" s="77"/>
      <c r="K584" s="77"/>
      <c r="L584" s="77"/>
    </row>
    <row r="585" spans="1:14" ht="27" x14ac:dyDescent="0.2">
      <c r="B585" s="646" t="s">
        <v>216</v>
      </c>
      <c r="C585" s="644" t="s">
        <v>217</v>
      </c>
      <c r="D585" s="571" t="s">
        <v>218</v>
      </c>
      <c r="E585" s="232" t="s">
        <v>219</v>
      </c>
      <c r="F585" s="571" t="s">
        <v>220</v>
      </c>
      <c r="G585" s="232" t="s">
        <v>221</v>
      </c>
      <c r="H585" s="571" t="s">
        <v>188</v>
      </c>
      <c r="I585" s="232" t="s">
        <v>222</v>
      </c>
      <c r="J585" s="573" t="s">
        <v>223</v>
      </c>
      <c r="L585" s="77"/>
      <c r="N585" s="260" t="s">
        <v>224</v>
      </c>
    </row>
    <row r="586" spans="1:14" ht="20.45" customHeight="1" thickBot="1" x14ac:dyDescent="0.25">
      <c r="B586" s="647"/>
      <c r="C586" s="645"/>
      <c r="D586" s="642" t="s">
        <v>1190</v>
      </c>
      <c r="E586" s="643"/>
      <c r="F586" s="642" t="s">
        <v>1190</v>
      </c>
      <c r="G586" s="643"/>
      <c r="H586" s="642" t="s">
        <v>1190</v>
      </c>
      <c r="I586" s="643"/>
      <c r="J586" s="597" t="s">
        <v>1190</v>
      </c>
      <c r="K586" s="572"/>
      <c r="L586" s="77"/>
      <c r="N586" s="260"/>
    </row>
    <row r="587" spans="1:14" x14ac:dyDescent="0.2">
      <c r="B587" s="598" t="s">
        <v>152</v>
      </c>
      <c r="C587" s="599" t="s">
        <v>225</v>
      </c>
      <c r="D587" s="98">
        <f t="shared" ref="D587:J587" si="97">F115</f>
        <v>2.1671484126837341E-2</v>
      </c>
      <c r="E587" s="240">
        <f t="shared" si="97"/>
        <v>5.420568135559333E-4</v>
      </c>
      <c r="F587" s="241">
        <f t="shared" si="97"/>
        <v>8.1798534459865682E-4</v>
      </c>
      <c r="G587" s="240">
        <f t="shared" si="97"/>
        <v>1.034380362804127E-4</v>
      </c>
      <c r="H587" s="241">
        <f t="shared" si="97"/>
        <v>1.7461216125468036E-3</v>
      </c>
      <c r="I587" s="240">
        <f t="shared" si="97"/>
        <v>1.034380362804127E-4</v>
      </c>
      <c r="J587" s="242">
        <f t="shared" si="97"/>
        <v>5.861573166457255E-4</v>
      </c>
      <c r="L587" s="77"/>
      <c r="N587" s="166" t="s">
        <v>225</v>
      </c>
    </row>
    <row r="588" spans="1:14" x14ac:dyDescent="0.2">
      <c r="B588" s="600" t="s">
        <v>156</v>
      </c>
      <c r="C588" s="601" t="s">
        <v>226</v>
      </c>
      <c r="D588" s="98">
        <f t="shared" ref="D588:J588" si="98">F173</f>
        <v>2.3167463441563063E-2</v>
      </c>
      <c r="E588" s="240">
        <f t="shared" si="98"/>
        <v>5.7947491449169739E-4</v>
      </c>
      <c r="F588" s="241">
        <f t="shared" si="98"/>
        <v>8.7445075084893742E-4</v>
      </c>
      <c r="G588" s="240">
        <f t="shared" si="98"/>
        <v>1.1057834848633674E-4</v>
      </c>
      <c r="H588" s="241">
        <f t="shared" si="98"/>
        <v>1.8666561268457433E-3</v>
      </c>
      <c r="I588" s="240">
        <f t="shared" si="98"/>
        <v>1.1057834848633674E-4</v>
      </c>
      <c r="J588" s="242">
        <f t="shared" si="98"/>
        <v>6.2661966872761302E-4</v>
      </c>
      <c r="N588" s="166" t="s">
        <v>226</v>
      </c>
    </row>
    <row r="589" spans="1:14" x14ac:dyDescent="0.2">
      <c r="B589" s="600" t="s">
        <v>227</v>
      </c>
      <c r="C589" s="601" t="s">
        <v>228</v>
      </c>
      <c r="D589" s="98">
        <f t="shared" ref="D589:J589" si="99">F231</f>
        <v>2.9070516953723986E-2</v>
      </c>
      <c r="E589" s="240">
        <f t="shared" si="99"/>
        <v>7.2712471818417164E-4</v>
      </c>
      <c r="F589" s="241">
        <f t="shared" si="99"/>
        <v>1.0972601917284221E-3</v>
      </c>
      <c r="G589" s="240">
        <f t="shared" si="99"/>
        <v>1.3875363448809095E-4</v>
      </c>
      <c r="H589" s="241">
        <f t="shared" si="99"/>
        <v>2.3422788048902089E-3</v>
      </c>
      <c r="I589" s="240">
        <f t="shared" si="99"/>
        <v>1.3875363448809095E-4</v>
      </c>
      <c r="J589" s="242">
        <f t="shared" si="99"/>
        <v>7.8628192288857568E-4</v>
      </c>
      <c r="L589" s="77"/>
      <c r="N589" s="166" t="s">
        <v>228</v>
      </c>
    </row>
    <row r="590" spans="1:14" x14ac:dyDescent="0.2">
      <c r="B590" s="600" t="s">
        <v>229</v>
      </c>
      <c r="C590" s="601" t="s">
        <v>230</v>
      </c>
      <c r="D590" s="98">
        <f t="shared" ref="D590:J590" si="100">F289</f>
        <v>5.1914525408319319E-2</v>
      </c>
      <c r="E590" s="240">
        <f t="shared" si="100"/>
        <v>1.2985092324735411E-3</v>
      </c>
      <c r="F590" s="241">
        <f t="shared" si="100"/>
        <v>1.9595022060908125E-3</v>
      </c>
      <c r="G590" s="240">
        <f t="shared" si="100"/>
        <v>2.4778813168666025E-4</v>
      </c>
      <c r="H590" s="241">
        <f t="shared" si="100"/>
        <v>4.1828734151307754E-3</v>
      </c>
      <c r="I590" s="240">
        <f t="shared" si="100"/>
        <v>2.4778813168666025E-4</v>
      </c>
      <c r="J590" s="242">
        <f t="shared" si="100"/>
        <v>1.4041529749498349E-3</v>
      </c>
      <c r="L590" s="77"/>
      <c r="N590" s="166" t="s">
        <v>230</v>
      </c>
    </row>
    <row r="591" spans="1:14" x14ac:dyDescent="0.2">
      <c r="B591" s="600" t="s">
        <v>231</v>
      </c>
      <c r="C591" s="601" t="s">
        <v>232</v>
      </c>
      <c r="D591" s="98">
        <f t="shared" ref="D591:J591" si="101">F347</f>
        <v>5.6159872112270671E-2</v>
      </c>
      <c r="E591" s="240">
        <f t="shared" si="101"/>
        <v>1.4046957351290881E-3</v>
      </c>
      <c r="F591" s="241">
        <f t="shared" si="101"/>
        <v>2.1197418724767441E-3</v>
      </c>
      <c r="G591" s="240">
        <f t="shared" si="101"/>
        <v>2.6805117983860684E-4</v>
      </c>
      <c r="H591" s="241">
        <f t="shared" si="101"/>
        <v>4.5249308205737122E-3</v>
      </c>
      <c r="I591" s="240">
        <f t="shared" si="101"/>
        <v>2.6805117983860684E-4</v>
      </c>
      <c r="J591" s="242">
        <f t="shared" si="101"/>
        <v>1.5189785686957329E-3</v>
      </c>
      <c r="L591" s="77"/>
      <c r="N591" s="166" t="s">
        <v>232</v>
      </c>
    </row>
    <row r="592" spans="1:14" x14ac:dyDescent="0.2">
      <c r="B592" s="600" t="s">
        <v>233</v>
      </c>
      <c r="C592" s="601" t="s">
        <v>234</v>
      </c>
      <c r="D592" s="98">
        <f t="shared" ref="D592:J592" si="102">F405</f>
        <v>5.1791531747919901E-2</v>
      </c>
      <c r="E592" s="240">
        <f t="shared" si="102"/>
        <v>1.2462082463435724E-3</v>
      </c>
      <c r="F592" s="241">
        <f t="shared" si="102"/>
        <v>2.0060791228828003E-3</v>
      </c>
      <c r="G592" s="240">
        <f t="shared" si="102"/>
        <v>2.3854273865953147E-4</v>
      </c>
      <c r="H592" s="241">
        <f t="shared" si="102"/>
        <v>4.0592705015527475E-3</v>
      </c>
      <c r="I592" s="240">
        <f t="shared" si="102"/>
        <v>2.3854273865953147E-4</v>
      </c>
      <c r="J592" s="242">
        <f t="shared" si="102"/>
        <v>1.4103894898665323E-3</v>
      </c>
      <c r="L592" s="77"/>
      <c r="N592" s="166" t="s">
        <v>234</v>
      </c>
    </row>
    <row r="593" spans="2:14" x14ac:dyDescent="0.2">
      <c r="B593" s="600" t="s">
        <v>235</v>
      </c>
      <c r="C593" s="601" t="s">
        <v>236</v>
      </c>
      <c r="D593" s="98">
        <f t="shared" ref="D593:J593" si="103">F463</f>
        <v>6.5903953594673298E-2</v>
      </c>
      <c r="E593" s="240">
        <f t="shared" si="103"/>
        <v>1.6484190412242002E-3</v>
      </c>
      <c r="F593" s="241">
        <f t="shared" si="103"/>
        <v>2.4875300591339754E-3</v>
      </c>
      <c r="G593" s="240">
        <f t="shared" si="103"/>
        <v>3.1455969988259839E-4</v>
      </c>
      <c r="H593" s="241">
        <f t="shared" si="103"/>
        <v>5.3100340083046468E-3</v>
      </c>
      <c r="I593" s="240">
        <f t="shared" si="103"/>
        <v>3.1455969988259839E-4</v>
      </c>
      <c r="J593" s="242">
        <f t="shared" si="103"/>
        <v>1.7825306457696505E-3</v>
      </c>
      <c r="L593" s="77"/>
      <c r="N593" s="166" t="s">
        <v>236</v>
      </c>
    </row>
    <row r="594" spans="2:14" x14ac:dyDescent="0.2">
      <c r="B594" s="600" t="s">
        <v>126</v>
      </c>
      <c r="C594" s="601" t="s">
        <v>237</v>
      </c>
      <c r="D594" s="98">
        <f t="shared" ref="D594:J594" si="104">F521</f>
        <v>0.18727761262984358</v>
      </c>
      <c r="E594" s="240">
        <f t="shared" si="104"/>
        <v>3.854179383616057E-3</v>
      </c>
      <c r="F594" s="241">
        <f t="shared" si="104"/>
        <v>7.1874518254835115E-3</v>
      </c>
      <c r="G594" s="240">
        <f t="shared" si="104"/>
        <v>8.5619316583953199E-4</v>
      </c>
      <c r="H594" s="241">
        <f t="shared" si="104"/>
        <v>1.5546632321130655E-2</v>
      </c>
      <c r="I594" s="240">
        <f t="shared" si="104"/>
        <v>8.5619316583953199E-4</v>
      </c>
      <c r="J594" s="242">
        <f t="shared" si="104"/>
        <v>5.861573166457255E-4</v>
      </c>
      <c r="L594" s="77"/>
      <c r="N594" s="166" t="s">
        <v>237</v>
      </c>
    </row>
    <row r="595" spans="2:14" x14ac:dyDescent="0.2">
      <c r="B595" s="602" t="s">
        <v>238</v>
      </c>
      <c r="C595" s="603" t="s">
        <v>239</v>
      </c>
      <c r="D595" s="243">
        <f t="shared" ref="D595:J595" si="105">F580</f>
        <v>4.1725693318836084E-2</v>
      </c>
      <c r="E595" s="244">
        <f t="shared" si="105"/>
        <v>1.0436616261002294E-3</v>
      </c>
      <c r="F595" s="245">
        <f t="shared" si="105"/>
        <v>1.5749270067645781E-3</v>
      </c>
      <c r="G595" s="244">
        <f t="shared" si="105"/>
        <v>1.9915681612198859E-4</v>
      </c>
      <c r="H595" s="245">
        <f t="shared" si="105"/>
        <v>3.3619356420677257E-3</v>
      </c>
      <c r="I595" s="244">
        <f t="shared" si="105"/>
        <v>1.9915681612198859E-4</v>
      </c>
      <c r="J595" s="246">
        <f t="shared" si="105"/>
        <v>1.1285715499596805E-3</v>
      </c>
      <c r="L595" s="77"/>
      <c r="N595" s="166" t="s">
        <v>239</v>
      </c>
    </row>
    <row r="596" spans="2:14" x14ac:dyDescent="0.25">
      <c r="C596" s="2"/>
      <c r="E596" s="2"/>
      <c r="F596" s="83"/>
      <c r="G596" s="2"/>
      <c r="H596" s="83"/>
      <c r="I596" s="2"/>
      <c r="J596" s="83"/>
      <c r="K596" s="83"/>
      <c r="L596" s="83"/>
    </row>
    <row r="597" spans="2:14" x14ac:dyDescent="0.25">
      <c r="B597" s="59" t="s">
        <v>240</v>
      </c>
      <c r="C597" s="2"/>
      <c r="E597" s="2"/>
      <c r="F597" s="83"/>
      <c r="G597" s="2"/>
      <c r="H597" s="83"/>
      <c r="I597" s="2"/>
      <c r="J597" s="83"/>
      <c r="K597" s="83"/>
      <c r="L597" s="83"/>
    </row>
    <row r="598" spans="2:14" ht="27" x14ac:dyDescent="0.2">
      <c r="B598" s="567" t="s">
        <v>241</v>
      </c>
      <c r="C598" s="568" t="s">
        <v>218</v>
      </c>
      <c r="D598" s="568" t="s">
        <v>219</v>
      </c>
      <c r="E598" s="568" t="s">
        <v>220</v>
      </c>
      <c r="F598" s="568" t="s">
        <v>221</v>
      </c>
      <c r="G598" s="568" t="s">
        <v>188</v>
      </c>
      <c r="H598" s="569" t="s">
        <v>222</v>
      </c>
      <c r="I598" s="561"/>
    </row>
    <row r="599" spans="2:14" x14ac:dyDescent="0.2">
      <c r="B599" s="435">
        <v>1</v>
      </c>
      <c r="C599" s="565" t="str">
        <f t="shared" ref="C599:H607" si="106">INDEX($C$587:$C$595,MATCH(LARGE(D$587:D$595,$B599),D$587:D$595,0))</f>
        <v>Type H</v>
      </c>
      <c r="D599" s="565" t="str">
        <f t="shared" si="106"/>
        <v>Type H</v>
      </c>
      <c r="E599" s="565" t="str">
        <f t="shared" si="106"/>
        <v>Type H</v>
      </c>
      <c r="F599" s="565" t="str">
        <f t="shared" si="106"/>
        <v>Type H</v>
      </c>
      <c r="G599" s="565" t="str">
        <f t="shared" si="106"/>
        <v>Type H</v>
      </c>
      <c r="H599" s="563" t="str">
        <f t="shared" si="106"/>
        <v>Type H</v>
      </c>
    </row>
    <row r="600" spans="2:14" x14ac:dyDescent="0.2">
      <c r="B600" s="435">
        <v>2</v>
      </c>
      <c r="C600" s="565" t="str">
        <f t="shared" si="106"/>
        <v>Type G</v>
      </c>
      <c r="D600" s="565" t="str">
        <f t="shared" si="106"/>
        <v>Type G</v>
      </c>
      <c r="E600" s="565" t="str">
        <f t="shared" si="106"/>
        <v>Type G</v>
      </c>
      <c r="F600" s="565" t="str">
        <f t="shared" si="106"/>
        <v>Type G</v>
      </c>
      <c r="G600" s="565" t="str">
        <f t="shared" si="106"/>
        <v>Type G</v>
      </c>
      <c r="H600" s="563" t="str">
        <f t="shared" si="106"/>
        <v>Type G</v>
      </c>
    </row>
    <row r="601" spans="2:14" x14ac:dyDescent="0.2">
      <c r="B601" s="435">
        <v>3</v>
      </c>
      <c r="C601" s="565" t="str">
        <f t="shared" si="106"/>
        <v>Type E</v>
      </c>
      <c r="D601" s="565" t="str">
        <f t="shared" si="106"/>
        <v>Type E</v>
      </c>
      <c r="E601" s="565" t="str">
        <f t="shared" si="106"/>
        <v>Type E</v>
      </c>
      <c r="F601" s="565" t="str">
        <f t="shared" si="106"/>
        <v>Type E</v>
      </c>
      <c r="G601" s="565" t="str">
        <f t="shared" si="106"/>
        <v>Type E</v>
      </c>
      <c r="H601" s="563" t="str">
        <f t="shared" si="106"/>
        <v>Type E</v>
      </c>
    </row>
    <row r="602" spans="2:14" x14ac:dyDescent="0.2">
      <c r="B602" s="435">
        <v>4</v>
      </c>
      <c r="C602" s="565" t="str">
        <f t="shared" si="106"/>
        <v>Type D</v>
      </c>
      <c r="D602" s="565" t="str">
        <f t="shared" si="106"/>
        <v>Type D</v>
      </c>
      <c r="E602" s="565" t="str">
        <f t="shared" si="106"/>
        <v>Type F</v>
      </c>
      <c r="F602" s="565" t="str">
        <f t="shared" si="106"/>
        <v>Type D</v>
      </c>
      <c r="G602" s="565" t="str">
        <f t="shared" si="106"/>
        <v>Type D</v>
      </c>
      <c r="H602" s="563" t="str">
        <f t="shared" si="106"/>
        <v>Type D</v>
      </c>
    </row>
    <row r="603" spans="2:14" x14ac:dyDescent="0.2">
      <c r="B603" s="435">
        <v>5</v>
      </c>
      <c r="C603" s="565" t="str">
        <f t="shared" si="106"/>
        <v>Type F</v>
      </c>
      <c r="D603" s="565" t="str">
        <f t="shared" si="106"/>
        <v>Type F</v>
      </c>
      <c r="E603" s="565" t="str">
        <f t="shared" si="106"/>
        <v>Type D</v>
      </c>
      <c r="F603" s="565" t="str">
        <f t="shared" si="106"/>
        <v>Type F</v>
      </c>
      <c r="G603" s="565" t="str">
        <f t="shared" si="106"/>
        <v>Type F</v>
      </c>
      <c r="H603" s="563" t="str">
        <f t="shared" si="106"/>
        <v>Type F</v>
      </c>
    </row>
    <row r="604" spans="2:14" x14ac:dyDescent="0.2">
      <c r="B604" s="435">
        <v>6</v>
      </c>
      <c r="C604" s="565" t="str">
        <f t="shared" si="106"/>
        <v>Type I</v>
      </c>
      <c r="D604" s="565" t="str">
        <f t="shared" si="106"/>
        <v>Type I</v>
      </c>
      <c r="E604" s="565" t="str">
        <f t="shared" si="106"/>
        <v>Type I</v>
      </c>
      <c r="F604" s="565" t="str">
        <f t="shared" si="106"/>
        <v>Type I</v>
      </c>
      <c r="G604" s="565" t="str">
        <f t="shared" si="106"/>
        <v>Type I</v>
      </c>
      <c r="H604" s="563" t="str">
        <f t="shared" si="106"/>
        <v>Type I</v>
      </c>
    </row>
    <row r="605" spans="2:14" x14ac:dyDescent="0.2">
      <c r="B605" s="435">
        <v>7</v>
      </c>
      <c r="C605" s="565" t="str">
        <f t="shared" si="106"/>
        <v>Type C</v>
      </c>
      <c r="D605" s="565" t="str">
        <f t="shared" si="106"/>
        <v>Type C</v>
      </c>
      <c r="E605" s="565" t="str">
        <f t="shared" si="106"/>
        <v>Type C</v>
      </c>
      <c r="F605" s="565" t="str">
        <f t="shared" si="106"/>
        <v>Type C</v>
      </c>
      <c r="G605" s="565" t="str">
        <f t="shared" si="106"/>
        <v>Type C</v>
      </c>
      <c r="H605" s="563" t="str">
        <f t="shared" si="106"/>
        <v>Type C</v>
      </c>
    </row>
    <row r="606" spans="2:14" x14ac:dyDescent="0.2">
      <c r="B606" s="435">
        <v>8</v>
      </c>
      <c r="C606" s="565" t="str">
        <f t="shared" si="106"/>
        <v>Type B</v>
      </c>
      <c r="D606" s="565" t="str">
        <f t="shared" si="106"/>
        <v>Type B</v>
      </c>
      <c r="E606" s="565" t="str">
        <f t="shared" si="106"/>
        <v>Type B</v>
      </c>
      <c r="F606" s="565" t="str">
        <f t="shared" si="106"/>
        <v>Type B</v>
      </c>
      <c r="G606" s="565" t="str">
        <f t="shared" si="106"/>
        <v>Type B</v>
      </c>
      <c r="H606" s="563" t="str">
        <f t="shared" si="106"/>
        <v>Type B</v>
      </c>
    </row>
    <row r="607" spans="2:14" x14ac:dyDescent="0.2">
      <c r="B607" s="562">
        <v>9</v>
      </c>
      <c r="C607" s="566" t="str">
        <f t="shared" si="106"/>
        <v>Type A</v>
      </c>
      <c r="D607" s="566" t="str">
        <f t="shared" si="106"/>
        <v>Type A</v>
      </c>
      <c r="E607" s="566" t="str">
        <f t="shared" si="106"/>
        <v>Type A</v>
      </c>
      <c r="F607" s="566" t="str">
        <f t="shared" si="106"/>
        <v>Type A</v>
      </c>
      <c r="G607" s="566" t="str">
        <f t="shared" si="106"/>
        <v>Type A</v>
      </c>
      <c r="H607" s="564" t="str">
        <f t="shared" si="106"/>
        <v>Type A</v>
      </c>
    </row>
  </sheetData>
  <mergeCells count="94">
    <mergeCell ref="D586:E586"/>
    <mergeCell ref="B115:E115"/>
    <mergeCell ref="B61:B63"/>
    <mergeCell ref="C61:C63"/>
    <mergeCell ref="D61:D63"/>
    <mergeCell ref="E61:E63"/>
    <mergeCell ref="B463:E463"/>
    <mergeCell ref="B526:B528"/>
    <mergeCell ref="C526:C528"/>
    <mergeCell ref="D526:D528"/>
    <mergeCell ref="E526:E528"/>
    <mergeCell ref="B521:E521"/>
    <mergeCell ref="B580:E580"/>
    <mergeCell ref="B409:B411"/>
    <mergeCell ref="C409:C411"/>
    <mergeCell ref="D409:D411"/>
    <mergeCell ref="F410:G410"/>
    <mergeCell ref="H410:K410"/>
    <mergeCell ref="L410:L411"/>
    <mergeCell ref="F235:L235"/>
    <mergeCell ref="F236:G236"/>
    <mergeCell ref="H236:K236"/>
    <mergeCell ref="L236:L237"/>
    <mergeCell ref="F409:L409"/>
    <mergeCell ref="F293:L293"/>
    <mergeCell ref="F294:G294"/>
    <mergeCell ref="H294:K294"/>
    <mergeCell ref="L294:L295"/>
    <mergeCell ref="F468:G468"/>
    <mergeCell ref="H468:K468"/>
    <mergeCell ref="L468:L469"/>
    <mergeCell ref="B467:B469"/>
    <mergeCell ref="C467:C469"/>
    <mergeCell ref="D467:D469"/>
    <mergeCell ref="E467:E469"/>
    <mergeCell ref="F467:L467"/>
    <mergeCell ref="F526:L526"/>
    <mergeCell ref="F527:G527"/>
    <mergeCell ref="H527:K527"/>
    <mergeCell ref="L527:L528"/>
    <mergeCell ref="B173:E173"/>
    <mergeCell ref="B405:E405"/>
    <mergeCell ref="F351:L351"/>
    <mergeCell ref="B351:B353"/>
    <mergeCell ref="C351:C353"/>
    <mergeCell ref="D351:D353"/>
    <mergeCell ref="E351:E353"/>
    <mergeCell ref="F352:G352"/>
    <mergeCell ref="H352:K352"/>
    <mergeCell ref="L352:L353"/>
    <mergeCell ref="C177:C179"/>
    <mergeCell ref="D177:D179"/>
    <mergeCell ref="F177:L177"/>
    <mergeCell ref="F178:G178"/>
    <mergeCell ref="H178:K178"/>
    <mergeCell ref="L178:L179"/>
    <mergeCell ref="B119:B121"/>
    <mergeCell ref="C119:C121"/>
    <mergeCell ref="D119:D121"/>
    <mergeCell ref="E119:E121"/>
    <mergeCell ref="B177:B179"/>
    <mergeCell ref="E177:E179"/>
    <mergeCell ref="C235:C237"/>
    <mergeCell ref="D235:D237"/>
    <mergeCell ref="E235:E237"/>
    <mergeCell ref="B347:E347"/>
    <mergeCell ref="B293:B295"/>
    <mergeCell ref="C293:C295"/>
    <mergeCell ref="D293:D295"/>
    <mergeCell ref="E293:E295"/>
    <mergeCell ref="B3:B5"/>
    <mergeCell ref="C3:C5"/>
    <mergeCell ref="D3:D5"/>
    <mergeCell ref="F3:L3"/>
    <mergeCell ref="F4:G4"/>
    <mergeCell ref="H4:K4"/>
    <mergeCell ref="L4:L5"/>
    <mergeCell ref="E3:E5"/>
    <mergeCell ref="F586:G586"/>
    <mergeCell ref="H586:I586"/>
    <mergeCell ref="C585:C586"/>
    <mergeCell ref="B585:B586"/>
    <mergeCell ref="F61:L61"/>
    <mergeCell ref="F62:G62"/>
    <mergeCell ref="H62:K62"/>
    <mergeCell ref="L62:L63"/>
    <mergeCell ref="F120:G120"/>
    <mergeCell ref="H120:K120"/>
    <mergeCell ref="L120:L121"/>
    <mergeCell ref="F119:L119"/>
    <mergeCell ref="E409:E411"/>
    <mergeCell ref="B289:E289"/>
    <mergeCell ref="B231:E231"/>
    <mergeCell ref="B235:B237"/>
  </mergeCells>
  <conditionalFormatting sqref="D1:L2 D3:D56 F3:L56 L57 D58 F58:L58 D59:L115 D117:L173 D175:L231 D234:L289 D349:L405 D407:L463 D466:L521 D523:L580 D582:L583 J584:L584 L585:L595 N585:N595 D596:L597 J598:L598 C599:K607 D608:L1048576">
    <cfRule type="cellIs" dxfId="2" priority="5" operator="equal">
      <formula>0</formula>
    </cfRule>
  </conditionalFormatting>
  <conditionalFormatting sqref="D292:L347">
    <cfRule type="cellIs" dxfId="1" priority="1" operator="equal">
      <formula>0</formula>
    </cfRule>
  </conditionalFormatting>
  <pageMargins left="0.7" right="0.7" top="0.75" bottom="0.75" header="0.3" footer="0.3"/>
  <pageSetup paperSize="3" scale="70" fitToWidth="0" fitToHeight="0" orientation="landscape" horizontalDpi="1200" verticalDpi="1200" r:id="rId1"/>
  <rowBreaks count="10" manualBreakCount="10">
    <brk id="58" max="11" man="1"/>
    <brk id="116" max="11" man="1"/>
    <brk id="174" max="11" man="1"/>
    <brk id="232" max="11" man="1"/>
    <brk id="290" max="11" man="1"/>
    <brk id="348" max="11" man="1"/>
    <brk id="406" max="11" man="1"/>
    <brk id="464" max="11" man="1"/>
    <brk id="523" max="11" man="1"/>
    <brk id="582" max="1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357C6-9E34-42D1-B204-BAAEA7A1D463}">
  <sheetPr codeName="Sheet5">
    <tabColor theme="1"/>
  </sheetPr>
  <dimension ref="A1"/>
  <sheetViews>
    <sheetView workbookViewId="0"/>
  </sheetViews>
  <sheetFormatPr defaultRowHeight="15" x14ac:dyDescent="0.2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C59F15-58A5-47FC-9685-9B44741CE449}">
  <sheetPr codeName="Sheet9"/>
  <dimension ref="A1:J99"/>
  <sheetViews>
    <sheetView topLeftCell="A7" workbookViewId="0">
      <selection activeCell="K27" sqref="K27"/>
    </sheetView>
  </sheetViews>
  <sheetFormatPr defaultRowHeight="15" x14ac:dyDescent="0.25"/>
  <cols>
    <col min="1" max="5" width="9" style="434"/>
    <col min="6" max="6" width="12.28515625" style="434" bestFit="1" customWidth="1"/>
    <col min="7" max="7" width="9" style="434"/>
    <col min="10" max="10" width="9.140625" style="433"/>
  </cols>
  <sheetData>
    <row r="1" spans="1:7" x14ac:dyDescent="0.25">
      <c r="A1" t="s">
        <v>242</v>
      </c>
      <c r="B1" t="s">
        <v>243</v>
      </c>
      <c r="C1" t="s">
        <v>244</v>
      </c>
      <c r="D1" t="s">
        <v>245</v>
      </c>
      <c r="E1" t="s">
        <v>246</v>
      </c>
      <c r="F1" t="s">
        <v>247</v>
      </c>
      <c r="G1" t="s">
        <v>248</v>
      </c>
    </row>
    <row r="2" spans="1:7" x14ac:dyDescent="0.25">
      <c r="A2" t="s">
        <v>249</v>
      </c>
      <c r="B2">
        <v>291600</v>
      </c>
      <c r="C2">
        <v>5080100</v>
      </c>
      <c r="D2">
        <v>6.6932500000000006E-2</v>
      </c>
      <c r="E2" t="s">
        <v>250</v>
      </c>
      <c r="F2">
        <v>1.4189690000000001E-4</v>
      </c>
      <c r="G2" t="s">
        <v>251</v>
      </c>
    </row>
    <row r="3" spans="1:7" x14ac:dyDescent="0.25">
      <c r="A3" t="s">
        <v>252</v>
      </c>
      <c r="B3">
        <v>291600</v>
      </c>
      <c r="C3">
        <v>5080100</v>
      </c>
      <c r="D3">
        <v>6.7006099999999999E-2</v>
      </c>
      <c r="E3" t="s">
        <v>250</v>
      </c>
      <c r="F3">
        <v>1.42052932E-4</v>
      </c>
      <c r="G3" t="s">
        <v>251</v>
      </c>
    </row>
    <row r="4" spans="1:7" x14ac:dyDescent="0.25">
      <c r="A4" t="s">
        <v>253</v>
      </c>
      <c r="B4">
        <v>291600</v>
      </c>
      <c r="C4">
        <v>5080100</v>
      </c>
      <c r="D4">
        <v>6.7075899999999994E-2</v>
      </c>
      <c r="E4" t="s">
        <v>250</v>
      </c>
      <c r="F4">
        <v>1.4220090799999999E-4</v>
      </c>
      <c r="G4" t="s">
        <v>251</v>
      </c>
    </row>
    <row r="5" spans="1:7" x14ac:dyDescent="0.25">
      <c r="A5" t="s">
        <v>254</v>
      </c>
      <c r="B5">
        <v>291600</v>
      </c>
      <c r="C5">
        <v>5080100</v>
      </c>
      <c r="D5">
        <v>6.7177899999999999E-2</v>
      </c>
      <c r="E5" t="s">
        <v>250</v>
      </c>
      <c r="F5">
        <v>1.4241714799999999E-4</v>
      </c>
      <c r="G5" t="s">
        <v>251</v>
      </c>
    </row>
    <row r="6" spans="1:7" x14ac:dyDescent="0.25">
      <c r="A6" t="s">
        <v>255</v>
      </c>
      <c r="B6">
        <v>291600</v>
      </c>
      <c r="C6">
        <v>5080100</v>
      </c>
      <c r="D6">
        <v>6.7490800000000004E-2</v>
      </c>
      <c r="E6" t="s">
        <v>250</v>
      </c>
      <c r="F6">
        <v>1.4308049599999999E-4</v>
      </c>
      <c r="G6" t="s">
        <v>251</v>
      </c>
    </row>
    <row r="7" spans="1:7" x14ac:dyDescent="0.25">
      <c r="A7" t="s">
        <v>256</v>
      </c>
      <c r="B7">
        <v>291600</v>
      </c>
      <c r="C7">
        <v>5080100</v>
      </c>
      <c r="D7">
        <v>6.7370600000000003E-2</v>
      </c>
      <c r="E7" t="s">
        <v>250</v>
      </c>
      <c r="F7">
        <v>1.4282567199999999E-4</v>
      </c>
      <c r="G7" t="s">
        <v>251</v>
      </c>
    </row>
    <row r="8" spans="1:7" x14ac:dyDescent="0.25">
      <c r="A8" t="s">
        <v>257</v>
      </c>
      <c r="B8">
        <v>291600</v>
      </c>
      <c r="C8">
        <v>5080100</v>
      </c>
      <c r="D8">
        <v>4.8608499999999999E-2</v>
      </c>
      <c r="E8" t="s">
        <v>250</v>
      </c>
      <c r="F8">
        <v>9.7703084999999995E-5</v>
      </c>
      <c r="G8" t="s">
        <v>251</v>
      </c>
    </row>
    <row r="9" spans="1:7" x14ac:dyDescent="0.25">
      <c r="A9" t="s">
        <v>258</v>
      </c>
      <c r="B9">
        <v>291600</v>
      </c>
      <c r="C9">
        <v>5080100</v>
      </c>
      <c r="D9">
        <v>4.8759700000000003E-2</v>
      </c>
      <c r="E9" t="s">
        <v>250</v>
      </c>
      <c r="F9">
        <v>9.8006996999999997E-5</v>
      </c>
      <c r="G9" t="s">
        <v>251</v>
      </c>
    </row>
    <row r="10" spans="1:7" x14ac:dyDescent="0.25">
      <c r="A10" t="s">
        <v>259</v>
      </c>
      <c r="B10">
        <v>291600</v>
      </c>
      <c r="C10">
        <v>5080100</v>
      </c>
      <c r="D10">
        <v>4.8845100000000002E-2</v>
      </c>
      <c r="E10" t="s">
        <v>250</v>
      </c>
      <c r="F10">
        <v>9.8178650999999995E-5</v>
      </c>
      <c r="G10" t="s">
        <v>251</v>
      </c>
    </row>
    <row r="11" spans="1:7" x14ac:dyDescent="0.25">
      <c r="A11" t="s">
        <v>260</v>
      </c>
      <c r="B11">
        <v>291600</v>
      </c>
      <c r="C11">
        <v>5080100</v>
      </c>
      <c r="D11">
        <v>4.9587399999999997E-2</v>
      </c>
      <c r="E11" t="s">
        <v>250</v>
      </c>
      <c r="F11">
        <v>1.2347262600000001E-4</v>
      </c>
      <c r="G11" t="s">
        <v>251</v>
      </c>
    </row>
    <row r="12" spans="1:7" x14ac:dyDescent="0.25">
      <c r="A12" t="s">
        <v>261</v>
      </c>
      <c r="B12">
        <v>291600</v>
      </c>
      <c r="C12">
        <v>5080100</v>
      </c>
      <c r="D12">
        <v>4.9664800000000002E-2</v>
      </c>
      <c r="E12" t="s">
        <v>250</v>
      </c>
      <c r="F12">
        <v>1.2366535199999999E-4</v>
      </c>
      <c r="G12" t="s">
        <v>251</v>
      </c>
    </row>
    <row r="13" spans="1:7" x14ac:dyDescent="0.25">
      <c r="A13" t="s">
        <v>262</v>
      </c>
      <c r="B13">
        <v>291600</v>
      </c>
      <c r="C13">
        <v>5080100</v>
      </c>
      <c r="D13">
        <v>4.9726800000000002E-2</v>
      </c>
      <c r="E13" t="s">
        <v>250</v>
      </c>
      <c r="F13">
        <v>1.23819732E-4</v>
      </c>
      <c r="G13" t="s">
        <v>251</v>
      </c>
    </row>
    <row r="14" spans="1:7" x14ac:dyDescent="0.25">
      <c r="A14" t="s">
        <v>263</v>
      </c>
      <c r="B14">
        <v>291600</v>
      </c>
      <c r="C14">
        <v>5080100</v>
      </c>
      <c r="D14">
        <v>4.94992E-2</v>
      </c>
      <c r="E14" t="s">
        <v>250</v>
      </c>
      <c r="F14">
        <v>9.9493391999999997E-5</v>
      </c>
      <c r="G14" t="s">
        <v>251</v>
      </c>
    </row>
    <row r="15" spans="1:7" x14ac:dyDescent="0.25">
      <c r="A15" t="s">
        <v>264</v>
      </c>
      <c r="B15">
        <v>291600</v>
      </c>
      <c r="C15">
        <v>5080100</v>
      </c>
      <c r="D15">
        <v>4.9631599999999998E-2</v>
      </c>
      <c r="E15" t="s">
        <v>250</v>
      </c>
      <c r="F15">
        <v>9.9759516000000003E-5</v>
      </c>
      <c r="G15" t="s">
        <v>251</v>
      </c>
    </row>
    <row r="16" spans="1:7" x14ac:dyDescent="0.25">
      <c r="A16" t="s">
        <v>265</v>
      </c>
      <c r="B16">
        <v>291600</v>
      </c>
      <c r="C16">
        <v>5080100</v>
      </c>
      <c r="D16">
        <v>4.9718600000000002E-2</v>
      </c>
      <c r="E16" t="s">
        <v>250</v>
      </c>
      <c r="F16">
        <v>9.9934385999999998E-5</v>
      </c>
      <c r="G16" t="s">
        <v>251</v>
      </c>
    </row>
    <row r="17" spans="1:7" x14ac:dyDescent="0.25">
      <c r="A17" t="s">
        <v>266</v>
      </c>
      <c r="B17">
        <v>291600</v>
      </c>
      <c r="C17">
        <v>5080100</v>
      </c>
      <c r="D17">
        <v>4.9861299999999997E-2</v>
      </c>
      <c r="E17" t="s">
        <v>250</v>
      </c>
      <c r="F17">
        <v>1.00221213E-4</v>
      </c>
      <c r="G17" t="s">
        <v>251</v>
      </c>
    </row>
    <row r="18" spans="1:7" x14ac:dyDescent="0.25">
      <c r="A18" t="s">
        <v>267</v>
      </c>
      <c r="B18">
        <v>291600</v>
      </c>
      <c r="C18">
        <v>5080100</v>
      </c>
      <c r="D18">
        <v>4.9928E-2</v>
      </c>
      <c r="E18" t="s">
        <v>250</v>
      </c>
      <c r="F18">
        <v>1.0035528E-4</v>
      </c>
      <c r="G18" t="s">
        <v>251</v>
      </c>
    </row>
    <row r="19" spans="1:7" x14ac:dyDescent="0.25">
      <c r="A19" t="s">
        <v>268</v>
      </c>
      <c r="B19">
        <v>291600</v>
      </c>
      <c r="C19">
        <v>5080100</v>
      </c>
      <c r="D19">
        <v>5.0078999999999999E-2</v>
      </c>
      <c r="E19" t="s">
        <v>250</v>
      </c>
      <c r="F19">
        <v>1.0065879E-4</v>
      </c>
      <c r="G19" t="s">
        <v>251</v>
      </c>
    </row>
    <row r="20" spans="1:7" x14ac:dyDescent="0.25">
      <c r="A20" t="s">
        <v>269</v>
      </c>
      <c r="B20">
        <v>291600</v>
      </c>
      <c r="C20">
        <v>5080100</v>
      </c>
      <c r="D20">
        <v>4.9880899999999999E-2</v>
      </c>
      <c r="E20" t="s">
        <v>250</v>
      </c>
      <c r="F20">
        <v>1.00260609E-4</v>
      </c>
      <c r="G20" t="s">
        <v>251</v>
      </c>
    </row>
    <row r="21" spans="1:7" x14ac:dyDescent="0.25">
      <c r="A21" t="s">
        <v>270</v>
      </c>
      <c r="B21">
        <v>291600</v>
      </c>
      <c r="C21">
        <v>5080100</v>
      </c>
      <c r="D21">
        <v>4.9871400000000003E-2</v>
      </c>
      <c r="E21" t="s">
        <v>250</v>
      </c>
      <c r="F21">
        <v>1.00241514E-4</v>
      </c>
      <c r="G21" t="s">
        <v>251</v>
      </c>
    </row>
    <row r="22" spans="1:7" x14ac:dyDescent="0.25">
      <c r="A22" t="s">
        <v>271</v>
      </c>
      <c r="B22">
        <v>291600</v>
      </c>
      <c r="C22">
        <v>5080100</v>
      </c>
      <c r="D22">
        <v>4.9979500000000003E-2</v>
      </c>
      <c r="E22" t="s">
        <v>250</v>
      </c>
      <c r="F22">
        <v>1.00458795E-4</v>
      </c>
      <c r="G22" t="s">
        <v>251</v>
      </c>
    </row>
    <row r="23" spans="1:7" x14ac:dyDescent="0.25">
      <c r="A23" t="s">
        <v>272</v>
      </c>
      <c r="B23">
        <v>291600</v>
      </c>
      <c r="C23">
        <v>5080100</v>
      </c>
      <c r="D23">
        <v>4.9963399999999998E-2</v>
      </c>
      <c r="E23" t="s">
        <v>250</v>
      </c>
      <c r="F23">
        <v>1.00426434E-4</v>
      </c>
      <c r="G23" t="s">
        <v>251</v>
      </c>
    </row>
    <row r="24" spans="1:7" x14ac:dyDescent="0.25">
      <c r="A24" t="s">
        <v>273</v>
      </c>
      <c r="B24">
        <v>291600</v>
      </c>
      <c r="C24">
        <v>5080100</v>
      </c>
      <c r="D24">
        <v>5.0003600000000002E-2</v>
      </c>
      <c r="E24" t="s">
        <v>250</v>
      </c>
      <c r="F24">
        <v>1.00507236E-4</v>
      </c>
      <c r="G24" t="s">
        <v>251</v>
      </c>
    </row>
    <row r="25" spans="1:7" x14ac:dyDescent="0.25">
      <c r="A25" t="s">
        <v>274</v>
      </c>
      <c r="B25">
        <v>291600</v>
      </c>
      <c r="C25">
        <v>5080100</v>
      </c>
      <c r="D25">
        <v>5.0017899999999997E-2</v>
      </c>
      <c r="E25" t="s">
        <v>250</v>
      </c>
      <c r="F25">
        <v>1.00535979E-4</v>
      </c>
      <c r="G25" t="s">
        <v>251</v>
      </c>
    </row>
    <row r="26" spans="1:7" x14ac:dyDescent="0.25">
      <c r="A26" t="s">
        <v>275</v>
      </c>
      <c r="B26">
        <v>291600</v>
      </c>
      <c r="C26">
        <v>5080100</v>
      </c>
      <c r="D26">
        <v>5.0049200000000002E-2</v>
      </c>
      <c r="E26" t="s">
        <v>250</v>
      </c>
      <c r="F26">
        <v>1.00598892E-4</v>
      </c>
      <c r="G26" t="s">
        <v>251</v>
      </c>
    </row>
    <row r="27" spans="1:7" x14ac:dyDescent="0.25">
      <c r="A27" t="s">
        <v>276</v>
      </c>
      <c r="B27">
        <v>291600</v>
      </c>
      <c r="C27">
        <v>5080100</v>
      </c>
      <c r="D27">
        <v>5.0037699999999997E-2</v>
      </c>
      <c r="E27" t="s">
        <v>250</v>
      </c>
      <c r="F27">
        <v>1.00575777E-4</v>
      </c>
      <c r="G27" t="s">
        <v>251</v>
      </c>
    </row>
    <row r="28" spans="1:7" x14ac:dyDescent="0.25">
      <c r="A28" t="s">
        <v>277</v>
      </c>
      <c r="B28">
        <v>291600</v>
      </c>
      <c r="C28">
        <v>5080100</v>
      </c>
      <c r="D28">
        <v>5.0067500000000001E-2</v>
      </c>
      <c r="E28" t="s">
        <v>250</v>
      </c>
      <c r="F28">
        <v>1.00635675E-4</v>
      </c>
      <c r="G28" t="s">
        <v>251</v>
      </c>
    </row>
    <row r="29" spans="1:7" x14ac:dyDescent="0.25">
      <c r="A29" t="s">
        <v>278</v>
      </c>
      <c r="B29">
        <v>291600</v>
      </c>
      <c r="C29">
        <v>5080100</v>
      </c>
      <c r="D29">
        <v>5.0131200000000001E-2</v>
      </c>
      <c r="E29" t="s">
        <v>250</v>
      </c>
      <c r="F29">
        <v>1.00763712E-4</v>
      </c>
      <c r="G29" t="s">
        <v>251</v>
      </c>
    </row>
    <row r="30" spans="1:7" x14ac:dyDescent="0.25">
      <c r="A30" t="s">
        <v>279</v>
      </c>
      <c r="B30">
        <v>291600</v>
      </c>
      <c r="C30">
        <v>5080100</v>
      </c>
      <c r="D30">
        <v>5.0136800000000002E-2</v>
      </c>
      <c r="E30" t="s">
        <v>250</v>
      </c>
      <c r="F30">
        <v>1.00774968E-4</v>
      </c>
      <c r="G30" t="s">
        <v>251</v>
      </c>
    </row>
    <row r="31" spans="1:7" x14ac:dyDescent="0.25">
      <c r="A31" t="s">
        <v>280</v>
      </c>
      <c r="B31">
        <v>291600</v>
      </c>
      <c r="C31">
        <v>5080100</v>
      </c>
      <c r="D31">
        <v>5.0125900000000001E-2</v>
      </c>
      <c r="E31" t="s">
        <v>250</v>
      </c>
      <c r="F31">
        <v>1.00753059E-4</v>
      </c>
      <c r="G31" t="s">
        <v>251</v>
      </c>
    </row>
    <row r="32" spans="1:7" x14ac:dyDescent="0.25">
      <c r="A32" t="s">
        <v>281</v>
      </c>
      <c r="B32">
        <v>291600</v>
      </c>
      <c r="C32">
        <v>5080100</v>
      </c>
      <c r="D32">
        <v>5.0151500000000002E-2</v>
      </c>
      <c r="E32" t="s">
        <v>250</v>
      </c>
      <c r="F32">
        <v>1.0080451499999999E-4</v>
      </c>
      <c r="G32" t="s">
        <v>251</v>
      </c>
    </row>
    <row r="33" spans="1:7" x14ac:dyDescent="0.25">
      <c r="A33" t="s">
        <v>282</v>
      </c>
      <c r="B33">
        <v>291600</v>
      </c>
      <c r="C33">
        <v>5080100</v>
      </c>
      <c r="D33">
        <v>5.0147299999999999E-2</v>
      </c>
      <c r="E33" t="s">
        <v>250</v>
      </c>
      <c r="F33">
        <v>1.0079607299999999E-4</v>
      </c>
      <c r="G33" t="s">
        <v>251</v>
      </c>
    </row>
    <row r="34" spans="1:7" x14ac:dyDescent="0.25">
      <c r="A34" t="s">
        <v>283</v>
      </c>
      <c r="B34">
        <v>291600</v>
      </c>
      <c r="C34">
        <v>5080100</v>
      </c>
      <c r="D34">
        <v>5.0160299999999998E-2</v>
      </c>
      <c r="E34" t="s">
        <v>250</v>
      </c>
      <c r="F34">
        <v>1.0082220300000001E-4</v>
      </c>
      <c r="G34" t="s">
        <v>251</v>
      </c>
    </row>
    <row r="35" spans="1:7" x14ac:dyDescent="0.25">
      <c r="A35" t="s">
        <v>284</v>
      </c>
      <c r="B35">
        <v>291600</v>
      </c>
      <c r="C35">
        <v>5080100</v>
      </c>
      <c r="D35">
        <v>5.0162999999999999E-2</v>
      </c>
      <c r="E35" t="s">
        <v>250</v>
      </c>
      <c r="F35">
        <v>1.0082763000000001E-4</v>
      </c>
      <c r="G35" t="s">
        <v>251</v>
      </c>
    </row>
    <row r="36" spans="1:7" x14ac:dyDescent="0.25">
      <c r="A36" t="s">
        <v>285</v>
      </c>
      <c r="B36">
        <v>291600</v>
      </c>
      <c r="C36">
        <v>5080100</v>
      </c>
      <c r="D36">
        <v>5.0165099999999997E-2</v>
      </c>
      <c r="E36" t="s">
        <v>250</v>
      </c>
      <c r="F36">
        <v>1.00831851E-4</v>
      </c>
      <c r="G36" t="s">
        <v>251</v>
      </c>
    </row>
    <row r="37" spans="1:7" x14ac:dyDescent="0.25">
      <c r="A37" t="s">
        <v>286</v>
      </c>
      <c r="B37">
        <v>291600</v>
      </c>
      <c r="C37">
        <v>5080100</v>
      </c>
      <c r="D37">
        <v>5.0164399999999998E-2</v>
      </c>
      <c r="E37" t="s">
        <v>250</v>
      </c>
      <c r="F37">
        <v>1.00830444E-4</v>
      </c>
      <c r="G37" t="s">
        <v>251</v>
      </c>
    </row>
    <row r="38" spans="1:7" x14ac:dyDescent="0.25">
      <c r="A38" t="s">
        <v>287</v>
      </c>
      <c r="B38">
        <v>291600</v>
      </c>
      <c r="C38">
        <v>5080100</v>
      </c>
      <c r="D38">
        <v>4.8441400000000003E-2</v>
      </c>
      <c r="E38" t="s">
        <v>250</v>
      </c>
      <c r="F38">
        <v>9.7367214000000003E-5</v>
      </c>
      <c r="G38" t="s">
        <v>251</v>
      </c>
    </row>
    <row r="39" spans="1:7" x14ac:dyDescent="0.25">
      <c r="A39" t="s">
        <v>288</v>
      </c>
      <c r="B39">
        <v>291600</v>
      </c>
      <c r="C39">
        <v>5080100</v>
      </c>
      <c r="D39">
        <v>4.84476E-2</v>
      </c>
      <c r="E39" t="s">
        <v>250</v>
      </c>
      <c r="F39">
        <v>9.7379676E-5</v>
      </c>
      <c r="G39" t="s">
        <v>251</v>
      </c>
    </row>
    <row r="40" spans="1:7" x14ac:dyDescent="0.25">
      <c r="A40" t="s">
        <v>289</v>
      </c>
      <c r="B40">
        <v>291600</v>
      </c>
      <c r="C40">
        <v>5080100</v>
      </c>
      <c r="D40">
        <v>4.8418099999999999E-2</v>
      </c>
      <c r="E40" t="s">
        <v>250</v>
      </c>
      <c r="F40">
        <v>9.7320381000000006E-5</v>
      </c>
      <c r="G40" t="s">
        <v>251</v>
      </c>
    </row>
    <row r="41" spans="1:7" x14ac:dyDescent="0.25">
      <c r="A41" t="s">
        <v>290</v>
      </c>
      <c r="B41">
        <v>291600</v>
      </c>
      <c r="C41">
        <v>5080100</v>
      </c>
      <c r="D41">
        <v>4.8430000000000001E-2</v>
      </c>
      <c r="E41" t="s">
        <v>250</v>
      </c>
      <c r="F41">
        <v>9.7344300000000002E-5</v>
      </c>
      <c r="G41" t="s">
        <v>251</v>
      </c>
    </row>
    <row r="42" spans="1:7" x14ac:dyDescent="0.25">
      <c r="A42" t="s">
        <v>291</v>
      </c>
      <c r="B42">
        <v>291600</v>
      </c>
      <c r="C42">
        <v>5080100</v>
      </c>
      <c r="D42">
        <v>4.8592299999999998E-2</v>
      </c>
      <c r="E42" t="s">
        <v>250</v>
      </c>
      <c r="F42">
        <v>9.7670523000000002E-5</v>
      </c>
      <c r="G42" t="s">
        <v>251</v>
      </c>
    </row>
    <row r="43" spans="1:7" x14ac:dyDescent="0.25">
      <c r="A43" t="s">
        <v>292</v>
      </c>
      <c r="B43">
        <v>291600</v>
      </c>
      <c r="C43">
        <v>5080100</v>
      </c>
      <c r="D43">
        <v>4.8599499999999997E-2</v>
      </c>
      <c r="E43" t="s">
        <v>250</v>
      </c>
      <c r="F43">
        <v>9.7684995000000004E-5</v>
      </c>
      <c r="G43" t="s">
        <v>251</v>
      </c>
    </row>
    <row r="44" spans="1:7" x14ac:dyDescent="0.25">
      <c r="A44" t="s">
        <v>293</v>
      </c>
      <c r="B44">
        <v>291600</v>
      </c>
      <c r="C44">
        <v>5080100</v>
      </c>
      <c r="D44">
        <v>4.8570000000000002E-2</v>
      </c>
      <c r="E44" t="s">
        <v>250</v>
      </c>
      <c r="F44">
        <v>9.7625699999999996E-5</v>
      </c>
      <c r="G44" t="s">
        <v>251</v>
      </c>
    </row>
    <row r="45" spans="1:7" x14ac:dyDescent="0.25">
      <c r="A45" t="s">
        <v>294</v>
      </c>
      <c r="B45">
        <v>291600</v>
      </c>
      <c r="C45">
        <v>5080100</v>
      </c>
      <c r="D45">
        <v>4.8586999999999998E-2</v>
      </c>
      <c r="E45" t="s">
        <v>250</v>
      </c>
      <c r="F45">
        <v>9.7659870000000001E-5</v>
      </c>
      <c r="G45" t="s">
        <v>251</v>
      </c>
    </row>
    <row r="46" spans="1:7" x14ac:dyDescent="0.25">
      <c r="A46" t="s">
        <v>295</v>
      </c>
      <c r="B46">
        <v>291600</v>
      </c>
      <c r="C46">
        <v>5080100</v>
      </c>
      <c r="D46">
        <v>4.8557999999999997E-2</v>
      </c>
      <c r="E46" t="s">
        <v>250</v>
      </c>
      <c r="F46">
        <v>9.7601580000000003E-5</v>
      </c>
      <c r="G46" t="s">
        <v>251</v>
      </c>
    </row>
    <row r="47" spans="1:7" x14ac:dyDescent="0.25">
      <c r="A47" t="s">
        <v>296</v>
      </c>
      <c r="B47">
        <v>291600</v>
      </c>
      <c r="C47">
        <v>5080100</v>
      </c>
      <c r="D47">
        <v>4.8391099999999999E-2</v>
      </c>
      <c r="E47" t="s">
        <v>250</v>
      </c>
      <c r="F47">
        <v>9.7266111000000004E-5</v>
      </c>
      <c r="G47" t="s">
        <v>251</v>
      </c>
    </row>
    <row r="48" spans="1:7" x14ac:dyDescent="0.25">
      <c r="A48" t="s">
        <v>297</v>
      </c>
      <c r="B48">
        <v>291600</v>
      </c>
      <c r="C48">
        <v>5080100</v>
      </c>
      <c r="D48">
        <v>4.8427199999999997E-2</v>
      </c>
      <c r="E48" t="s">
        <v>250</v>
      </c>
      <c r="F48">
        <v>9.7338671999999994E-5</v>
      </c>
      <c r="G48" t="s">
        <v>251</v>
      </c>
    </row>
    <row r="49" spans="1:7" x14ac:dyDescent="0.25">
      <c r="A49" t="s">
        <v>298</v>
      </c>
      <c r="B49">
        <v>291600</v>
      </c>
      <c r="C49">
        <v>5080100</v>
      </c>
      <c r="D49">
        <v>4.8445700000000001E-2</v>
      </c>
      <c r="E49" t="s">
        <v>250</v>
      </c>
      <c r="F49">
        <v>9.7375857E-5</v>
      </c>
      <c r="G49" t="s">
        <v>251</v>
      </c>
    </row>
    <row r="50" spans="1:7" x14ac:dyDescent="0.25">
      <c r="A50" t="s">
        <v>299</v>
      </c>
      <c r="B50">
        <v>291600</v>
      </c>
      <c r="C50">
        <v>5080100</v>
      </c>
      <c r="D50">
        <v>4.8323900000000003E-2</v>
      </c>
      <c r="E50" t="s">
        <v>250</v>
      </c>
      <c r="F50">
        <v>9.7131038999999996E-5</v>
      </c>
      <c r="G50" t="s">
        <v>251</v>
      </c>
    </row>
    <row r="51" spans="1:7" x14ac:dyDescent="0.25">
      <c r="A51" t="s">
        <v>300</v>
      </c>
      <c r="B51">
        <v>291600</v>
      </c>
      <c r="C51">
        <v>5080100</v>
      </c>
      <c r="D51">
        <v>4.8369700000000002E-2</v>
      </c>
      <c r="E51" t="s">
        <v>250</v>
      </c>
      <c r="F51">
        <v>9.7223097000000006E-5</v>
      </c>
      <c r="G51" t="s">
        <v>251</v>
      </c>
    </row>
    <row r="52" spans="1:7" x14ac:dyDescent="0.25">
      <c r="A52" t="s">
        <v>301</v>
      </c>
      <c r="B52">
        <v>291600</v>
      </c>
      <c r="C52">
        <v>5080100</v>
      </c>
      <c r="D52">
        <v>4.8239600000000001E-2</v>
      </c>
      <c r="E52" t="s">
        <v>250</v>
      </c>
      <c r="F52">
        <v>9.6961595999999999E-5</v>
      </c>
      <c r="G52" t="s">
        <v>251</v>
      </c>
    </row>
    <row r="53" spans="1:7" x14ac:dyDescent="0.25">
      <c r="A53" t="s">
        <v>302</v>
      </c>
      <c r="B53">
        <v>291600</v>
      </c>
      <c r="C53">
        <v>5080100</v>
      </c>
      <c r="D53">
        <v>4.8266499999999997E-2</v>
      </c>
      <c r="E53" t="s">
        <v>250</v>
      </c>
      <c r="F53">
        <v>9.7015665000000005E-5</v>
      </c>
      <c r="G53" t="s">
        <v>251</v>
      </c>
    </row>
    <row r="54" spans="1:7" x14ac:dyDescent="0.25">
      <c r="A54" t="s">
        <v>303</v>
      </c>
      <c r="B54">
        <v>291600</v>
      </c>
      <c r="C54">
        <v>5080100</v>
      </c>
      <c r="D54">
        <v>4.7970899999999997E-2</v>
      </c>
      <c r="E54" t="s">
        <v>250</v>
      </c>
      <c r="F54">
        <v>9.6421509000000003E-5</v>
      </c>
      <c r="G54" t="s">
        <v>251</v>
      </c>
    </row>
    <row r="55" spans="1:7" x14ac:dyDescent="0.25">
      <c r="A55" t="s">
        <v>304</v>
      </c>
      <c r="B55">
        <v>291600</v>
      </c>
      <c r="C55">
        <v>5080100</v>
      </c>
      <c r="D55">
        <v>4.8062300000000002E-2</v>
      </c>
      <c r="E55" t="s">
        <v>250</v>
      </c>
      <c r="F55">
        <v>9.6605223000000004E-5</v>
      </c>
      <c r="G55" t="s">
        <v>251</v>
      </c>
    </row>
    <row r="56" spans="1:7" x14ac:dyDescent="0.25">
      <c r="A56" t="s">
        <v>305</v>
      </c>
      <c r="B56">
        <v>291600</v>
      </c>
      <c r="C56">
        <v>5080100</v>
      </c>
      <c r="D56">
        <v>4.7862700000000001E-2</v>
      </c>
      <c r="E56" t="s">
        <v>250</v>
      </c>
      <c r="F56">
        <v>9.6204027000000003E-5</v>
      </c>
      <c r="G56" t="s">
        <v>251</v>
      </c>
    </row>
    <row r="57" spans="1:7" x14ac:dyDescent="0.25">
      <c r="A57" t="s">
        <v>306</v>
      </c>
      <c r="B57">
        <v>291600</v>
      </c>
      <c r="C57">
        <v>5080100</v>
      </c>
      <c r="D57">
        <v>4.7925000000000002E-2</v>
      </c>
      <c r="E57" t="s">
        <v>250</v>
      </c>
      <c r="F57">
        <v>9.6329249999999996E-5</v>
      </c>
      <c r="G57" t="s">
        <v>251</v>
      </c>
    </row>
    <row r="58" spans="1:7" x14ac:dyDescent="0.25">
      <c r="A58" t="s">
        <v>307</v>
      </c>
      <c r="B58">
        <v>291600</v>
      </c>
      <c r="C58">
        <v>5080100</v>
      </c>
      <c r="D58">
        <v>4.78045E-2</v>
      </c>
      <c r="E58" t="s">
        <v>250</v>
      </c>
      <c r="F58">
        <v>9.6087045E-5</v>
      </c>
      <c r="G58" t="s">
        <v>251</v>
      </c>
    </row>
    <row r="59" spans="1:7" x14ac:dyDescent="0.25">
      <c r="A59" t="s">
        <v>308</v>
      </c>
      <c r="B59">
        <v>291600</v>
      </c>
      <c r="C59">
        <v>5080100</v>
      </c>
      <c r="D59">
        <v>4.7834300000000003E-2</v>
      </c>
      <c r="E59" t="s">
        <v>250</v>
      </c>
      <c r="F59">
        <v>9.6146942999999997E-5</v>
      </c>
      <c r="G59" t="s">
        <v>251</v>
      </c>
    </row>
    <row r="60" spans="1:7" x14ac:dyDescent="0.25">
      <c r="A60" t="s">
        <v>309</v>
      </c>
      <c r="B60">
        <v>291600</v>
      </c>
      <c r="C60">
        <v>5080100</v>
      </c>
      <c r="D60">
        <v>4.78016E-2</v>
      </c>
      <c r="E60" t="s">
        <v>250</v>
      </c>
      <c r="F60">
        <v>9.6081215999999995E-5</v>
      </c>
      <c r="G60" t="s">
        <v>251</v>
      </c>
    </row>
    <row r="61" spans="1:7" x14ac:dyDescent="0.25">
      <c r="A61" t="s">
        <v>310</v>
      </c>
      <c r="B61">
        <v>291600</v>
      </c>
      <c r="C61">
        <v>5080100</v>
      </c>
      <c r="D61">
        <v>4.7796900000000003E-2</v>
      </c>
      <c r="E61" t="s">
        <v>250</v>
      </c>
      <c r="F61">
        <v>9.6071768999999999E-5</v>
      </c>
      <c r="G61" t="s">
        <v>251</v>
      </c>
    </row>
    <row r="62" spans="1:7" x14ac:dyDescent="0.25">
      <c r="A62" t="s">
        <v>311</v>
      </c>
      <c r="B62">
        <v>291600</v>
      </c>
      <c r="C62">
        <v>5080100</v>
      </c>
      <c r="D62">
        <v>4.7814500000000003E-2</v>
      </c>
      <c r="E62" t="s">
        <v>250</v>
      </c>
      <c r="F62">
        <v>9.6107144999999996E-5</v>
      </c>
      <c r="G62" t="s">
        <v>251</v>
      </c>
    </row>
    <row r="63" spans="1:7" x14ac:dyDescent="0.25">
      <c r="A63" t="s">
        <v>312</v>
      </c>
      <c r="B63">
        <v>291600</v>
      </c>
      <c r="C63">
        <v>5080100</v>
      </c>
      <c r="D63">
        <v>4.8301900000000002E-2</v>
      </c>
      <c r="E63" t="s">
        <v>250</v>
      </c>
      <c r="F63">
        <v>9.7086819000000006E-5</v>
      </c>
      <c r="G63" t="s">
        <v>251</v>
      </c>
    </row>
    <row r="64" spans="1:7" x14ac:dyDescent="0.25">
      <c r="A64" t="s">
        <v>313</v>
      </c>
      <c r="B64">
        <v>291600</v>
      </c>
      <c r="C64">
        <v>5080100</v>
      </c>
      <c r="D64">
        <v>4.8184699999999997E-2</v>
      </c>
      <c r="E64" t="s">
        <v>250</v>
      </c>
      <c r="F64">
        <v>9.6851247000000001E-5</v>
      </c>
      <c r="G64" t="s">
        <v>251</v>
      </c>
    </row>
    <row r="65" spans="1:7" x14ac:dyDescent="0.25">
      <c r="A65" t="s">
        <v>314</v>
      </c>
      <c r="B65">
        <v>291600</v>
      </c>
      <c r="C65">
        <v>5080100</v>
      </c>
      <c r="D65">
        <v>4.81006E-2</v>
      </c>
      <c r="E65" t="s">
        <v>250</v>
      </c>
      <c r="F65">
        <v>9.6682205999999997E-5</v>
      </c>
      <c r="G65" t="s">
        <v>251</v>
      </c>
    </row>
    <row r="66" spans="1:7" x14ac:dyDescent="0.25">
      <c r="A66" t="s">
        <v>315</v>
      </c>
      <c r="B66">
        <v>291600</v>
      </c>
      <c r="C66">
        <v>5080100</v>
      </c>
      <c r="D66">
        <v>4.8518100000000002E-2</v>
      </c>
      <c r="E66" t="s">
        <v>250</v>
      </c>
      <c r="F66">
        <v>9.7521380999999999E-5</v>
      </c>
      <c r="G66" t="s">
        <v>251</v>
      </c>
    </row>
    <row r="67" spans="1:7" x14ac:dyDescent="0.25">
      <c r="A67" t="s">
        <v>316</v>
      </c>
      <c r="B67">
        <v>291600</v>
      </c>
      <c r="C67">
        <v>5080100</v>
      </c>
      <c r="D67">
        <v>4.8380699999999999E-2</v>
      </c>
      <c r="E67" t="s">
        <v>250</v>
      </c>
      <c r="F67">
        <v>9.7245206999999994E-5</v>
      </c>
      <c r="G67" t="s">
        <v>251</v>
      </c>
    </row>
    <row r="68" spans="1:7" x14ac:dyDescent="0.25">
      <c r="A68" t="s">
        <v>317</v>
      </c>
      <c r="B68">
        <v>291600</v>
      </c>
      <c r="C68">
        <v>5080100</v>
      </c>
      <c r="D68">
        <v>4.8756000000000001E-2</v>
      </c>
      <c r="E68" t="s">
        <v>250</v>
      </c>
      <c r="F68">
        <v>9.7999560000000007E-5</v>
      </c>
      <c r="G68" t="s">
        <v>251</v>
      </c>
    </row>
    <row r="69" spans="1:7" x14ac:dyDescent="0.25">
      <c r="A69" t="s">
        <v>318</v>
      </c>
      <c r="B69">
        <v>291600</v>
      </c>
      <c r="C69">
        <v>5080100</v>
      </c>
      <c r="D69">
        <v>4.8604500000000002E-2</v>
      </c>
      <c r="E69" t="s">
        <v>250</v>
      </c>
      <c r="F69">
        <v>9.7695045000000002E-5</v>
      </c>
      <c r="G69" t="s">
        <v>251</v>
      </c>
    </row>
    <row r="70" spans="1:7" x14ac:dyDescent="0.25">
      <c r="A70" t="s">
        <v>319</v>
      </c>
      <c r="B70">
        <v>291600</v>
      </c>
      <c r="C70">
        <v>5080100</v>
      </c>
      <c r="D70">
        <v>4.90161E-2</v>
      </c>
      <c r="E70" t="s">
        <v>250</v>
      </c>
      <c r="F70">
        <v>9.8522360999999997E-5</v>
      </c>
      <c r="G70" t="s">
        <v>251</v>
      </c>
    </row>
    <row r="71" spans="1:7" x14ac:dyDescent="0.25">
      <c r="A71" t="s">
        <v>320</v>
      </c>
      <c r="B71">
        <v>291600</v>
      </c>
      <c r="C71">
        <v>5080100</v>
      </c>
      <c r="D71">
        <v>4.8852600000000003E-2</v>
      </c>
      <c r="E71" t="s">
        <v>250</v>
      </c>
      <c r="F71">
        <v>9.8193725999999999E-5</v>
      </c>
      <c r="G71" t="s">
        <v>251</v>
      </c>
    </row>
    <row r="72" spans="1:7" x14ac:dyDescent="0.25">
      <c r="A72" t="s">
        <v>321</v>
      </c>
      <c r="B72">
        <v>291600</v>
      </c>
      <c r="C72">
        <v>5080100</v>
      </c>
      <c r="D72">
        <v>4.9037699999999997E-2</v>
      </c>
      <c r="E72" t="s">
        <v>250</v>
      </c>
      <c r="F72">
        <v>9.8565777000000001E-5</v>
      </c>
      <c r="G72" t="s">
        <v>251</v>
      </c>
    </row>
    <row r="73" spans="1:7" x14ac:dyDescent="0.25">
      <c r="A73" t="s">
        <v>322</v>
      </c>
      <c r="B73">
        <v>291600</v>
      </c>
      <c r="C73">
        <v>5080100</v>
      </c>
      <c r="D73">
        <v>4.91901E-2</v>
      </c>
      <c r="E73" t="s">
        <v>250</v>
      </c>
      <c r="F73">
        <v>9.8872101000000001E-5</v>
      </c>
      <c r="G73" t="s">
        <v>251</v>
      </c>
    </row>
    <row r="74" spans="1:7" x14ac:dyDescent="0.25">
      <c r="A74" t="s">
        <v>323</v>
      </c>
      <c r="B74">
        <v>291600</v>
      </c>
      <c r="C74">
        <v>5080100</v>
      </c>
      <c r="D74">
        <v>4.8789100000000002E-2</v>
      </c>
      <c r="E74" t="s">
        <v>250</v>
      </c>
      <c r="F74">
        <v>9.8066090999999995E-5</v>
      </c>
      <c r="G74" t="s">
        <v>251</v>
      </c>
    </row>
    <row r="75" spans="1:7" x14ac:dyDescent="0.25">
      <c r="A75" t="s">
        <v>324</v>
      </c>
      <c r="B75">
        <v>291600</v>
      </c>
      <c r="C75">
        <v>5080100</v>
      </c>
      <c r="D75">
        <v>4.8933999999999998E-2</v>
      </c>
      <c r="E75" t="s">
        <v>250</v>
      </c>
      <c r="F75">
        <v>9.8357340000000004E-5</v>
      </c>
      <c r="G75" t="s">
        <v>251</v>
      </c>
    </row>
    <row r="76" spans="1:7" x14ac:dyDescent="0.25">
      <c r="A76" t="s">
        <v>325</v>
      </c>
      <c r="B76">
        <v>291600</v>
      </c>
      <c r="C76">
        <v>5080100</v>
      </c>
      <c r="D76">
        <v>4.8576099999999997E-2</v>
      </c>
      <c r="E76" t="s">
        <v>250</v>
      </c>
      <c r="F76">
        <v>9.7637960999999996E-5</v>
      </c>
      <c r="G76" t="s">
        <v>251</v>
      </c>
    </row>
    <row r="77" spans="1:7" x14ac:dyDescent="0.25">
      <c r="A77" t="s">
        <v>326</v>
      </c>
      <c r="B77">
        <v>291600</v>
      </c>
      <c r="C77">
        <v>5080100</v>
      </c>
      <c r="D77">
        <v>4.8709099999999998E-2</v>
      </c>
      <c r="E77" t="s">
        <v>250</v>
      </c>
      <c r="F77">
        <v>9.7905290999999995E-5</v>
      </c>
      <c r="G77" t="s">
        <v>251</v>
      </c>
    </row>
    <row r="78" spans="1:7" x14ac:dyDescent="0.25">
      <c r="A78" t="s">
        <v>327</v>
      </c>
      <c r="B78">
        <v>291600</v>
      </c>
      <c r="C78">
        <v>5080100</v>
      </c>
      <c r="D78">
        <v>4.8385900000000003E-2</v>
      </c>
      <c r="E78" t="s">
        <v>250</v>
      </c>
      <c r="F78">
        <v>9.7255658999999999E-5</v>
      </c>
      <c r="G78" t="s">
        <v>251</v>
      </c>
    </row>
    <row r="79" spans="1:7" x14ac:dyDescent="0.25">
      <c r="A79" t="s">
        <v>328</v>
      </c>
      <c r="B79">
        <v>291600</v>
      </c>
      <c r="C79">
        <v>5080100</v>
      </c>
      <c r="D79">
        <v>4.8500799999999997E-2</v>
      </c>
      <c r="E79" t="s">
        <v>250</v>
      </c>
      <c r="F79">
        <v>9.7486608000000005E-5</v>
      </c>
      <c r="G79" t="s">
        <v>251</v>
      </c>
    </row>
    <row r="80" spans="1:7" x14ac:dyDescent="0.25">
      <c r="A80" t="s">
        <v>329</v>
      </c>
      <c r="B80">
        <v>291600</v>
      </c>
      <c r="C80">
        <v>5080100</v>
      </c>
      <c r="D80">
        <v>4.8316699999999997E-2</v>
      </c>
      <c r="E80" t="s">
        <v>250</v>
      </c>
      <c r="F80">
        <v>9.7116566999999994E-5</v>
      </c>
      <c r="G80" t="s">
        <v>251</v>
      </c>
    </row>
    <row r="81" spans="1:7" x14ac:dyDescent="0.25">
      <c r="A81" t="s">
        <v>330</v>
      </c>
      <c r="B81">
        <v>291600</v>
      </c>
      <c r="C81">
        <v>5080100</v>
      </c>
      <c r="D81">
        <v>4.8000899999999999E-2</v>
      </c>
      <c r="E81" t="s">
        <v>250</v>
      </c>
      <c r="F81">
        <v>9.6481809000000006E-5</v>
      </c>
      <c r="G81" t="s">
        <v>251</v>
      </c>
    </row>
    <row r="82" spans="1:7" x14ac:dyDescent="0.25">
      <c r="A82" t="s">
        <v>331</v>
      </c>
      <c r="B82">
        <v>291600</v>
      </c>
      <c r="C82">
        <v>5080100</v>
      </c>
      <c r="D82">
        <v>4.8010200000000003E-2</v>
      </c>
      <c r="E82" t="s">
        <v>250</v>
      </c>
      <c r="F82">
        <v>9.6500502000000001E-5</v>
      </c>
      <c r="G82" t="s">
        <v>251</v>
      </c>
    </row>
    <row r="83" spans="1:7" x14ac:dyDescent="0.25">
      <c r="A83" t="s">
        <v>332</v>
      </c>
      <c r="B83">
        <v>291600</v>
      </c>
      <c r="C83">
        <v>5080100</v>
      </c>
      <c r="D83">
        <v>4.8021800000000003E-2</v>
      </c>
      <c r="E83" t="s">
        <v>250</v>
      </c>
      <c r="F83">
        <v>9.6523817999999995E-5</v>
      </c>
      <c r="G83" t="s">
        <v>251</v>
      </c>
    </row>
    <row r="84" spans="1:7" x14ac:dyDescent="0.25">
      <c r="A84" t="s">
        <v>333</v>
      </c>
      <c r="B84">
        <v>291600</v>
      </c>
      <c r="C84">
        <v>5080100</v>
      </c>
      <c r="D84">
        <v>4.8023099999999999E-2</v>
      </c>
      <c r="E84" t="s">
        <v>250</v>
      </c>
      <c r="F84">
        <v>9.6526431000000003E-5</v>
      </c>
      <c r="G84" t="s">
        <v>251</v>
      </c>
    </row>
    <row r="85" spans="1:7" x14ac:dyDescent="0.25">
      <c r="A85" t="s">
        <v>334</v>
      </c>
      <c r="B85">
        <v>291600</v>
      </c>
      <c r="C85">
        <v>5080100</v>
      </c>
      <c r="D85">
        <v>4.8003499999999998E-2</v>
      </c>
      <c r="E85" t="s">
        <v>250</v>
      </c>
      <c r="F85">
        <v>9.6487034999999995E-5</v>
      </c>
      <c r="G85" t="s">
        <v>251</v>
      </c>
    </row>
    <row r="86" spans="1:7" x14ac:dyDescent="0.25">
      <c r="A86" t="s">
        <v>335</v>
      </c>
      <c r="B86">
        <v>291600</v>
      </c>
      <c r="C86">
        <v>5080100</v>
      </c>
      <c r="D86">
        <v>4.8092700000000002E-2</v>
      </c>
      <c r="E86" t="s">
        <v>250</v>
      </c>
      <c r="F86">
        <v>9.6666326999999994E-5</v>
      </c>
      <c r="G86" t="s">
        <v>251</v>
      </c>
    </row>
    <row r="87" spans="1:7" x14ac:dyDescent="0.25">
      <c r="A87" t="s">
        <v>336</v>
      </c>
      <c r="B87">
        <v>291600</v>
      </c>
      <c r="C87">
        <v>5080100</v>
      </c>
      <c r="D87">
        <v>4.8042500000000002E-2</v>
      </c>
      <c r="E87" t="s">
        <v>250</v>
      </c>
      <c r="F87">
        <v>9.6565425000000004E-5</v>
      </c>
      <c r="G87" t="s">
        <v>251</v>
      </c>
    </row>
    <row r="88" spans="1:7" x14ac:dyDescent="0.25">
      <c r="A88" t="s">
        <v>337</v>
      </c>
      <c r="B88">
        <v>291600</v>
      </c>
      <c r="C88">
        <v>5080100</v>
      </c>
      <c r="D88">
        <v>4.81935E-2</v>
      </c>
      <c r="E88" t="s">
        <v>250</v>
      </c>
      <c r="F88">
        <v>9.6868934999999999E-5</v>
      </c>
      <c r="G88" t="s">
        <v>251</v>
      </c>
    </row>
    <row r="89" spans="1:7" x14ac:dyDescent="0.25">
      <c r="A89" t="s">
        <v>338</v>
      </c>
      <c r="B89">
        <v>291600</v>
      </c>
      <c r="C89">
        <v>5080100</v>
      </c>
      <c r="D89">
        <v>4.8126099999999998E-2</v>
      </c>
      <c r="E89" t="s">
        <v>250</v>
      </c>
      <c r="F89">
        <v>9.6733460999999998E-5</v>
      </c>
      <c r="G89" t="s">
        <v>251</v>
      </c>
    </row>
    <row r="90" spans="1:7" x14ac:dyDescent="0.25">
      <c r="A90" t="s">
        <v>339</v>
      </c>
      <c r="B90">
        <v>291600</v>
      </c>
      <c r="C90">
        <v>5080100</v>
      </c>
      <c r="D90">
        <v>0.187141</v>
      </c>
      <c r="E90" t="s">
        <v>250</v>
      </c>
      <c r="F90">
        <v>1.5308133800000001E-4</v>
      </c>
      <c r="G90" t="s">
        <v>251</v>
      </c>
    </row>
    <row r="91" spans="1:7" x14ac:dyDescent="0.25">
      <c r="A91" t="s">
        <v>340</v>
      </c>
      <c r="B91">
        <v>291600</v>
      </c>
      <c r="C91">
        <v>5080100</v>
      </c>
      <c r="D91">
        <v>0.18708900000000001</v>
      </c>
      <c r="E91" t="s">
        <v>250</v>
      </c>
      <c r="F91">
        <v>1.6351578600000001E-4</v>
      </c>
      <c r="G91" t="s">
        <v>251</v>
      </c>
    </row>
    <row r="92" spans="1:7" x14ac:dyDescent="0.25">
      <c r="A92" t="s">
        <v>341</v>
      </c>
      <c r="B92">
        <v>291600</v>
      </c>
      <c r="C92">
        <v>5080100</v>
      </c>
      <c r="D92">
        <v>0.17702899999999999</v>
      </c>
      <c r="E92" t="s">
        <v>250</v>
      </c>
      <c r="F92">
        <v>1.54723346E-4</v>
      </c>
      <c r="G92" t="s">
        <v>251</v>
      </c>
    </row>
    <row r="93" spans="1:7" x14ac:dyDescent="0.25">
      <c r="A93" t="s">
        <v>342</v>
      </c>
      <c r="B93">
        <v>291600</v>
      </c>
      <c r="C93">
        <v>5080100</v>
      </c>
      <c r="D93">
        <v>0.19703200000000001</v>
      </c>
      <c r="E93" t="s">
        <v>250</v>
      </c>
      <c r="F93">
        <v>1.6117217600000001E-4</v>
      </c>
      <c r="G93" t="s">
        <v>251</v>
      </c>
    </row>
    <row r="94" spans="1:7" x14ac:dyDescent="0.25">
      <c r="A94" t="s">
        <v>343</v>
      </c>
      <c r="B94">
        <v>291600</v>
      </c>
      <c r="C94">
        <v>5080100</v>
      </c>
      <c r="D94">
        <v>0.177816</v>
      </c>
      <c r="E94" t="s">
        <v>250</v>
      </c>
      <c r="F94">
        <v>1.5541118399999999E-4</v>
      </c>
      <c r="G94" t="s">
        <v>251</v>
      </c>
    </row>
    <row r="95" spans="1:7" x14ac:dyDescent="0.25">
      <c r="A95" t="s">
        <v>344</v>
      </c>
      <c r="B95">
        <v>291600</v>
      </c>
      <c r="C95">
        <v>5080100</v>
      </c>
      <c r="D95">
        <v>0.19597100000000001</v>
      </c>
      <c r="E95" t="s">
        <v>250</v>
      </c>
      <c r="F95">
        <v>1.60304278E-4</v>
      </c>
      <c r="G95" t="s">
        <v>251</v>
      </c>
    </row>
    <row r="96" spans="1:7" x14ac:dyDescent="0.25">
      <c r="A96" t="s">
        <v>345</v>
      </c>
      <c r="B96">
        <v>291600</v>
      </c>
      <c r="C96">
        <v>5080100</v>
      </c>
      <c r="D96">
        <v>0.137771</v>
      </c>
      <c r="E96" t="s">
        <v>250</v>
      </c>
      <c r="F96">
        <v>1.515481E-4</v>
      </c>
      <c r="G96" t="s">
        <v>251</v>
      </c>
    </row>
    <row r="97" spans="1:7" x14ac:dyDescent="0.25">
      <c r="A97" t="s">
        <v>346</v>
      </c>
      <c r="B97">
        <v>291600</v>
      </c>
      <c r="C97">
        <v>5080100</v>
      </c>
      <c r="D97">
        <v>0.20622199999999999</v>
      </c>
      <c r="E97" t="s">
        <v>250</v>
      </c>
      <c r="F97">
        <v>1.4827361800000001E-3</v>
      </c>
      <c r="G97" t="s">
        <v>251</v>
      </c>
    </row>
    <row r="98" spans="1:7" x14ac:dyDescent="0.25">
      <c r="A98" t="s">
        <v>347</v>
      </c>
      <c r="B98">
        <v>291600</v>
      </c>
      <c r="C98">
        <v>5080100</v>
      </c>
      <c r="D98">
        <v>7.4885900000000005E-2</v>
      </c>
      <c r="E98" t="s">
        <v>250</v>
      </c>
      <c r="F98">
        <v>1.1757086299999999E-4</v>
      </c>
      <c r="G98" t="s">
        <v>251</v>
      </c>
    </row>
    <row r="99" spans="1:7" x14ac:dyDescent="0.25">
      <c r="A99" t="s">
        <v>348</v>
      </c>
      <c r="B99">
        <v>291600</v>
      </c>
      <c r="C99">
        <v>5080100</v>
      </c>
      <c r="D99">
        <v>8.3465499999999998E-2</v>
      </c>
      <c r="E99" t="s">
        <v>250</v>
      </c>
      <c r="F99">
        <v>1.6359238E-4</v>
      </c>
      <c r="G99" t="s">
        <v>251</v>
      </c>
    </row>
  </sheetData>
  <autoFilter ref="A1:I1" xr:uid="{FFC59F15-58A5-47FC-9685-9B44741CE449}">
    <sortState xmlns:xlrd2="http://schemas.microsoft.com/office/spreadsheetml/2017/richdata2" ref="A2:G99">
      <sortCondition descending="1" ref="F1"/>
    </sortState>
  </autoFilter>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D1CCE-23D2-4912-B7F0-5AF25F388EDF}">
  <sheetPr codeName="Sheet6"/>
  <dimension ref="A1:H99"/>
  <sheetViews>
    <sheetView workbookViewId="0">
      <selection activeCell="F3" sqref="F3"/>
    </sheetView>
  </sheetViews>
  <sheetFormatPr defaultRowHeight="15" x14ac:dyDescent="0.25"/>
  <cols>
    <col min="1" max="7" width="9" style="444"/>
    <col min="8" max="8" width="9.140625" style="444"/>
  </cols>
  <sheetData>
    <row r="1" spans="1:8" x14ac:dyDescent="0.25">
      <c r="A1" t="s">
        <v>242</v>
      </c>
      <c r="B1" t="s">
        <v>243</v>
      </c>
      <c r="C1" t="s">
        <v>244</v>
      </c>
      <c r="D1" t="s">
        <v>245</v>
      </c>
      <c r="E1" t="s">
        <v>246</v>
      </c>
      <c r="F1" t="s">
        <v>349</v>
      </c>
      <c r="G1" t="s">
        <v>248</v>
      </c>
      <c r="H1"/>
    </row>
    <row r="2" spans="1:8" x14ac:dyDescent="0.25">
      <c r="A2" t="s">
        <v>346</v>
      </c>
      <c r="B2">
        <v>293903.2</v>
      </c>
      <c r="C2">
        <v>5079885.0999999996</v>
      </c>
      <c r="D2">
        <v>11.8263</v>
      </c>
      <c r="E2" t="s">
        <v>350</v>
      </c>
      <c r="F2">
        <v>0.18330764999999999</v>
      </c>
      <c r="G2" t="s">
        <v>351</v>
      </c>
      <c r="H2"/>
    </row>
    <row r="3" spans="1:8" x14ac:dyDescent="0.25">
      <c r="A3" t="s">
        <v>345</v>
      </c>
      <c r="B3">
        <v>293903.2</v>
      </c>
      <c r="C3">
        <v>5079885.0999999996</v>
      </c>
      <c r="D3">
        <v>44.968800000000002</v>
      </c>
      <c r="E3" t="s">
        <v>350</v>
      </c>
      <c r="F3">
        <v>0.10522699200000001</v>
      </c>
      <c r="G3" t="s">
        <v>351</v>
      </c>
      <c r="H3"/>
    </row>
    <row r="4" spans="1:8" x14ac:dyDescent="0.25">
      <c r="A4" t="s">
        <v>289</v>
      </c>
      <c r="B4">
        <v>293903.2</v>
      </c>
      <c r="C4">
        <v>5079885.0999999996</v>
      </c>
      <c r="D4">
        <v>21.152200000000001</v>
      </c>
      <c r="E4" t="s">
        <v>350</v>
      </c>
      <c r="F4">
        <v>8.5877932000000004E-2</v>
      </c>
      <c r="G4" t="s">
        <v>351</v>
      </c>
      <c r="H4"/>
    </row>
    <row r="5" spans="1:8" x14ac:dyDescent="0.25">
      <c r="A5" t="s">
        <v>292</v>
      </c>
      <c r="B5">
        <v>293903.2</v>
      </c>
      <c r="C5">
        <v>5079885.0999999996</v>
      </c>
      <c r="D5">
        <v>21.0669</v>
      </c>
      <c r="E5" t="s">
        <v>350</v>
      </c>
      <c r="F5">
        <v>8.5531614000000006E-2</v>
      </c>
      <c r="G5" t="s">
        <v>351</v>
      </c>
      <c r="H5"/>
    </row>
    <row r="6" spans="1:8" x14ac:dyDescent="0.25">
      <c r="A6" t="s">
        <v>291</v>
      </c>
      <c r="B6">
        <v>293903.2</v>
      </c>
      <c r="C6">
        <v>5079885.0999999996</v>
      </c>
      <c r="D6">
        <v>19.9985</v>
      </c>
      <c r="E6" t="s">
        <v>350</v>
      </c>
      <c r="F6">
        <v>8.1193909999999994E-2</v>
      </c>
      <c r="G6" t="s">
        <v>351</v>
      </c>
      <c r="H6"/>
    </row>
    <row r="7" spans="1:8" x14ac:dyDescent="0.25">
      <c r="A7" t="s">
        <v>290</v>
      </c>
      <c r="B7">
        <v>293903.2</v>
      </c>
      <c r="C7">
        <v>5079885.0999999996</v>
      </c>
      <c r="D7">
        <v>19.139099999999999</v>
      </c>
      <c r="E7" t="s">
        <v>350</v>
      </c>
      <c r="F7">
        <v>7.7704746000000005E-2</v>
      </c>
      <c r="G7" t="s">
        <v>351</v>
      </c>
      <c r="H7"/>
    </row>
    <row r="8" spans="1:8" x14ac:dyDescent="0.25">
      <c r="A8" t="s">
        <v>294</v>
      </c>
      <c r="B8">
        <v>293903.2</v>
      </c>
      <c r="C8">
        <v>5079885.0999999996</v>
      </c>
      <c r="D8">
        <v>18.656300000000002</v>
      </c>
      <c r="E8" t="s">
        <v>350</v>
      </c>
      <c r="F8">
        <v>7.5744578000000007E-2</v>
      </c>
      <c r="G8" t="s">
        <v>351</v>
      </c>
      <c r="H8"/>
    </row>
    <row r="9" spans="1:8" x14ac:dyDescent="0.25">
      <c r="A9" t="s">
        <v>293</v>
      </c>
      <c r="B9">
        <v>293903.2</v>
      </c>
      <c r="C9">
        <v>5079885.0999999996</v>
      </c>
      <c r="D9">
        <v>16.337199999999999</v>
      </c>
      <c r="E9" t="s">
        <v>350</v>
      </c>
      <c r="F9">
        <v>6.6329031999999996E-2</v>
      </c>
      <c r="G9" t="s">
        <v>351</v>
      </c>
      <c r="H9"/>
    </row>
    <row r="10" spans="1:8" x14ac:dyDescent="0.25">
      <c r="A10" t="s">
        <v>295</v>
      </c>
      <c r="B10">
        <v>293903.2</v>
      </c>
      <c r="C10">
        <v>5079885.0999999996</v>
      </c>
      <c r="D10">
        <v>14.576000000000001</v>
      </c>
      <c r="E10" t="s">
        <v>350</v>
      </c>
      <c r="F10">
        <v>5.9178559999999998E-2</v>
      </c>
      <c r="G10" t="s">
        <v>351</v>
      </c>
      <c r="H10"/>
    </row>
    <row r="11" spans="1:8" x14ac:dyDescent="0.25">
      <c r="A11" t="s">
        <v>262</v>
      </c>
      <c r="B11">
        <v>293903.2</v>
      </c>
      <c r="C11">
        <v>5079885.0999999996</v>
      </c>
      <c r="D11">
        <v>11.088200000000001</v>
      </c>
      <c r="E11" t="s">
        <v>350</v>
      </c>
      <c r="F11">
        <v>5.8878342E-2</v>
      </c>
      <c r="G11" t="s">
        <v>351</v>
      </c>
      <c r="H11"/>
    </row>
    <row r="12" spans="1:8" x14ac:dyDescent="0.25">
      <c r="A12" t="s">
        <v>261</v>
      </c>
      <c r="B12">
        <v>293903.2</v>
      </c>
      <c r="C12">
        <v>5079885.0999999996</v>
      </c>
      <c r="D12">
        <v>10.6797</v>
      </c>
      <c r="E12" t="s">
        <v>350</v>
      </c>
      <c r="F12">
        <v>5.6709206999999998E-2</v>
      </c>
      <c r="G12" t="s">
        <v>351</v>
      </c>
      <c r="H12"/>
    </row>
    <row r="13" spans="1:8" x14ac:dyDescent="0.25">
      <c r="A13" t="s">
        <v>260</v>
      </c>
      <c r="B13">
        <v>293903.2</v>
      </c>
      <c r="C13">
        <v>5079885.0999999996</v>
      </c>
      <c r="D13">
        <v>9.9144100000000002</v>
      </c>
      <c r="E13" t="s">
        <v>350</v>
      </c>
      <c r="F13">
        <v>5.2645517099999997E-2</v>
      </c>
      <c r="G13" t="s">
        <v>351</v>
      </c>
      <c r="H13"/>
    </row>
    <row r="14" spans="1:8" x14ac:dyDescent="0.25">
      <c r="A14" t="s">
        <v>287</v>
      </c>
      <c r="B14">
        <v>293903.2</v>
      </c>
      <c r="C14">
        <v>5079885.0999999996</v>
      </c>
      <c r="D14">
        <v>11.82</v>
      </c>
      <c r="E14" t="s">
        <v>350</v>
      </c>
      <c r="F14">
        <v>4.7989200000000003E-2</v>
      </c>
      <c r="G14" t="s">
        <v>351</v>
      </c>
      <c r="H14"/>
    </row>
    <row r="15" spans="1:8" x14ac:dyDescent="0.25">
      <c r="A15" t="s">
        <v>281</v>
      </c>
      <c r="B15">
        <v>293903.2</v>
      </c>
      <c r="C15">
        <v>5079885.0999999996</v>
      </c>
      <c r="D15">
        <v>10.921900000000001</v>
      </c>
      <c r="E15" t="s">
        <v>350</v>
      </c>
      <c r="F15">
        <v>4.4342913999999997E-2</v>
      </c>
      <c r="G15" t="s">
        <v>351</v>
      </c>
      <c r="H15"/>
    </row>
    <row r="16" spans="1:8" x14ac:dyDescent="0.25">
      <c r="A16" t="s">
        <v>283</v>
      </c>
      <c r="B16">
        <v>293903.2</v>
      </c>
      <c r="C16">
        <v>5079885.0999999996</v>
      </c>
      <c r="D16">
        <v>10.5623</v>
      </c>
      <c r="E16" t="s">
        <v>350</v>
      </c>
      <c r="F16">
        <v>4.2882938000000002E-2</v>
      </c>
      <c r="G16" t="s">
        <v>351</v>
      </c>
      <c r="H16"/>
    </row>
    <row r="17" spans="1:8" x14ac:dyDescent="0.25">
      <c r="A17" t="s">
        <v>282</v>
      </c>
      <c r="B17">
        <v>293903.2</v>
      </c>
      <c r="C17">
        <v>5079885.0999999996</v>
      </c>
      <c r="D17">
        <v>10.234400000000001</v>
      </c>
      <c r="E17" t="s">
        <v>350</v>
      </c>
      <c r="F17">
        <v>4.1551664000000002E-2</v>
      </c>
      <c r="G17" t="s">
        <v>351</v>
      </c>
      <c r="H17"/>
    </row>
    <row r="18" spans="1:8" x14ac:dyDescent="0.25">
      <c r="A18" t="s">
        <v>284</v>
      </c>
      <c r="B18">
        <v>293903.2</v>
      </c>
      <c r="C18">
        <v>5079885.0999999996</v>
      </c>
      <c r="D18">
        <v>9.47499</v>
      </c>
      <c r="E18" t="s">
        <v>350</v>
      </c>
      <c r="F18">
        <v>3.8468459400000002E-2</v>
      </c>
      <c r="G18" t="s">
        <v>351</v>
      </c>
      <c r="H18"/>
    </row>
    <row r="19" spans="1:8" x14ac:dyDescent="0.25">
      <c r="A19" t="s">
        <v>263</v>
      </c>
      <c r="B19">
        <v>293903.2</v>
      </c>
      <c r="C19">
        <v>5079885.0999999996</v>
      </c>
      <c r="D19">
        <v>8.1805299999999992</v>
      </c>
      <c r="E19" t="s">
        <v>350</v>
      </c>
      <c r="F19">
        <v>3.3212951800000001E-2</v>
      </c>
      <c r="G19" t="s">
        <v>351</v>
      </c>
      <c r="H19"/>
    </row>
    <row r="20" spans="1:8" x14ac:dyDescent="0.25">
      <c r="A20" t="s">
        <v>264</v>
      </c>
      <c r="B20">
        <v>293903.2</v>
      </c>
      <c r="C20">
        <v>5079885.0999999996</v>
      </c>
      <c r="D20">
        <v>7.9626400000000004</v>
      </c>
      <c r="E20" t="s">
        <v>350</v>
      </c>
      <c r="F20">
        <v>3.23283184E-2</v>
      </c>
      <c r="G20" t="s">
        <v>351</v>
      </c>
      <c r="H20"/>
    </row>
    <row r="21" spans="1:8" x14ac:dyDescent="0.25">
      <c r="A21" t="s">
        <v>265</v>
      </c>
      <c r="B21">
        <v>293903.2</v>
      </c>
      <c r="C21">
        <v>5079885.0999999996</v>
      </c>
      <c r="D21">
        <v>7.7184100000000004</v>
      </c>
      <c r="E21" t="s">
        <v>350</v>
      </c>
      <c r="F21">
        <v>3.1336744600000001E-2</v>
      </c>
      <c r="G21" t="s">
        <v>351</v>
      </c>
      <c r="H21"/>
    </row>
    <row r="22" spans="1:8" x14ac:dyDescent="0.25">
      <c r="A22" t="s">
        <v>270</v>
      </c>
      <c r="B22">
        <v>293903.2</v>
      </c>
      <c r="C22">
        <v>5079885.0999999996</v>
      </c>
      <c r="D22">
        <v>7.5264800000000003</v>
      </c>
      <c r="E22" t="s">
        <v>350</v>
      </c>
      <c r="F22">
        <v>3.0557508800000001E-2</v>
      </c>
      <c r="G22" t="s">
        <v>351</v>
      </c>
      <c r="H22"/>
    </row>
    <row r="23" spans="1:8" x14ac:dyDescent="0.25">
      <c r="A23" t="s">
        <v>269</v>
      </c>
      <c r="B23">
        <v>293903.2</v>
      </c>
      <c r="C23">
        <v>5079885.0999999996</v>
      </c>
      <c r="D23">
        <v>7.3920399999999997</v>
      </c>
      <c r="E23" t="s">
        <v>350</v>
      </c>
      <c r="F23">
        <v>3.00116824E-2</v>
      </c>
      <c r="G23" t="s">
        <v>351</v>
      </c>
      <c r="H23"/>
    </row>
    <row r="24" spans="1:8" x14ac:dyDescent="0.25">
      <c r="A24" t="s">
        <v>266</v>
      </c>
      <c r="B24">
        <v>293903.2</v>
      </c>
      <c r="C24">
        <v>5079885.0999999996</v>
      </c>
      <c r="D24">
        <v>7.3828899999999997</v>
      </c>
      <c r="E24" t="s">
        <v>350</v>
      </c>
      <c r="F24">
        <v>2.99745334E-2</v>
      </c>
      <c r="G24" t="s">
        <v>351</v>
      </c>
      <c r="H24"/>
    </row>
    <row r="25" spans="1:8" x14ac:dyDescent="0.25">
      <c r="A25" t="s">
        <v>288</v>
      </c>
      <c r="B25">
        <v>293903.2</v>
      </c>
      <c r="C25">
        <v>5079885.0999999996</v>
      </c>
      <c r="D25">
        <v>7.1841400000000002</v>
      </c>
      <c r="E25" t="s">
        <v>350</v>
      </c>
      <c r="F25">
        <v>2.91676084E-2</v>
      </c>
      <c r="G25" t="s">
        <v>351</v>
      </c>
      <c r="H25"/>
    </row>
    <row r="26" spans="1:8" x14ac:dyDescent="0.25">
      <c r="A26" t="s">
        <v>298</v>
      </c>
      <c r="B26">
        <v>293903.2</v>
      </c>
      <c r="C26">
        <v>5079885.0999999996</v>
      </c>
      <c r="D26">
        <v>7.1275399999999998</v>
      </c>
      <c r="E26" t="s">
        <v>350</v>
      </c>
      <c r="F26">
        <v>2.8937812399999999E-2</v>
      </c>
      <c r="G26" t="s">
        <v>351</v>
      </c>
      <c r="H26"/>
    </row>
    <row r="27" spans="1:8" x14ac:dyDescent="0.25">
      <c r="A27" t="s">
        <v>272</v>
      </c>
      <c r="B27">
        <v>293903.2</v>
      </c>
      <c r="C27">
        <v>5079885.0999999996</v>
      </c>
      <c r="D27">
        <v>7.1059200000000002</v>
      </c>
      <c r="E27" t="s">
        <v>350</v>
      </c>
      <c r="F27">
        <v>2.8850035199999999E-2</v>
      </c>
      <c r="G27" t="s">
        <v>351</v>
      </c>
      <c r="H27"/>
    </row>
    <row r="28" spans="1:8" x14ac:dyDescent="0.25">
      <c r="A28" t="s">
        <v>267</v>
      </c>
      <c r="B28">
        <v>293903.2</v>
      </c>
      <c r="C28">
        <v>5079885.0999999996</v>
      </c>
      <c r="D28">
        <v>7.0708900000000003</v>
      </c>
      <c r="E28" t="s">
        <v>350</v>
      </c>
      <c r="F28">
        <v>2.8707813400000001E-2</v>
      </c>
      <c r="G28" t="s">
        <v>351</v>
      </c>
      <c r="H28"/>
    </row>
    <row r="29" spans="1:8" x14ac:dyDescent="0.25">
      <c r="A29" t="s">
        <v>286</v>
      </c>
      <c r="B29">
        <v>293903.2</v>
      </c>
      <c r="C29">
        <v>5079885.0999999996</v>
      </c>
      <c r="D29">
        <v>6.9674100000000001</v>
      </c>
      <c r="E29" t="s">
        <v>350</v>
      </c>
      <c r="F29">
        <v>2.8287684600000002E-2</v>
      </c>
      <c r="G29" t="s">
        <v>351</v>
      </c>
      <c r="H29"/>
    </row>
    <row r="30" spans="1:8" x14ac:dyDescent="0.25">
      <c r="A30" t="s">
        <v>271</v>
      </c>
      <c r="B30">
        <v>293903.2</v>
      </c>
      <c r="C30">
        <v>5079885.0999999996</v>
      </c>
      <c r="D30">
        <v>6.8956499999999998</v>
      </c>
      <c r="E30" t="s">
        <v>350</v>
      </c>
      <c r="F30">
        <v>2.7996338999999999E-2</v>
      </c>
      <c r="G30" t="s">
        <v>351</v>
      </c>
      <c r="H30"/>
    </row>
    <row r="31" spans="1:8" x14ac:dyDescent="0.25">
      <c r="A31" t="s">
        <v>348</v>
      </c>
      <c r="B31">
        <v>293903.2</v>
      </c>
      <c r="C31">
        <v>5079885.0999999996</v>
      </c>
      <c r="D31">
        <v>6.6303700000000001</v>
      </c>
      <c r="E31" t="s">
        <v>350</v>
      </c>
      <c r="F31">
        <v>2.7714946599999998E-2</v>
      </c>
      <c r="G31" t="s">
        <v>351</v>
      </c>
      <c r="H31"/>
    </row>
    <row r="32" spans="1:8" x14ac:dyDescent="0.25">
      <c r="A32" t="s">
        <v>297</v>
      </c>
      <c r="B32">
        <v>293903.2</v>
      </c>
      <c r="C32">
        <v>5079885.0999999996</v>
      </c>
      <c r="D32">
        <v>6.6992799999999999</v>
      </c>
      <c r="E32" t="s">
        <v>350</v>
      </c>
      <c r="F32">
        <v>2.7199076799999999E-2</v>
      </c>
      <c r="G32" t="s">
        <v>351</v>
      </c>
      <c r="H32"/>
    </row>
    <row r="33" spans="1:8" x14ac:dyDescent="0.25">
      <c r="A33" t="s">
        <v>273</v>
      </c>
      <c r="B33">
        <v>293903.2</v>
      </c>
      <c r="C33">
        <v>5079885.0999999996</v>
      </c>
      <c r="D33">
        <v>6.5578500000000002</v>
      </c>
      <c r="E33" t="s">
        <v>350</v>
      </c>
      <c r="F33">
        <v>2.6624871000000001E-2</v>
      </c>
      <c r="G33" t="s">
        <v>351</v>
      </c>
      <c r="H33"/>
    </row>
    <row r="34" spans="1:8" x14ac:dyDescent="0.25">
      <c r="A34" t="s">
        <v>274</v>
      </c>
      <c r="B34">
        <v>293903.2</v>
      </c>
      <c r="C34">
        <v>5079885.0999999996</v>
      </c>
      <c r="D34">
        <v>6.3598800000000004</v>
      </c>
      <c r="E34" t="s">
        <v>350</v>
      </c>
      <c r="F34">
        <v>2.5821112800000001E-2</v>
      </c>
      <c r="G34" t="s">
        <v>351</v>
      </c>
      <c r="H34"/>
    </row>
    <row r="35" spans="1:8" x14ac:dyDescent="0.25">
      <c r="A35" t="s">
        <v>276</v>
      </c>
      <c r="B35">
        <v>293903.2</v>
      </c>
      <c r="C35">
        <v>5079885.0999999996</v>
      </c>
      <c r="D35">
        <v>6.0484499999999999</v>
      </c>
      <c r="E35" t="s">
        <v>350</v>
      </c>
      <c r="F35">
        <v>2.4556707000000001E-2</v>
      </c>
      <c r="G35" t="s">
        <v>351</v>
      </c>
      <c r="H35"/>
    </row>
    <row r="36" spans="1:8" x14ac:dyDescent="0.25">
      <c r="A36" t="s">
        <v>296</v>
      </c>
      <c r="B36">
        <v>293903.2</v>
      </c>
      <c r="C36">
        <v>5079885.0999999996</v>
      </c>
      <c r="D36">
        <v>6.0362900000000002</v>
      </c>
      <c r="E36" t="s">
        <v>350</v>
      </c>
      <c r="F36">
        <v>2.4507337399999999E-2</v>
      </c>
      <c r="G36" t="s">
        <v>351</v>
      </c>
      <c r="H36"/>
    </row>
    <row r="37" spans="1:8" x14ac:dyDescent="0.25">
      <c r="A37" t="s">
        <v>285</v>
      </c>
      <c r="B37">
        <v>293903.2</v>
      </c>
      <c r="C37">
        <v>5079885.0999999996</v>
      </c>
      <c r="D37">
        <v>6.0256499999999997</v>
      </c>
      <c r="E37" t="s">
        <v>350</v>
      </c>
      <c r="F37">
        <v>2.4464138999999999E-2</v>
      </c>
      <c r="G37" t="s">
        <v>351</v>
      </c>
      <c r="H37"/>
    </row>
    <row r="38" spans="1:8" x14ac:dyDescent="0.25">
      <c r="A38" t="s">
        <v>255</v>
      </c>
      <c r="B38">
        <v>293903.2</v>
      </c>
      <c r="C38">
        <v>5079885.0999999996</v>
      </c>
      <c r="D38">
        <v>5.3539099999999999</v>
      </c>
      <c r="E38" t="s">
        <v>350</v>
      </c>
      <c r="F38">
        <v>2.4199673200000001E-2</v>
      </c>
      <c r="G38" t="s">
        <v>351</v>
      </c>
      <c r="H38"/>
    </row>
    <row r="39" spans="1:8" x14ac:dyDescent="0.25">
      <c r="A39" t="s">
        <v>268</v>
      </c>
      <c r="B39">
        <v>293903.2</v>
      </c>
      <c r="C39">
        <v>5079885.0999999996</v>
      </c>
      <c r="D39">
        <v>5.9275700000000002</v>
      </c>
      <c r="E39" t="s">
        <v>350</v>
      </c>
      <c r="F39">
        <v>2.40659342E-2</v>
      </c>
      <c r="G39" t="s">
        <v>351</v>
      </c>
      <c r="H39"/>
    </row>
    <row r="40" spans="1:8" x14ac:dyDescent="0.25">
      <c r="A40" t="s">
        <v>343</v>
      </c>
      <c r="B40">
        <v>293903.2</v>
      </c>
      <c r="C40">
        <v>5079885.0999999996</v>
      </c>
      <c r="D40">
        <v>12.794600000000001</v>
      </c>
      <c r="E40" t="s">
        <v>350</v>
      </c>
      <c r="F40">
        <v>2.3925901999999999E-2</v>
      </c>
      <c r="G40" t="s">
        <v>351</v>
      </c>
      <c r="H40"/>
    </row>
    <row r="41" spans="1:8" x14ac:dyDescent="0.25">
      <c r="A41" t="s">
        <v>341</v>
      </c>
      <c r="B41">
        <v>293903.2</v>
      </c>
      <c r="C41">
        <v>5079885.0999999996</v>
      </c>
      <c r="D41">
        <v>12.7928</v>
      </c>
      <c r="E41" t="s">
        <v>350</v>
      </c>
      <c r="F41">
        <v>2.3922536000000001E-2</v>
      </c>
      <c r="G41" t="s">
        <v>351</v>
      </c>
      <c r="H41"/>
    </row>
    <row r="42" spans="1:8" x14ac:dyDescent="0.25">
      <c r="A42" t="s">
        <v>275</v>
      </c>
      <c r="B42">
        <v>293903.2</v>
      </c>
      <c r="C42">
        <v>5079885.0999999996</v>
      </c>
      <c r="D42">
        <v>5.8719000000000001</v>
      </c>
      <c r="E42" t="s">
        <v>350</v>
      </c>
      <c r="F42">
        <v>2.3839914E-2</v>
      </c>
      <c r="G42" t="s">
        <v>351</v>
      </c>
      <c r="H42"/>
    </row>
    <row r="43" spans="1:8" x14ac:dyDescent="0.25">
      <c r="A43" t="s">
        <v>327</v>
      </c>
      <c r="B43">
        <v>293903.2</v>
      </c>
      <c r="C43">
        <v>5079885.0999999996</v>
      </c>
      <c r="D43">
        <v>5.8005100000000001</v>
      </c>
      <c r="E43" t="s">
        <v>350</v>
      </c>
      <c r="F43">
        <v>2.35500706E-2</v>
      </c>
      <c r="G43" t="s">
        <v>351</v>
      </c>
      <c r="H43"/>
    </row>
    <row r="44" spans="1:8" x14ac:dyDescent="0.25">
      <c r="A44" t="s">
        <v>344</v>
      </c>
      <c r="B44">
        <v>293903.2</v>
      </c>
      <c r="C44">
        <v>5079885.0999999996</v>
      </c>
      <c r="D44">
        <v>13.3675</v>
      </c>
      <c r="E44" t="s">
        <v>350</v>
      </c>
      <c r="F44">
        <v>2.3393125000000001E-2</v>
      </c>
      <c r="G44" t="s">
        <v>351</v>
      </c>
      <c r="H44"/>
    </row>
    <row r="45" spans="1:8" x14ac:dyDescent="0.25">
      <c r="A45" t="s">
        <v>300</v>
      </c>
      <c r="B45">
        <v>293903.2</v>
      </c>
      <c r="C45">
        <v>5079885.0999999996</v>
      </c>
      <c r="D45">
        <v>5.6994999999999996</v>
      </c>
      <c r="E45" t="s">
        <v>350</v>
      </c>
      <c r="F45">
        <v>2.3139969999999999E-2</v>
      </c>
      <c r="G45" t="s">
        <v>351</v>
      </c>
      <c r="H45"/>
    </row>
    <row r="46" spans="1:8" x14ac:dyDescent="0.25">
      <c r="A46" t="s">
        <v>277</v>
      </c>
      <c r="B46">
        <v>293903.2</v>
      </c>
      <c r="C46">
        <v>5079885.0999999996</v>
      </c>
      <c r="D46">
        <v>5.6220299999999996</v>
      </c>
      <c r="E46" t="s">
        <v>350</v>
      </c>
      <c r="F46">
        <v>2.2825441799999999E-2</v>
      </c>
      <c r="G46" t="s">
        <v>351</v>
      </c>
      <c r="H46"/>
    </row>
    <row r="47" spans="1:8" x14ac:dyDescent="0.25">
      <c r="A47" t="s">
        <v>328</v>
      </c>
      <c r="B47">
        <v>293903.2</v>
      </c>
      <c r="C47">
        <v>5079885.0999999996</v>
      </c>
      <c r="D47">
        <v>5.5901300000000003</v>
      </c>
      <c r="E47" t="s">
        <v>350</v>
      </c>
      <c r="F47">
        <v>2.2695927800000001E-2</v>
      </c>
      <c r="G47" t="s">
        <v>351</v>
      </c>
      <c r="H47"/>
    </row>
    <row r="48" spans="1:8" x14ac:dyDescent="0.25">
      <c r="A48" t="s">
        <v>256</v>
      </c>
      <c r="B48">
        <v>293903.2</v>
      </c>
      <c r="C48">
        <v>5079885.0999999996</v>
      </c>
      <c r="D48">
        <v>4.9157900000000003</v>
      </c>
      <c r="E48" t="s">
        <v>350</v>
      </c>
      <c r="F48">
        <v>2.2219370799999999E-2</v>
      </c>
      <c r="G48" t="s">
        <v>351</v>
      </c>
      <c r="H48"/>
    </row>
    <row r="49" spans="1:8" x14ac:dyDescent="0.25">
      <c r="A49" t="s">
        <v>326</v>
      </c>
      <c r="B49">
        <v>293903.2</v>
      </c>
      <c r="C49">
        <v>5079885.0999999996</v>
      </c>
      <c r="D49">
        <v>5.0998900000000003</v>
      </c>
      <c r="E49" t="s">
        <v>350</v>
      </c>
      <c r="F49">
        <v>2.07055534E-2</v>
      </c>
      <c r="G49" t="s">
        <v>351</v>
      </c>
      <c r="H49"/>
    </row>
    <row r="50" spans="1:8" x14ac:dyDescent="0.25">
      <c r="A50" t="s">
        <v>323</v>
      </c>
      <c r="B50">
        <v>293903.2</v>
      </c>
      <c r="C50">
        <v>5079885.0999999996</v>
      </c>
      <c r="D50">
        <v>5.0857400000000004</v>
      </c>
      <c r="E50" t="s">
        <v>350</v>
      </c>
      <c r="F50">
        <v>2.0648104399999999E-2</v>
      </c>
      <c r="G50" t="s">
        <v>351</v>
      </c>
      <c r="H50"/>
    </row>
    <row r="51" spans="1:8" x14ac:dyDescent="0.25">
      <c r="A51" t="s">
        <v>259</v>
      </c>
      <c r="B51">
        <v>293903.2</v>
      </c>
      <c r="C51">
        <v>5079885.0999999996</v>
      </c>
      <c r="D51">
        <v>5.0818500000000002</v>
      </c>
      <c r="E51" t="s">
        <v>350</v>
      </c>
      <c r="F51">
        <v>2.0632311E-2</v>
      </c>
      <c r="G51" t="s">
        <v>351</v>
      </c>
      <c r="H51"/>
    </row>
    <row r="52" spans="1:8" x14ac:dyDescent="0.25">
      <c r="A52" t="s">
        <v>324</v>
      </c>
      <c r="B52">
        <v>293903.2</v>
      </c>
      <c r="C52">
        <v>5079885.0999999996</v>
      </c>
      <c r="D52">
        <v>5.02346</v>
      </c>
      <c r="E52" t="s">
        <v>350</v>
      </c>
      <c r="F52">
        <v>2.0395247599999999E-2</v>
      </c>
      <c r="G52" t="s">
        <v>351</v>
      </c>
      <c r="H52"/>
    </row>
    <row r="53" spans="1:8" x14ac:dyDescent="0.25">
      <c r="A53" t="s">
        <v>325</v>
      </c>
      <c r="B53">
        <v>293903.2</v>
      </c>
      <c r="C53">
        <v>5079885.0999999996</v>
      </c>
      <c r="D53">
        <v>4.9971300000000003</v>
      </c>
      <c r="E53" t="s">
        <v>350</v>
      </c>
      <c r="F53">
        <v>2.0288347799999999E-2</v>
      </c>
      <c r="G53" t="s">
        <v>351</v>
      </c>
      <c r="H53"/>
    </row>
    <row r="54" spans="1:8" x14ac:dyDescent="0.25">
      <c r="A54" t="s">
        <v>321</v>
      </c>
      <c r="B54">
        <v>293903.2</v>
      </c>
      <c r="C54">
        <v>5079885.0999999996</v>
      </c>
      <c r="D54">
        <v>4.9661799999999996</v>
      </c>
      <c r="E54" t="s">
        <v>350</v>
      </c>
      <c r="F54">
        <v>2.0162690800000001E-2</v>
      </c>
      <c r="G54" t="s">
        <v>351</v>
      </c>
      <c r="H54"/>
    </row>
    <row r="55" spans="1:8" x14ac:dyDescent="0.25">
      <c r="A55" t="s">
        <v>329</v>
      </c>
      <c r="B55">
        <v>293903.2</v>
      </c>
      <c r="C55">
        <v>5079885.0999999996</v>
      </c>
      <c r="D55">
        <v>4.8661599999999998</v>
      </c>
      <c r="E55" t="s">
        <v>350</v>
      </c>
      <c r="F55">
        <v>1.9756609599999999E-2</v>
      </c>
      <c r="G55" t="s">
        <v>351</v>
      </c>
      <c r="H55"/>
    </row>
    <row r="56" spans="1:8" x14ac:dyDescent="0.25">
      <c r="A56" t="s">
        <v>280</v>
      </c>
      <c r="B56">
        <v>293903.2</v>
      </c>
      <c r="C56">
        <v>5079885.0999999996</v>
      </c>
      <c r="D56">
        <v>4.85649</v>
      </c>
      <c r="E56" t="s">
        <v>350</v>
      </c>
      <c r="F56">
        <v>1.97173494E-2</v>
      </c>
      <c r="G56" t="s">
        <v>351</v>
      </c>
      <c r="H56"/>
    </row>
    <row r="57" spans="1:8" x14ac:dyDescent="0.25">
      <c r="A57" t="s">
        <v>254</v>
      </c>
      <c r="B57">
        <v>293903.2</v>
      </c>
      <c r="C57">
        <v>5079885.0999999996</v>
      </c>
      <c r="D57">
        <v>4.3534300000000004</v>
      </c>
      <c r="E57" t="s">
        <v>350</v>
      </c>
      <c r="F57">
        <v>1.96775036E-2</v>
      </c>
      <c r="G57" t="s">
        <v>351</v>
      </c>
      <c r="H57"/>
    </row>
    <row r="58" spans="1:8" x14ac:dyDescent="0.25">
      <c r="A58" t="s">
        <v>322</v>
      </c>
      <c r="B58">
        <v>293903.2</v>
      </c>
      <c r="C58">
        <v>5079885.0999999996</v>
      </c>
      <c r="D58">
        <v>4.8238200000000004</v>
      </c>
      <c r="E58" t="s">
        <v>350</v>
      </c>
      <c r="F58">
        <v>1.9584709200000001E-2</v>
      </c>
      <c r="G58" t="s">
        <v>351</v>
      </c>
      <c r="H58"/>
    </row>
    <row r="59" spans="1:8" x14ac:dyDescent="0.25">
      <c r="A59" t="s">
        <v>253</v>
      </c>
      <c r="B59">
        <v>293903.2</v>
      </c>
      <c r="C59">
        <v>5079885.0999999996</v>
      </c>
      <c r="D59">
        <v>4.2307600000000001</v>
      </c>
      <c r="E59" t="s">
        <v>350</v>
      </c>
      <c r="F59">
        <v>1.9123035199999999E-2</v>
      </c>
      <c r="G59" t="s">
        <v>351</v>
      </c>
      <c r="H59"/>
    </row>
    <row r="60" spans="1:8" x14ac:dyDescent="0.25">
      <c r="A60" t="s">
        <v>252</v>
      </c>
      <c r="B60">
        <v>293903.2</v>
      </c>
      <c r="C60">
        <v>5079885.0999999996</v>
      </c>
      <c r="D60">
        <v>3.98888</v>
      </c>
      <c r="E60" t="s">
        <v>350</v>
      </c>
      <c r="F60">
        <v>1.8029737600000002E-2</v>
      </c>
      <c r="G60" t="s">
        <v>351</v>
      </c>
      <c r="H60"/>
    </row>
    <row r="61" spans="1:8" x14ac:dyDescent="0.25">
      <c r="A61" t="s">
        <v>258</v>
      </c>
      <c r="B61">
        <v>293903.2</v>
      </c>
      <c r="C61">
        <v>5079885.0999999996</v>
      </c>
      <c r="D61">
        <v>4.4175000000000004</v>
      </c>
      <c r="E61" t="s">
        <v>350</v>
      </c>
      <c r="F61">
        <v>1.7935050000000001E-2</v>
      </c>
      <c r="G61" t="s">
        <v>351</v>
      </c>
      <c r="H61"/>
    </row>
    <row r="62" spans="1:8" x14ac:dyDescent="0.25">
      <c r="A62" t="s">
        <v>299</v>
      </c>
      <c r="B62">
        <v>293903.2</v>
      </c>
      <c r="C62">
        <v>5079885.0999999996</v>
      </c>
      <c r="D62">
        <v>4.2665800000000003</v>
      </c>
      <c r="E62" t="s">
        <v>350</v>
      </c>
      <c r="F62">
        <v>1.7322314799999999E-2</v>
      </c>
      <c r="G62" t="s">
        <v>351</v>
      </c>
      <c r="H62"/>
    </row>
    <row r="63" spans="1:8" x14ac:dyDescent="0.25">
      <c r="A63" t="s">
        <v>278</v>
      </c>
      <c r="B63">
        <v>293903.2</v>
      </c>
      <c r="C63">
        <v>5079885.0999999996</v>
      </c>
      <c r="D63">
        <v>3.9074900000000001</v>
      </c>
      <c r="E63" t="s">
        <v>350</v>
      </c>
      <c r="F63">
        <v>1.5864409400000001E-2</v>
      </c>
      <c r="G63" t="s">
        <v>351</v>
      </c>
      <c r="H63"/>
    </row>
    <row r="64" spans="1:8" x14ac:dyDescent="0.25">
      <c r="A64" t="s">
        <v>342</v>
      </c>
      <c r="B64">
        <v>293903.2</v>
      </c>
      <c r="C64">
        <v>5079885.0999999996</v>
      </c>
      <c r="D64">
        <v>8.9270600000000009</v>
      </c>
      <c r="E64" t="s">
        <v>350</v>
      </c>
      <c r="F64">
        <v>1.5622354999999999E-2</v>
      </c>
      <c r="G64" t="s">
        <v>351</v>
      </c>
      <c r="H64"/>
    </row>
    <row r="65" spans="1:8" x14ac:dyDescent="0.25">
      <c r="A65" t="s">
        <v>249</v>
      </c>
      <c r="B65">
        <v>293903.2</v>
      </c>
      <c r="C65">
        <v>5079885.0999999996</v>
      </c>
      <c r="D65">
        <v>3.4190299999999998</v>
      </c>
      <c r="E65" t="s">
        <v>350</v>
      </c>
      <c r="F65">
        <v>1.5454015600000001E-2</v>
      </c>
      <c r="G65" t="s">
        <v>351</v>
      </c>
      <c r="H65"/>
    </row>
    <row r="66" spans="1:8" x14ac:dyDescent="0.25">
      <c r="A66" t="s">
        <v>319</v>
      </c>
      <c r="B66">
        <v>293903.2</v>
      </c>
      <c r="C66">
        <v>5079885.0999999996</v>
      </c>
      <c r="D66">
        <v>3.3320599999999998</v>
      </c>
      <c r="E66" t="s">
        <v>350</v>
      </c>
      <c r="F66">
        <v>1.35281636E-2</v>
      </c>
      <c r="G66" t="s">
        <v>351</v>
      </c>
      <c r="H66"/>
    </row>
    <row r="67" spans="1:8" x14ac:dyDescent="0.25">
      <c r="A67" t="s">
        <v>257</v>
      </c>
      <c r="B67">
        <v>293903.2</v>
      </c>
      <c r="C67">
        <v>5079885.0999999996</v>
      </c>
      <c r="D67">
        <v>3.31887</v>
      </c>
      <c r="E67" t="s">
        <v>350</v>
      </c>
      <c r="F67">
        <v>1.34746122E-2</v>
      </c>
      <c r="G67" t="s">
        <v>351</v>
      </c>
      <c r="H67"/>
    </row>
    <row r="68" spans="1:8" x14ac:dyDescent="0.25">
      <c r="A68" t="s">
        <v>320</v>
      </c>
      <c r="B68">
        <v>293903.2</v>
      </c>
      <c r="C68">
        <v>5079885.0999999996</v>
      </c>
      <c r="D68">
        <v>3.2513200000000002</v>
      </c>
      <c r="E68" t="s">
        <v>350</v>
      </c>
      <c r="F68">
        <v>1.3200359199999999E-2</v>
      </c>
      <c r="G68" t="s">
        <v>351</v>
      </c>
      <c r="H68"/>
    </row>
    <row r="69" spans="1:8" x14ac:dyDescent="0.25">
      <c r="A69" t="s">
        <v>317</v>
      </c>
      <c r="B69">
        <v>293903.2</v>
      </c>
      <c r="C69">
        <v>5079885.0999999996</v>
      </c>
      <c r="D69">
        <v>3.21285</v>
      </c>
      <c r="E69" t="s">
        <v>350</v>
      </c>
      <c r="F69">
        <v>1.3044171E-2</v>
      </c>
      <c r="G69" t="s">
        <v>351</v>
      </c>
      <c r="H69"/>
    </row>
    <row r="70" spans="1:8" x14ac:dyDescent="0.25">
      <c r="A70" t="s">
        <v>318</v>
      </c>
      <c r="B70">
        <v>293903.2</v>
      </c>
      <c r="C70">
        <v>5079885.0999999996</v>
      </c>
      <c r="D70">
        <v>3.1201599999999998</v>
      </c>
      <c r="E70" t="s">
        <v>350</v>
      </c>
      <c r="F70">
        <v>1.2667849599999999E-2</v>
      </c>
      <c r="G70" t="s">
        <v>351</v>
      </c>
      <c r="H70"/>
    </row>
    <row r="71" spans="1:8" x14ac:dyDescent="0.25">
      <c r="A71" t="s">
        <v>315</v>
      </c>
      <c r="B71">
        <v>293903.2</v>
      </c>
      <c r="C71">
        <v>5079885.0999999996</v>
      </c>
      <c r="D71">
        <v>3.0547599999999999</v>
      </c>
      <c r="E71" t="s">
        <v>350</v>
      </c>
      <c r="F71">
        <v>1.24023256E-2</v>
      </c>
      <c r="G71" t="s">
        <v>351</v>
      </c>
      <c r="H71"/>
    </row>
    <row r="72" spans="1:8" x14ac:dyDescent="0.25">
      <c r="A72" t="s">
        <v>316</v>
      </c>
      <c r="B72">
        <v>293903.2</v>
      </c>
      <c r="C72">
        <v>5079885.0999999996</v>
      </c>
      <c r="D72">
        <v>2.9221400000000002</v>
      </c>
      <c r="E72" t="s">
        <v>350</v>
      </c>
      <c r="F72">
        <v>1.18638884E-2</v>
      </c>
      <c r="G72" t="s">
        <v>351</v>
      </c>
      <c r="H72"/>
    </row>
    <row r="73" spans="1:8" x14ac:dyDescent="0.25">
      <c r="A73" t="s">
        <v>312</v>
      </c>
      <c r="B73">
        <v>293903.2</v>
      </c>
      <c r="C73">
        <v>5079885.0999999996</v>
      </c>
      <c r="D73">
        <v>2.8273100000000002</v>
      </c>
      <c r="E73" t="s">
        <v>350</v>
      </c>
      <c r="F73">
        <v>1.1478878600000001E-2</v>
      </c>
      <c r="G73" t="s">
        <v>351</v>
      </c>
      <c r="H73"/>
    </row>
    <row r="74" spans="1:8" x14ac:dyDescent="0.25">
      <c r="A74" t="s">
        <v>340</v>
      </c>
      <c r="B74">
        <v>293903.2</v>
      </c>
      <c r="C74">
        <v>5079885.0999999996</v>
      </c>
      <c r="D74">
        <v>5.9801299999999999</v>
      </c>
      <c r="E74" t="s">
        <v>350</v>
      </c>
      <c r="F74">
        <v>1.1182843099999999E-2</v>
      </c>
      <c r="G74" t="s">
        <v>351</v>
      </c>
      <c r="H74"/>
    </row>
    <row r="75" spans="1:8" x14ac:dyDescent="0.25">
      <c r="A75" t="s">
        <v>313</v>
      </c>
      <c r="B75">
        <v>293903.2</v>
      </c>
      <c r="C75">
        <v>5079885.0999999996</v>
      </c>
      <c r="D75">
        <v>2.6572300000000002</v>
      </c>
      <c r="E75" t="s">
        <v>350</v>
      </c>
      <c r="F75">
        <v>1.0788353800000001E-2</v>
      </c>
      <c r="G75" t="s">
        <v>351</v>
      </c>
      <c r="H75"/>
    </row>
    <row r="76" spans="1:8" x14ac:dyDescent="0.25">
      <c r="A76" t="s">
        <v>301</v>
      </c>
      <c r="B76">
        <v>293903.2</v>
      </c>
      <c r="C76">
        <v>5079885.0999999996</v>
      </c>
      <c r="D76">
        <v>2.6488200000000002</v>
      </c>
      <c r="E76" t="s">
        <v>350</v>
      </c>
      <c r="F76">
        <v>1.07542092E-2</v>
      </c>
      <c r="G76" t="s">
        <v>351</v>
      </c>
      <c r="H76"/>
    </row>
    <row r="77" spans="1:8" x14ac:dyDescent="0.25">
      <c r="A77" t="s">
        <v>314</v>
      </c>
      <c r="B77">
        <v>293903.2</v>
      </c>
      <c r="C77">
        <v>5079885.0999999996</v>
      </c>
      <c r="D77">
        <v>2.51783</v>
      </c>
      <c r="E77" t="s">
        <v>350</v>
      </c>
      <c r="F77">
        <v>1.02223898E-2</v>
      </c>
      <c r="G77" t="s">
        <v>351</v>
      </c>
      <c r="H77"/>
    </row>
    <row r="78" spans="1:8" x14ac:dyDescent="0.25">
      <c r="A78" t="s">
        <v>302</v>
      </c>
      <c r="B78">
        <v>293903.2</v>
      </c>
      <c r="C78">
        <v>5079885.0999999996</v>
      </c>
      <c r="D78">
        <v>2.5110800000000002</v>
      </c>
      <c r="E78" t="s">
        <v>350</v>
      </c>
      <c r="F78">
        <v>1.0194984799999999E-2</v>
      </c>
      <c r="G78" t="s">
        <v>351</v>
      </c>
      <c r="H78"/>
    </row>
    <row r="79" spans="1:8" x14ac:dyDescent="0.25">
      <c r="A79" t="s">
        <v>311</v>
      </c>
      <c r="B79">
        <v>293903.2</v>
      </c>
      <c r="C79">
        <v>5079885.0999999996</v>
      </c>
      <c r="D79">
        <v>1.81636</v>
      </c>
      <c r="E79" t="s">
        <v>350</v>
      </c>
      <c r="F79">
        <v>7.3744216000000001E-3</v>
      </c>
      <c r="G79" t="s">
        <v>351</v>
      </c>
      <c r="H79"/>
    </row>
    <row r="80" spans="1:8" x14ac:dyDescent="0.25">
      <c r="A80" t="s">
        <v>309</v>
      </c>
      <c r="B80">
        <v>293903.2</v>
      </c>
      <c r="C80">
        <v>5079885.0999999996</v>
      </c>
      <c r="D80">
        <v>1.7362</v>
      </c>
      <c r="E80" t="s">
        <v>350</v>
      </c>
      <c r="F80">
        <v>7.0489719999999997E-3</v>
      </c>
      <c r="G80" t="s">
        <v>351</v>
      </c>
      <c r="H80"/>
    </row>
    <row r="81" spans="1:8" x14ac:dyDescent="0.25">
      <c r="A81" t="s">
        <v>332</v>
      </c>
      <c r="B81">
        <v>293903.2</v>
      </c>
      <c r="C81">
        <v>5079885.0999999996</v>
      </c>
      <c r="D81">
        <v>1.7085399999999999</v>
      </c>
      <c r="E81" t="s">
        <v>350</v>
      </c>
      <c r="F81">
        <v>6.9366723999999998E-3</v>
      </c>
      <c r="G81" t="s">
        <v>351</v>
      </c>
      <c r="H81"/>
    </row>
    <row r="82" spans="1:8" x14ac:dyDescent="0.25">
      <c r="A82" t="s">
        <v>310</v>
      </c>
      <c r="B82">
        <v>293903.2</v>
      </c>
      <c r="C82">
        <v>5079885.0999999996</v>
      </c>
      <c r="D82">
        <v>1.6050800000000001</v>
      </c>
      <c r="E82" t="s">
        <v>350</v>
      </c>
      <c r="F82">
        <v>6.5166247999999998E-3</v>
      </c>
      <c r="G82" t="s">
        <v>351</v>
      </c>
      <c r="H82"/>
    </row>
    <row r="83" spans="1:8" x14ac:dyDescent="0.25">
      <c r="A83" t="s">
        <v>331</v>
      </c>
      <c r="B83">
        <v>293903.2</v>
      </c>
      <c r="C83">
        <v>5079885.0999999996</v>
      </c>
      <c r="D83">
        <v>1.58839</v>
      </c>
      <c r="E83" t="s">
        <v>350</v>
      </c>
      <c r="F83">
        <v>6.4488634000000001E-3</v>
      </c>
      <c r="G83" t="s">
        <v>351</v>
      </c>
      <c r="H83"/>
    </row>
    <row r="84" spans="1:8" x14ac:dyDescent="0.25">
      <c r="A84" t="s">
        <v>307</v>
      </c>
      <c r="B84">
        <v>293903.2</v>
      </c>
      <c r="C84">
        <v>5079885.0999999996</v>
      </c>
      <c r="D84">
        <v>1.53331</v>
      </c>
      <c r="E84" t="s">
        <v>350</v>
      </c>
      <c r="F84">
        <v>6.2252386000000003E-3</v>
      </c>
      <c r="G84" t="s">
        <v>351</v>
      </c>
      <c r="H84"/>
    </row>
    <row r="85" spans="1:8" x14ac:dyDescent="0.25">
      <c r="A85" t="s">
        <v>330</v>
      </c>
      <c r="B85">
        <v>293903.2</v>
      </c>
      <c r="C85">
        <v>5079885.0999999996</v>
      </c>
      <c r="D85">
        <v>1.4643200000000001</v>
      </c>
      <c r="E85" t="s">
        <v>350</v>
      </c>
      <c r="F85">
        <v>5.9451392000000004E-3</v>
      </c>
      <c r="G85" t="s">
        <v>351</v>
      </c>
      <c r="H85"/>
    </row>
    <row r="86" spans="1:8" x14ac:dyDescent="0.25">
      <c r="A86" t="s">
        <v>334</v>
      </c>
      <c r="B86">
        <v>293903.2</v>
      </c>
      <c r="C86">
        <v>5079885.0999999996</v>
      </c>
      <c r="D86">
        <v>1.4183399999999999</v>
      </c>
      <c r="E86" t="s">
        <v>350</v>
      </c>
      <c r="F86">
        <v>5.7584604000000001E-3</v>
      </c>
      <c r="G86" t="s">
        <v>351</v>
      </c>
      <c r="H86"/>
    </row>
    <row r="87" spans="1:8" x14ac:dyDescent="0.25">
      <c r="A87" t="s">
        <v>308</v>
      </c>
      <c r="B87">
        <v>293903.2</v>
      </c>
      <c r="C87">
        <v>5079885.0999999996</v>
      </c>
      <c r="D87">
        <v>1.4168700000000001</v>
      </c>
      <c r="E87" t="s">
        <v>350</v>
      </c>
      <c r="F87">
        <v>5.7524921999999997E-3</v>
      </c>
      <c r="G87" t="s">
        <v>351</v>
      </c>
      <c r="H87"/>
    </row>
    <row r="88" spans="1:8" x14ac:dyDescent="0.25">
      <c r="A88" t="s">
        <v>333</v>
      </c>
      <c r="B88">
        <v>293903.2</v>
      </c>
      <c r="C88">
        <v>5079885.0999999996</v>
      </c>
      <c r="D88">
        <v>1.369</v>
      </c>
      <c r="E88" t="s">
        <v>350</v>
      </c>
      <c r="F88">
        <v>5.5581399999999996E-3</v>
      </c>
      <c r="G88" t="s">
        <v>351</v>
      </c>
      <c r="H88"/>
    </row>
    <row r="89" spans="1:8" x14ac:dyDescent="0.25">
      <c r="A89" t="s">
        <v>347</v>
      </c>
      <c r="B89">
        <v>293903.2</v>
      </c>
      <c r="C89">
        <v>5079885.0999999996</v>
      </c>
      <c r="D89">
        <v>1.65316</v>
      </c>
      <c r="E89" t="s">
        <v>350</v>
      </c>
      <c r="F89">
        <v>5.5546175999999997E-3</v>
      </c>
      <c r="G89" t="s">
        <v>351</v>
      </c>
      <c r="H89"/>
    </row>
    <row r="90" spans="1:8" x14ac:dyDescent="0.25">
      <c r="A90" t="s">
        <v>336</v>
      </c>
      <c r="B90">
        <v>293903.2</v>
      </c>
      <c r="C90">
        <v>5079885.0999999996</v>
      </c>
      <c r="D90">
        <v>1.3491599999999999</v>
      </c>
      <c r="E90" t="s">
        <v>350</v>
      </c>
      <c r="F90">
        <v>5.4775895999999999E-3</v>
      </c>
      <c r="G90" t="s">
        <v>351</v>
      </c>
      <c r="H90"/>
    </row>
    <row r="91" spans="1:8" x14ac:dyDescent="0.25">
      <c r="A91" t="s">
        <v>305</v>
      </c>
      <c r="B91">
        <v>293903.2</v>
      </c>
      <c r="C91">
        <v>5079885.0999999996</v>
      </c>
      <c r="D91">
        <v>1.34154</v>
      </c>
      <c r="E91" t="s">
        <v>350</v>
      </c>
      <c r="F91">
        <v>5.4466523999999999E-3</v>
      </c>
      <c r="G91" t="s">
        <v>351</v>
      </c>
      <c r="H91"/>
    </row>
    <row r="92" spans="1:8" x14ac:dyDescent="0.25">
      <c r="A92" t="s">
        <v>335</v>
      </c>
      <c r="B92">
        <v>293903.2</v>
      </c>
      <c r="C92">
        <v>5079885.0999999996</v>
      </c>
      <c r="D92">
        <v>1.30735</v>
      </c>
      <c r="E92" t="s">
        <v>350</v>
      </c>
      <c r="F92">
        <v>5.3078409999999998E-3</v>
      </c>
      <c r="G92" t="s">
        <v>351</v>
      </c>
      <c r="H92"/>
    </row>
    <row r="93" spans="1:8" x14ac:dyDescent="0.25">
      <c r="A93" t="s">
        <v>338</v>
      </c>
      <c r="B93">
        <v>293903.2</v>
      </c>
      <c r="C93">
        <v>5079885.0999999996</v>
      </c>
      <c r="D93">
        <v>1.2780499999999999</v>
      </c>
      <c r="E93" t="s">
        <v>350</v>
      </c>
      <c r="F93">
        <v>5.188883E-3</v>
      </c>
      <c r="G93" t="s">
        <v>351</v>
      </c>
      <c r="H93"/>
    </row>
    <row r="94" spans="1:8" x14ac:dyDescent="0.25">
      <c r="A94" t="s">
        <v>337</v>
      </c>
      <c r="B94">
        <v>293903.2</v>
      </c>
      <c r="C94">
        <v>5079885.0999999996</v>
      </c>
      <c r="D94">
        <v>1.25901</v>
      </c>
      <c r="E94" t="s">
        <v>350</v>
      </c>
      <c r="F94">
        <v>5.1115806000000003E-3</v>
      </c>
      <c r="G94" t="s">
        <v>351</v>
      </c>
      <c r="H94"/>
    </row>
    <row r="95" spans="1:8" x14ac:dyDescent="0.25">
      <c r="A95" t="s">
        <v>306</v>
      </c>
      <c r="B95">
        <v>293903.2</v>
      </c>
      <c r="C95">
        <v>5079885.0999999996</v>
      </c>
      <c r="D95">
        <v>1.2269699999999999</v>
      </c>
      <c r="E95" t="s">
        <v>350</v>
      </c>
      <c r="F95">
        <v>4.9814982000000001E-3</v>
      </c>
      <c r="G95" t="s">
        <v>351</v>
      </c>
      <c r="H95"/>
    </row>
    <row r="96" spans="1:8" x14ac:dyDescent="0.25">
      <c r="A96" t="s">
        <v>303</v>
      </c>
      <c r="B96">
        <v>293903.2</v>
      </c>
      <c r="C96">
        <v>5079885.0999999996</v>
      </c>
      <c r="D96">
        <v>1.1649799999999999</v>
      </c>
      <c r="E96" t="s">
        <v>350</v>
      </c>
      <c r="F96">
        <v>4.7298187999999996E-3</v>
      </c>
      <c r="G96" t="s">
        <v>351</v>
      </c>
      <c r="H96"/>
    </row>
    <row r="97" spans="1:8" x14ac:dyDescent="0.25">
      <c r="A97" t="s">
        <v>339</v>
      </c>
      <c r="B97">
        <v>293903.2</v>
      </c>
      <c r="C97">
        <v>5079885.0999999996</v>
      </c>
      <c r="D97">
        <v>2.6326800000000001</v>
      </c>
      <c r="E97" t="s">
        <v>350</v>
      </c>
      <c r="F97">
        <v>4.6071899999999997E-3</v>
      </c>
      <c r="G97" t="s">
        <v>351</v>
      </c>
      <c r="H97"/>
    </row>
    <row r="98" spans="1:8" x14ac:dyDescent="0.25">
      <c r="A98" t="s">
        <v>304</v>
      </c>
      <c r="B98">
        <v>293903.2</v>
      </c>
      <c r="C98">
        <v>5079885.0999999996</v>
      </c>
      <c r="D98">
        <v>1.05158</v>
      </c>
      <c r="E98" t="s">
        <v>350</v>
      </c>
      <c r="F98">
        <v>4.2694148000000003E-3</v>
      </c>
      <c r="G98" t="s">
        <v>351</v>
      </c>
      <c r="H98"/>
    </row>
    <row r="99" spans="1:8" x14ac:dyDescent="0.25">
      <c r="A99" t="s">
        <v>279</v>
      </c>
      <c r="B99">
        <v>293903.2</v>
      </c>
      <c r="C99">
        <v>5079885.0999999996</v>
      </c>
      <c r="D99">
        <v>1.02721</v>
      </c>
      <c r="E99" t="s">
        <v>350</v>
      </c>
      <c r="F99">
        <v>4.1704725999999999E-3</v>
      </c>
      <c r="G99" t="s">
        <v>351</v>
      </c>
      <c r="H99"/>
    </row>
  </sheetData>
  <autoFilter ref="A1:G1" xr:uid="{0FDD1CCE-23D2-4912-B7F0-5AF25F388EDF}">
    <sortState xmlns:xlrd2="http://schemas.microsoft.com/office/spreadsheetml/2017/richdata2" ref="A2:G99">
      <sortCondition descending="1" ref="F1"/>
    </sortState>
  </autoFilter>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58540-5E39-430F-9BFC-4617DEB9BC04}">
  <sheetPr codeName="Sheet8"/>
  <dimension ref="A1:H114"/>
  <sheetViews>
    <sheetView workbookViewId="0">
      <selection activeCell="K27" sqref="K27"/>
    </sheetView>
  </sheetViews>
  <sheetFormatPr defaultRowHeight="15" x14ac:dyDescent="0.25"/>
  <cols>
    <col min="1" max="1" width="9.42578125" style="444" bestFit="1" customWidth="1"/>
    <col min="2" max="7" width="9" style="444"/>
    <col min="8" max="8" width="9.140625" style="444"/>
  </cols>
  <sheetData>
    <row r="1" spans="1:8" x14ac:dyDescent="0.25">
      <c r="A1" t="s">
        <v>242</v>
      </c>
      <c r="B1" t="s">
        <v>243</v>
      </c>
      <c r="C1" t="s">
        <v>244</v>
      </c>
      <c r="D1" t="s">
        <v>245</v>
      </c>
      <c r="E1" t="s">
        <v>246</v>
      </c>
      <c r="F1" t="s">
        <v>352</v>
      </c>
      <c r="G1" t="s">
        <v>248</v>
      </c>
      <c r="H1"/>
    </row>
    <row r="2" spans="1:8" x14ac:dyDescent="0.25">
      <c r="A2" t="s">
        <v>249</v>
      </c>
      <c r="B2">
        <v>293875</v>
      </c>
      <c r="C2">
        <v>5079550</v>
      </c>
      <c r="D2">
        <v>1.48542</v>
      </c>
      <c r="E2" t="s">
        <v>353</v>
      </c>
      <c r="F2">
        <v>8.3480604E-2</v>
      </c>
      <c r="G2" t="s">
        <v>354</v>
      </c>
      <c r="H2"/>
    </row>
    <row r="3" spans="1:8" x14ac:dyDescent="0.25">
      <c r="A3" t="s">
        <v>252</v>
      </c>
      <c r="B3">
        <v>293875</v>
      </c>
      <c r="C3">
        <v>5079550</v>
      </c>
      <c r="D3">
        <v>1.5927899999999999</v>
      </c>
      <c r="E3" t="s">
        <v>353</v>
      </c>
      <c r="F3">
        <v>8.9514798000000007E-2</v>
      </c>
      <c r="G3" t="s">
        <v>354</v>
      </c>
      <c r="H3"/>
    </row>
    <row r="4" spans="1:8" x14ac:dyDescent="0.25">
      <c r="A4" t="s">
        <v>253</v>
      </c>
      <c r="B4">
        <v>293875</v>
      </c>
      <c r="C4">
        <v>5079550</v>
      </c>
      <c r="D4">
        <v>1.6611899999999999</v>
      </c>
      <c r="E4" t="s">
        <v>353</v>
      </c>
      <c r="F4">
        <v>9.3358878000000006E-2</v>
      </c>
      <c r="G4" t="s">
        <v>354</v>
      </c>
      <c r="H4"/>
    </row>
    <row r="5" spans="1:8" x14ac:dyDescent="0.25">
      <c r="A5" t="s">
        <v>254</v>
      </c>
      <c r="B5">
        <v>293875</v>
      </c>
      <c r="C5">
        <v>5079550</v>
      </c>
      <c r="D5">
        <v>1.74841</v>
      </c>
      <c r="E5" t="s">
        <v>353</v>
      </c>
      <c r="F5">
        <v>9.8260641999999995E-2</v>
      </c>
      <c r="G5" t="s">
        <v>354</v>
      </c>
      <c r="H5"/>
    </row>
    <row r="6" spans="1:8" x14ac:dyDescent="0.25">
      <c r="A6" t="s">
        <v>255</v>
      </c>
      <c r="B6">
        <v>293875</v>
      </c>
      <c r="C6">
        <v>5079550</v>
      </c>
      <c r="D6">
        <v>1.9480900000000001</v>
      </c>
      <c r="E6" t="s">
        <v>353</v>
      </c>
      <c r="F6">
        <v>0.109482658</v>
      </c>
      <c r="G6" t="s">
        <v>354</v>
      </c>
      <c r="H6"/>
    </row>
    <row r="7" spans="1:8" x14ac:dyDescent="0.25">
      <c r="A7" t="s">
        <v>256</v>
      </c>
      <c r="B7">
        <v>293875</v>
      </c>
      <c r="C7">
        <v>5079550</v>
      </c>
      <c r="D7">
        <v>1.8822700000000001</v>
      </c>
      <c r="E7" t="s">
        <v>353</v>
      </c>
      <c r="F7">
        <v>0.10578357400000001</v>
      </c>
      <c r="G7" t="s">
        <v>354</v>
      </c>
      <c r="H7"/>
    </row>
    <row r="8" spans="1:8" x14ac:dyDescent="0.25">
      <c r="A8" t="s">
        <v>257</v>
      </c>
      <c r="B8">
        <v>293875</v>
      </c>
      <c r="C8">
        <v>5079550</v>
      </c>
      <c r="D8">
        <v>1.5057700000000001</v>
      </c>
      <c r="E8" t="s">
        <v>353</v>
      </c>
      <c r="F8">
        <v>7.7998886000000003E-2</v>
      </c>
      <c r="G8" t="s">
        <v>354</v>
      </c>
      <c r="H8"/>
    </row>
    <row r="9" spans="1:8" x14ac:dyDescent="0.25">
      <c r="A9" t="s">
        <v>258</v>
      </c>
      <c r="B9">
        <v>293875</v>
      </c>
      <c r="C9">
        <v>5079550</v>
      </c>
      <c r="D9">
        <v>1.66852</v>
      </c>
      <c r="E9" t="s">
        <v>353</v>
      </c>
      <c r="F9">
        <v>8.6429335999999995E-2</v>
      </c>
      <c r="G9" t="s">
        <v>354</v>
      </c>
      <c r="H9"/>
    </row>
    <row r="10" spans="1:8" x14ac:dyDescent="0.25">
      <c r="A10" t="s">
        <v>259</v>
      </c>
      <c r="B10">
        <v>293875</v>
      </c>
      <c r="C10">
        <v>5079550</v>
      </c>
      <c r="D10">
        <v>1.72858</v>
      </c>
      <c r="E10" t="s">
        <v>353</v>
      </c>
      <c r="F10">
        <v>8.9540443999999997E-2</v>
      </c>
      <c r="G10" t="s">
        <v>354</v>
      </c>
      <c r="H10"/>
    </row>
    <row r="11" spans="1:8" x14ac:dyDescent="0.25">
      <c r="A11" t="s">
        <v>260</v>
      </c>
      <c r="B11">
        <v>293875</v>
      </c>
      <c r="C11">
        <v>5079550</v>
      </c>
      <c r="D11">
        <v>2.06751</v>
      </c>
      <c r="E11" t="s">
        <v>353</v>
      </c>
      <c r="F11">
        <v>0.136248909</v>
      </c>
      <c r="G11" t="s">
        <v>354</v>
      </c>
      <c r="H11"/>
    </row>
    <row r="12" spans="1:8" x14ac:dyDescent="0.25">
      <c r="A12" t="s">
        <v>261</v>
      </c>
      <c r="B12">
        <v>293875</v>
      </c>
      <c r="C12">
        <v>5079550</v>
      </c>
      <c r="D12">
        <v>2.1017199999999998</v>
      </c>
      <c r="E12" t="s">
        <v>353</v>
      </c>
      <c r="F12">
        <v>0.138503348</v>
      </c>
      <c r="G12" t="s">
        <v>354</v>
      </c>
      <c r="H12"/>
    </row>
    <row r="13" spans="1:8" x14ac:dyDescent="0.25">
      <c r="A13" t="s">
        <v>262</v>
      </c>
      <c r="B13">
        <v>293875</v>
      </c>
      <c r="C13">
        <v>5079550</v>
      </c>
      <c r="D13">
        <v>2.12487</v>
      </c>
      <c r="E13" t="s">
        <v>353</v>
      </c>
      <c r="F13">
        <v>0.14002893299999999</v>
      </c>
      <c r="G13" t="s">
        <v>354</v>
      </c>
      <c r="H13"/>
    </row>
    <row r="14" spans="1:8" x14ac:dyDescent="0.25">
      <c r="A14" t="s">
        <v>263</v>
      </c>
      <c r="B14">
        <v>293875</v>
      </c>
      <c r="C14">
        <v>5079550</v>
      </c>
      <c r="D14">
        <v>1.8747199999999999</v>
      </c>
      <c r="E14" t="s">
        <v>353</v>
      </c>
      <c r="F14">
        <v>9.7110496000000004E-2</v>
      </c>
      <c r="G14" t="s">
        <v>354</v>
      </c>
      <c r="H14"/>
    </row>
    <row r="15" spans="1:8" x14ac:dyDescent="0.25">
      <c r="A15" t="s">
        <v>264</v>
      </c>
      <c r="B15">
        <v>293875</v>
      </c>
      <c r="C15">
        <v>5079550</v>
      </c>
      <c r="D15">
        <v>1.84033</v>
      </c>
      <c r="E15" t="s">
        <v>353</v>
      </c>
      <c r="F15">
        <v>9.5329094000000003E-2</v>
      </c>
      <c r="G15" t="s">
        <v>354</v>
      </c>
      <c r="H15"/>
    </row>
    <row r="16" spans="1:8" x14ac:dyDescent="0.25">
      <c r="A16" t="s">
        <v>265</v>
      </c>
      <c r="B16">
        <v>293875</v>
      </c>
      <c r="C16">
        <v>5079550</v>
      </c>
      <c r="D16">
        <v>1.80314</v>
      </c>
      <c r="E16" t="s">
        <v>353</v>
      </c>
      <c r="F16">
        <v>9.3402652000000003E-2</v>
      </c>
      <c r="G16" t="s">
        <v>354</v>
      </c>
      <c r="H16"/>
    </row>
    <row r="17" spans="1:8" x14ac:dyDescent="0.25">
      <c r="A17" t="s">
        <v>266</v>
      </c>
      <c r="B17">
        <v>293875</v>
      </c>
      <c r="C17">
        <v>5079550</v>
      </c>
      <c r="D17">
        <v>1.7491099999999999</v>
      </c>
      <c r="E17" t="s">
        <v>353</v>
      </c>
      <c r="F17">
        <v>9.0603898000000002E-2</v>
      </c>
      <c r="G17" t="s">
        <v>354</v>
      </c>
      <c r="H17"/>
    </row>
    <row r="18" spans="1:8" x14ac:dyDescent="0.25">
      <c r="A18" t="s">
        <v>267</v>
      </c>
      <c r="B18">
        <v>293875</v>
      </c>
      <c r="C18">
        <v>5079550</v>
      </c>
      <c r="D18">
        <v>1.71784</v>
      </c>
      <c r="E18" t="s">
        <v>353</v>
      </c>
      <c r="F18">
        <v>8.8984112000000004E-2</v>
      </c>
      <c r="G18" t="s">
        <v>354</v>
      </c>
      <c r="H18"/>
    </row>
    <row r="19" spans="1:8" x14ac:dyDescent="0.25">
      <c r="A19" t="s">
        <v>268</v>
      </c>
      <c r="B19">
        <v>293875</v>
      </c>
      <c r="C19">
        <v>5079550</v>
      </c>
      <c r="D19">
        <v>1.2840199999999999</v>
      </c>
      <c r="E19" t="s">
        <v>353</v>
      </c>
      <c r="F19">
        <v>6.6512236000000002E-2</v>
      </c>
      <c r="G19" t="s">
        <v>354</v>
      </c>
      <c r="H19"/>
    </row>
    <row r="20" spans="1:8" x14ac:dyDescent="0.25">
      <c r="A20" t="s">
        <v>269</v>
      </c>
      <c r="B20">
        <v>293875</v>
      </c>
      <c r="C20">
        <v>5079550</v>
      </c>
      <c r="D20">
        <v>1.3118799999999999</v>
      </c>
      <c r="E20" t="s">
        <v>353</v>
      </c>
      <c r="F20">
        <v>6.7955383999999994E-2</v>
      </c>
      <c r="G20" t="s">
        <v>354</v>
      </c>
      <c r="H20"/>
    </row>
    <row r="21" spans="1:8" x14ac:dyDescent="0.25">
      <c r="A21" t="s">
        <v>270</v>
      </c>
      <c r="B21">
        <v>293875</v>
      </c>
      <c r="C21">
        <v>5079550</v>
      </c>
      <c r="D21">
        <v>1.2679800000000001</v>
      </c>
      <c r="E21" t="s">
        <v>353</v>
      </c>
      <c r="F21">
        <v>6.5681364000000006E-2</v>
      </c>
      <c r="G21" t="s">
        <v>354</v>
      </c>
      <c r="H21"/>
    </row>
    <row r="22" spans="1:8" x14ac:dyDescent="0.25">
      <c r="A22" t="s">
        <v>271</v>
      </c>
      <c r="B22">
        <v>293875</v>
      </c>
      <c r="C22">
        <v>5079550</v>
      </c>
      <c r="D22">
        <v>1.38439</v>
      </c>
      <c r="E22" t="s">
        <v>353</v>
      </c>
      <c r="F22">
        <v>7.1711401999999994E-2</v>
      </c>
      <c r="G22" t="s">
        <v>354</v>
      </c>
      <c r="H22"/>
    </row>
    <row r="23" spans="1:8" x14ac:dyDescent="0.25">
      <c r="A23" t="s">
        <v>272</v>
      </c>
      <c r="B23">
        <v>293875</v>
      </c>
      <c r="C23">
        <v>5079550</v>
      </c>
      <c r="D23">
        <v>1.35822</v>
      </c>
      <c r="E23" t="s">
        <v>353</v>
      </c>
      <c r="F23">
        <v>7.0355795999999998E-2</v>
      </c>
      <c r="G23" t="s">
        <v>354</v>
      </c>
      <c r="H23"/>
    </row>
    <row r="24" spans="1:8" x14ac:dyDescent="0.25">
      <c r="A24" t="s">
        <v>273</v>
      </c>
      <c r="B24">
        <v>293875</v>
      </c>
      <c r="C24">
        <v>5079550</v>
      </c>
      <c r="D24">
        <v>1.4258500000000001</v>
      </c>
      <c r="E24" t="s">
        <v>353</v>
      </c>
      <c r="F24">
        <v>7.3859030000000006E-2</v>
      </c>
      <c r="G24" t="s">
        <v>354</v>
      </c>
      <c r="H24"/>
    </row>
    <row r="25" spans="1:8" x14ac:dyDescent="0.25">
      <c r="A25" t="s">
        <v>274</v>
      </c>
      <c r="B25">
        <v>293875</v>
      </c>
      <c r="C25">
        <v>5079550</v>
      </c>
      <c r="D25">
        <v>1.4463699999999999</v>
      </c>
      <c r="E25" t="s">
        <v>353</v>
      </c>
      <c r="F25">
        <v>7.4921966000000007E-2</v>
      </c>
      <c r="G25" t="s">
        <v>354</v>
      </c>
      <c r="H25"/>
    </row>
    <row r="26" spans="1:8" x14ac:dyDescent="0.25">
      <c r="A26" t="s">
        <v>275</v>
      </c>
      <c r="B26">
        <v>293875</v>
      </c>
      <c r="C26">
        <v>5079550</v>
      </c>
      <c r="D26">
        <v>1.44475</v>
      </c>
      <c r="E26" t="s">
        <v>353</v>
      </c>
      <c r="F26">
        <v>7.4838050000000003E-2</v>
      </c>
      <c r="G26" t="s">
        <v>354</v>
      </c>
      <c r="H26"/>
    </row>
    <row r="27" spans="1:8" x14ac:dyDescent="0.25">
      <c r="A27" t="s">
        <v>276</v>
      </c>
      <c r="B27">
        <v>293875</v>
      </c>
      <c r="C27">
        <v>5079550</v>
      </c>
      <c r="D27">
        <v>1.4576800000000001</v>
      </c>
      <c r="E27" t="s">
        <v>353</v>
      </c>
      <c r="F27">
        <v>7.5507824000000001E-2</v>
      </c>
      <c r="G27" t="s">
        <v>354</v>
      </c>
      <c r="H27"/>
    </row>
    <row r="28" spans="1:8" x14ac:dyDescent="0.25">
      <c r="A28" t="s">
        <v>277</v>
      </c>
      <c r="B28">
        <v>293875</v>
      </c>
      <c r="C28">
        <v>5079550</v>
      </c>
      <c r="D28">
        <v>1.3825799999999999</v>
      </c>
      <c r="E28" t="s">
        <v>353</v>
      </c>
      <c r="F28">
        <v>7.1617643999999994E-2</v>
      </c>
      <c r="G28" t="s">
        <v>354</v>
      </c>
      <c r="H28"/>
    </row>
    <row r="29" spans="1:8" x14ac:dyDescent="0.25">
      <c r="A29" t="s">
        <v>278</v>
      </c>
      <c r="B29">
        <v>293875</v>
      </c>
      <c r="C29">
        <v>5079550</v>
      </c>
      <c r="D29">
        <v>0.97855800000000004</v>
      </c>
      <c r="E29" t="s">
        <v>353</v>
      </c>
      <c r="F29">
        <v>5.0689304400000003E-2</v>
      </c>
      <c r="G29" t="s">
        <v>354</v>
      </c>
      <c r="H29"/>
    </row>
    <row r="30" spans="1:8" x14ac:dyDescent="0.25">
      <c r="A30" t="s">
        <v>279</v>
      </c>
      <c r="B30">
        <v>293875</v>
      </c>
      <c r="C30">
        <v>5079550</v>
      </c>
      <c r="D30">
        <v>1.29328</v>
      </c>
      <c r="E30" t="s">
        <v>353</v>
      </c>
      <c r="F30">
        <v>6.6991904000000005E-2</v>
      </c>
      <c r="G30" t="s">
        <v>354</v>
      </c>
      <c r="H30"/>
    </row>
    <row r="31" spans="1:8" x14ac:dyDescent="0.25">
      <c r="A31" t="s">
        <v>280</v>
      </c>
      <c r="B31">
        <v>293875</v>
      </c>
      <c r="C31">
        <v>5079550</v>
      </c>
      <c r="D31">
        <v>0.94188700000000003</v>
      </c>
      <c r="E31" t="s">
        <v>353</v>
      </c>
      <c r="F31">
        <v>4.8789746600000003E-2</v>
      </c>
      <c r="G31" t="s">
        <v>354</v>
      </c>
      <c r="H31"/>
    </row>
    <row r="32" spans="1:8" x14ac:dyDescent="0.25">
      <c r="A32" t="s">
        <v>281</v>
      </c>
      <c r="B32">
        <v>293875</v>
      </c>
      <c r="C32">
        <v>5079550</v>
      </c>
      <c r="D32">
        <v>1.7751600000000001</v>
      </c>
      <c r="E32" t="s">
        <v>353</v>
      </c>
      <c r="F32">
        <v>9.1953287999999994E-2</v>
      </c>
      <c r="G32" t="s">
        <v>354</v>
      </c>
      <c r="H32"/>
    </row>
    <row r="33" spans="1:8" x14ac:dyDescent="0.25">
      <c r="A33" t="s">
        <v>282</v>
      </c>
      <c r="B33">
        <v>293875</v>
      </c>
      <c r="C33">
        <v>5079550</v>
      </c>
      <c r="D33">
        <v>1.5135799999999999</v>
      </c>
      <c r="E33" t="s">
        <v>353</v>
      </c>
      <c r="F33">
        <v>7.8403444000000003E-2</v>
      </c>
      <c r="G33" t="s">
        <v>354</v>
      </c>
      <c r="H33"/>
    </row>
    <row r="34" spans="1:8" x14ac:dyDescent="0.25">
      <c r="A34" t="s">
        <v>283</v>
      </c>
      <c r="B34">
        <v>293875</v>
      </c>
      <c r="C34">
        <v>5079550</v>
      </c>
      <c r="D34">
        <v>2.2236199999999999</v>
      </c>
      <c r="E34" t="s">
        <v>353</v>
      </c>
      <c r="F34">
        <v>0.115183516</v>
      </c>
      <c r="G34" t="s">
        <v>354</v>
      </c>
      <c r="H34"/>
    </row>
    <row r="35" spans="1:8" x14ac:dyDescent="0.25">
      <c r="A35" t="s">
        <v>284</v>
      </c>
      <c r="B35">
        <v>293875</v>
      </c>
      <c r="C35">
        <v>5079550</v>
      </c>
      <c r="D35">
        <v>2.3933499999999999</v>
      </c>
      <c r="E35" t="s">
        <v>353</v>
      </c>
      <c r="F35">
        <v>0.12397553</v>
      </c>
      <c r="G35" t="s">
        <v>354</v>
      </c>
      <c r="H35"/>
    </row>
    <row r="36" spans="1:8" x14ac:dyDescent="0.25">
      <c r="A36" t="s">
        <v>285</v>
      </c>
      <c r="B36">
        <v>293875</v>
      </c>
      <c r="C36">
        <v>5079550</v>
      </c>
      <c r="D36">
        <v>2.6520299999999999</v>
      </c>
      <c r="E36" t="s">
        <v>353</v>
      </c>
      <c r="F36">
        <v>0.137375154</v>
      </c>
      <c r="G36" t="s">
        <v>354</v>
      </c>
      <c r="H36"/>
    </row>
    <row r="37" spans="1:8" x14ac:dyDescent="0.25">
      <c r="A37" t="s">
        <v>286</v>
      </c>
      <c r="B37">
        <v>293875</v>
      </c>
      <c r="C37">
        <v>5079550</v>
      </c>
      <c r="D37">
        <v>2.4660700000000002</v>
      </c>
      <c r="E37" t="s">
        <v>353</v>
      </c>
      <c r="F37">
        <v>0.12774242599999999</v>
      </c>
      <c r="G37" t="s">
        <v>354</v>
      </c>
      <c r="H37"/>
    </row>
    <row r="38" spans="1:8" x14ac:dyDescent="0.25">
      <c r="A38" t="s">
        <v>287</v>
      </c>
      <c r="B38">
        <v>293875</v>
      </c>
      <c r="C38">
        <v>5079550</v>
      </c>
      <c r="D38">
        <v>1.10412</v>
      </c>
      <c r="E38" t="s">
        <v>353</v>
      </c>
      <c r="F38">
        <v>5.7193415999999997E-2</v>
      </c>
      <c r="G38" t="s">
        <v>354</v>
      </c>
      <c r="H38"/>
    </row>
    <row r="39" spans="1:8" x14ac:dyDescent="0.25">
      <c r="A39" t="s">
        <v>288</v>
      </c>
      <c r="B39">
        <v>293875</v>
      </c>
      <c r="C39">
        <v>5079550</v>
      </c>
      <c r="D39">
        <v>1.1031299999999999</v>
      </c>
      <c r="E39" t="s">
        <v>353</v>
      </c>
      <c r="F39">
        <v>5.7142133999999997E-2</v>
      </c>
      <c r="G39" t="s">
        <v>354</v>
      </c>
      <c r="H39"/>
    </row>
    <row r="40" spans="1:8" x14ac:dyDescent="0.25">
      <c r="A40" t="s">
        <v>289</v>
      </c>
      <c r="B40">
        <v>293875</v>
      </c>
      <c r="C40">
        <v>5079550</v>
      </c>
      <c r="D40">
        <v>1.0972999999999999</v>
      </c>
      <c r="E40" t="s">
        <v>353</v>
      </c>
      <c r="F40">
        <v>5.6840139999999997E-2</v>
      </c>
      <c r="G40" t="s">
        <v>354</v>
      </c>
      <c r="H40"/>
    </row>
    <row r="41" spans="1:8" x14ac:dyDescent="0.25">
      <c r="A41" t="s">
        <v>290</v>
      </c>
      <c r="B41">
        <v>293875</v>
      </c>
      <c r="C41">
        <v>5079550</v>
      </c>
      <c r="D41">
        <v>1.1113500000000001</v>
      </c>
      <c r="E41" t="s">
        <v>353</v>
      </c>
      <c r="F41">
        <v>5.7567930000000003E-2</v>
      </c>
      <c r="G41" t="s">
        <v>354</v>
      </c>
      <c r="H41"/>
    </row>
    <row r="42" spans="1:8" x14ac:dyDescent="0.25">
      <c r="A42" t="s">
        <v>291</v>
      </c>
      <c r="B42">
        <v>293875</v>
      </c>
      <c r="C42">
        <v>5079550</v>
      </c>
      <c r="D42">
        <v>1.073</v>
      </c>
      <c r="E42" t="s">
        <v>353</v>
      </c>
      <c r="F42">
        <v>5.5581400000000003E-2</v>
      </c>
      <c r="G42" t="s">
        <v>354</v>
      </c>
      <c r="H42"/>
    </row>
    <row r="43" spans="1:8" x14ac:dyDescent="0.25">
      <c r="A43" t="s">
        <v>292</v>
      </c>
      <c r="B43">
        <v>293875</v>
      </c>
      <c r="C43">
        <v>5079550</v>
      </c>
      <c r="D43">
        <v>1.08849</v>
      </c>
      <c r="E43" t="s">
        <v>353</v>
      </c>
      <c r="F43">
        <v>5.6383782E-2</v>
      </c>
      <c r="G43" t="s">
        <v>354</v>
      </c>
      <c r="H43"/>
    </row>
    <row r="44" spans="1:8" x14ac:dyDescent="0.25">
      <c r="A44" t="s">
        <v>293</v>
      </c>
      <c r="B44">
        <v>293875</v>
      </c>
      <c r="C44">
        <v>5079550</v>
      </c>
      <c r="D44">
        <v>1.04101</v>
      </c>
      <c r="E44" t="s">
        <v>353</v>
      </c>
      <c r="F44">
        <v>5.3924317999999999E-2</v>
      </c>
      <c r="G44" t="s">
        <v>354</v>
      </c>
      <c r="H44"/>
    </row>
    <row r="45" spans="1:8" x14ac:dyDescent="0.25">
      <c r="A45" t="s">
        <v>294</v>
      </c>
      <c r="B45">
        <v>293875</v>
      </c>
      <c r="C45">
        <v>5079550</v>
      </c>
      <c r="D45">
        <v>1.06081</v>
      </c>
      <c r="E45" t="s">
        <v>353</v>
      </c>
      <c r="F45">
        <v>5.4949958E-2</v>
      </c>
      <c r="G45" t="s">
        <v>354</v>
      </c>
      <c r="H45"/>
    </row>
    <row r="46" spans="1:8" x14ac:dyDescent="0.25">
      <c r="A46" t="s">
        <v>295</v>
      </c>
      <c r="B46">
        <v>293875</v>
      </c>
      <c r="C46">
        <v>5079550</v>
      </c>
      <c r="D46">
        <v>1.0257400000000001</v>
      </c>
      <c r="E46" t="s">
        <v>353</v>
      </c>
      <c r="F46">
        <v>5.3133331999999998E-2</v>
      </c>
      <c r="G46" t="s">
        <v>354</v>
      </c>
      <c r="H46"/>
    </row>
    <row r="47" spans="1:8" x14ac:dyDescent="0.25">
      <c r="A47" t="s">
        <v>296</v>
      </c>
      <c r="B47">
        <v>293875</v>
      </c>
      <c r="C47">
        <v>5079550</v>
      </c>
      <c r="D47">
        <v>0.90044400000000002</v>
      </c>
      <c r="E47" t="s">
        <v>353</v>
      </c>
      <c r="F47">
        <v>4.66429992E-2</v>
      </c>
      <c r="G47" t="s">
        <v>354</v>
      </c>
      <c r="H47"/>
    </row>
    <row r="48" spans="1:8" x14ac:dyDescent="0.25">
      <c r="A48" t="s">
        <v>297</v>
      </c>
      <c r="B48">
        <v>293875</v>
      </c>
      <c r="C48">
        <v>5079550</v>
      </c>
      <c r="D48">
        <v>0.92723299999999997</v>
      </c>
      <c r="E48" t="s">
        <v>353</v>
      </c>
      <c r="F48">
        <v>4.8030669400000003E-2</v>
      </c>
      <c r="G48" t="s">
        <v>354</v>
      </c>
      <c r="H48"/>
    </row>
    <row r="49" spans="1:8" x14ac:dyDescent="0.25">
      <c r="A49" t="s">
        <v>298</v>
      </c>
      <c r="B49">
        <v>293875</v>
      </c>
      <c r="C49">
        <v>5079550</v>
      </c>
      <c r="D49">
        <v>0.94142999999999999</v>
      </c>
      <c r="E49" t="s">
        <v>353</v>
      </c>
      <c r="F49">
        <v>4.8766074E-2</v>
      </c>
      <c r="G49" t="s">
        <v>354</v>
      </c>
      <c r="H49"/>
    </row>
    <row r="50" spans="1:8" x14ac:dyDescent="0.25">
      <c r="A50" t="s">
        <v>299</v>
      </c>
      <c r="B50">
        <v>293875</v>
      </c>
      <c r="C50">
        <v>5079550</v>
      </c>
      <c r="D50">
        <v>0.84166099999999999</v>
      </c>
      <c r="E50" t="s">
        <v>353</v>
      </c>
      <c r="F50">
        <v>4.3598039800000002E-2</v>
      </c>
      <c r="G50" t="s">
        <v>354</v>
      </c>
      <c r="H50"/>
    </row>
    <row r="51" spans="1:8" x14ac:dyDescent="0.25">
      <c r="A51" t="s">
        <v>300</v>
      </c>
      <c r="B51">
        <v>293875</v>
      </c>
      <c r="C51">
        <v>5079550</v>
      </c>
      <c r="D51">
        <v>0.88125799999999999</v>
      </c>
      <c r="E51" t="s">
        <v>353</v>
      </c>
      <c r="F51">
        <v>4.5649164399999997E-2</v>
      </c>
      <c r="G51" t="s">
        <v>354</v>
      </c>
      <c r="H51"/>
    </row>
    <row r="52" spans="1:8" x14ac:dyDescent="0.25">
      <c r="A52" t="s">
        <v>301</v>
      </c>
      <c r="B52">
        <v>293875</v>
      </c>
      <c r="C52">
        <v>5079550</v>
      </c>
      <c r="D52">
        <v>0.74361500000000003</v>
      </c>
      <c r="E52" t="s">
        <v>353</v>
      </c>
      <c r="F52">
        <v>3.8519257000000001E-2</v>
      </c>
      <c r="G52" t="s">
        <v>354</v>
      </c>
      <c r="H52"/>
    </row>
    <row r="53" spans="1:8" x14ac:dyDescent="0.25">
      <c r="A53" t="s">
        <v>302</v>
      </c>
      <c r="B53">
        <v>293875</v>
      </c>
      <c r="C53">
        <v>5079550</v>
      </c>
      <c r="D53">
        <v>0.79232000000000002</v>
      </c>
      <c r="E53" t="s">
        <v>353</v>
      </c>
      <c r="F53">
        <v>4.1042176E-2</v>
      </c>
      <c r="G53" t="s">
        <v>354</v>
      </c>
      <c r="H53"/>
    </row>
    <row r="54" spans="1:8" x14ac:dyDescent="0.25">
      <c r="A54" t="s">
        <v>303</v>
      </c>
      <c r="B54">
        <v>293875</v>
      </c>
      <c r="C54">
        <v>5079550</v>
      </c>
      <c r="D54">
        <v>0.44613700000000001</v>
      </c>
      <c r="E54" t="s">
        <v>353</v>
      </c>
      <c r="F54">
        <v>2.3109896599999999E-2</v>
      </c>
      <c r="G54" t="s">
        <v>354</v>
      </c>
      <c r="H54"/>
    </row>
    <row r="55" spans="1:8" x14ac:dyDescent="0.25">
      <c r="A55" t="s">
        <v>304</v>
      </c>
      <c r="B55">
        <v>293875</v>
      </c>
      <c r="C55">
        <v>5079550</v>
      </c>
      <c r="D55">
        <v>0.419186</v>
      </c>
      <c r="E55" t="s">
        <v>353</v>
      </c>
      <c r="F55">
        <v>2.1713834800000002E-2</v>
      </c>
      <c r="G55" t="s">
        <v>354</v>
      </c>
      <c r="H55"/>
    </row>
    <row r="56" spans="1:8" x14ac:dyDescent="0.25">
      <c r="A56" t="s">
        <v>305</v>
      </c>
      <c r="B56">
        <v>293875</v>
      </c>
      <c r="C56">
        <v>5079550</v>
      </c>
      <c r="D56">
        <v>0.47796499999999997</v>
      </c>
      <c r="E56" t="s">
        <v>353</v>
      </c>
      <c r="F56">
        <v>2.4758586999999999E-2</v>
      </c>
      <c r="G56" t="s">
        <v>354</v>
      </c>
      <c r="H56"/>
    </row>
    <row r="57" spans="1:8" x14ac:dyDescent="0.25">
      <c r="A57" t="s">
        <v>306</v>
      </c>
      <c r="B57">
        <v>293875</v>
      </c>
      <c r="C57">
        <v>5079550</v>
      </c>
      <c r="D57">
        <v>0.458395</v>
      </c>
      <c r="E57" t="s">
        <v>353</v>
      </c>
      <c r="F57">
        <v>2.3744860999999999E-2</v>
      </c>
      <c r="G57" t="s">
        <v>354</v>
      </c>
      <c r="H57"/>
    </row>
    <row r="58" spans="1:8" x14ac:dyDescent="0.25">
      <c r="A58" t="s">
        <v>307</v>
      </c>
      <c r="B58">
        <v>293875</v>
      </c>
      <c r="C58">
        <v>5079550</v>
      </c>
      <c r="D58">
        <v>0.50828099999999998</v>
      </c>
      <c r="E58" t="s">
        <v>353</v>
      </c>
      <c r="F58">
        <v>2.6328955800000001E-2</v>
      </c>
      <c r="G58" t="s">
        <v>354</v>
      </c>
      <c r="H58"/>
    </row>
    <row r="59" spans="1:8" x14ac:dyDescent="0.25">
      <c r="A59" t="s">
        <v>308</v>
      </c>
      <c r="B59">
        <v>293875</v>
      </c>
      <c r="C59">
        <v>5079550</v>
      </c>
      <c r="D59">
        <v>0.48957000000000001</v>
      </c>
      <c r="E59" t="s">
        <v>353</v>
      </c>
      <c r="F59">
        <v>2.5359725999999999E-2</v>
      </c>
      <c r="G59" t="s">
        <v>354</v>
      </c>
      <c r="H59"/>
    </row>
    <row r="60" spans="1:8" x14ac:dyDescent="0.25">
      <c r="A60" t="s">
        <v>309</v>
      </c>
      <c r="B60">
        <v>293875</v>
      </c>
      <c r="C60">
        <v>5079550</v>
      </c>
      <c r="D60">
        <v>0.53728799999999999</v>
      </c>
      <c r="E60" t="s">
        <v>353</v>
      </c>
      <c r="F60">
        <v>2.7831518400000001E-2</v>
      </c>
      <c r="G60" t="s">
        <v>354</v>
      </c>
      <c r="H60"/>
    </row>
    <row r="61" spans="1:8" x14ac:dyDescent="0.25">
      <c r="A61" t="s">
        <v>310</v>
      </c>
      <c r="B61">
        <v>293875</v>
      </c>
      <c r="C61">
        <v>5079550</v>
      </c>
      <c r="D61">
        <v>0.51972799999999997</v>
      </c>
      <c r="E61" t="s">
        <v>353</v>
      </c>
      <c r="F61">
        <v>2.6921910399999999E-2</v>
      </c>
      <c r="G61" t="s">
        <v>354</v>
      </c>
      <c r="H61"/>
    </row>
    <row r="62" spans="1:8" x14ac:dyDescent="0.25">
      <c r="A62" t="s">
        <v>311</v>
      </c>
      <c r="B62">
        <v>293875</v>
      </c>
      <c r="C62">
        <v>5079550</v>
      </c>
      <c r="D62">
        <v>0.54800199999999999</v>
      </c>
      <c r="E62" t="s">
        <v>353</v>
      </c>
      <c r="F62">
        <v>2.8386503600000002E-2</v>
      </c>
      <c r="G62" t="s">
        <v>354</v>
      </c>
      <c r="H62"/>
    </row>
    <row r="63" spans="1:8" x14ac:dyDescent="0.25">
      <c r="A63" t="s">
        <v>312</v>
      </c>
      <c r="B63">
        <v>293875</v>
      </c>
      <c r="C63">
        <v>5079550</v>
      </c>
      <c r="D63">
        <v>0.63517999999999997</v>
      </c>
      <c r="E63" t="s">
        <v>353</v>
      </c>
      <c r="F63">
        <v>3.2902323999999997E-2</v>
      </c>
      <c r="G63" t="s">
        <v>354</v>
      </c>
      <c r="H63"/>
    </row>
    <row r="64" spans="1:8" x14ac:dyDescent="0.25">
      <c r="A64" t="s">
        <v>313</v>
      </c>
      <c r="B64">
        <v>293875</v>
      </c>
      <c r="C64">
        <v>5079550</v>
      </c>
      <c r="D64">
        <v>0.62318499999999999</v>
      </c>
      <c r="E64" t="s">
        <v>353</v>
      </c>
      <c r="F64">
        <v>3.2280982999999999E-2</v>
      </c>
      <c r="G64" t="s">
        <v>354</v>
      </c>
      <c r="H64"/>
    </row>
    <row r="65" spans="1:8" x14ac:dyDescent="0.25">
      <c r="A65" t="s">
        <v>314</v>
      </c>
      <c r="B65">
        <v>293875</v>
      </c>
      <c r="C65">
        <v>5079550</v>
      </c>
      <c r="D65">
        <v>0.61329199999999995</v>
      </c>
      <c r="E65" t="s">
        <v>353</v>
      </c>
      <c r="F65">
        <v>3.17685256E-2</v>
      </c>
      <c r="G65" t="s">
        <v>354</v>
      </c>
      <c r="H65"/>
    </row>
    <row r="66" spans="1:8" x14ac:dyDescent="0.25">
      <c r="A66" t="s">
        <v>315</v>
      </c>
      <c r="B66">
        <v>293875</v>
      </c>
      <c r="C66">
        <v>5079550</v>
      </c>
      <c r="D66">
        <v>0.65483000000000002</v>
      </c>
      <c r="E66" t="s">
        <v>353</v>
      </c>
      <c r="F66">
        <v>3.3920194000000001E-2</v>
      </c>
      <c r="G66" t="s">
        <v>354</v>
      </c>
      <c r="H66"/>
    </row>
    <row r="67" spans="1:8" x14ac:dyDescent="0.25">
      <c r="A67" t="s">
        <v>316</v>
      </c>
      <c r="B67">
        <v>293875</v>
      </c>
      <c r="C67">
        <v>5079550</v>
      </c>
      <c r="D67">
        <v>0.64250499999999999</v>
      </c>
      <c r="E67" t="s">
        <v>353</v>
      </c>
      <c r="F67">
        <v>3.3281759000000001E-2</v>
      </c>
      <c r="G67" t="s">
        <v>354</v>
      </c>
      <c r="H67"/>
    </row>
    <row r="68" spans="1:8" x14ac:dyDescent="0.25">
      <c r="A68" t="s">
        <v>317</v>
      </c>
      <c r="B68">
        <v>293875</v>
      </c>
      <c r="C68">
        <v>5079550</v>
      </c>
      <c r="D68">
        <v>0.67402099999999998</v>
      </c>
      <c r="E68" t="s">
        <v>353</v>
      </c>
      <c r="F68">
        <v>3.4914287799999999E-2</v>
      </c>
      <c r="G68" t="s">
        <v>354</v>
      </c>
      <c r="H68"/>
    </row>
    <row r="69" spans="1:8" x14ac:dyDescent="0.25">
      <c r="A69" t="s">
        <v>318</v>
      </c>
      <c r="B69">
        <v>293875</v>
      </c>
      <c r="C69">
        <v>5079550</v>
      </c>
      <c r="D69">
        <v>0.66230299999999998</v>
      </c>
      <c r="E69" t="s">
        <v>353</v>
      </c>
      <c r="F69">
        <v>3.43072954E-2</v>
      </c>
      <c r="G69" t="s">
        <v>354</v>
      </c>
      <c r="H69"/>
    </row>
    <row r="70" spans="1:8" x14ac:dyDescent="0.25">
      <c r="A70" t="s">
        <v>319</v>
      </c>
      <c r="B70">
        <v>293875</v>
      </c>
      <c r="C70">
        <v>5079550</v>
      </c>
      <c r="D70">
        <v>0.69118500000000005</v>
      </c>
      <c r="E70" t="s">
        <v>353</v>
      </c>
      <c r="F70">
        <v>3.5803383000000001E-2</v>
      </c>
      <c r="G70" t="s">
        <v>354</v>
      </c>
      <c r="H70"/>
    </row>
    <row r="71" spans="1:8" x14ac:dyDescent="0.25">
      <c r="A71" t="s">
        <v>320</v>
      </c>
      <c r="B71">
        <v>293875</v>
      </c>
      <c r="C71">
        <v>5079550</v>
      </c>
      <c r="D71">
        <v>0.68114200000000003</v>
      </c>
      <c r="E71" t="s">
        <v>353</v>
      </c>
      <c r="F71">
        <v>3.5283155599999998E-2</v>
      </c>
      <c r="G71" t="s">
        <v>354</v>
      </c>
      <c r="H71"/>
    </row>
    <row r="72" spans="1:8" x14ac:dyDescent="0.25">
      <c r="A72" t="s">
        <v>321</v>
      </c>
      <c r="B72">
        <v>293875</v>
      </c>
      <c r="C72">
        <v>5079550</v>
      </c>
      <c r="D72">
        <v>0.45894600000000002</v>
      </c>
      <c r="E72" t="s">
        <v>353</v>
      </c>
      <c r="F72">
        <v>2.3773402799999999E-2</v>
      </c>
      <c r="G72" t="s">
        <v>354</v>
      </c>
      <c r="H72"/>
    </row>
    <row r="73" spans="1:8" x14ac:dyDescent="0.25">
      <c r="A73" t="s">
        <v>322</v>
      </c>
      <c r="B73">
        <v>293875</v>
      </c>
      <c r="C73">
        <v>5079550</v>
      </c>
      <c r="D73">
        <v>0.382303</v>
      </c>
      <c r="E73" t="s">
        <v>353</v>
      </c>
      <c r="F73">
        <v>1.98032954E-2</v>
      </c>
      <c r="G73" t="s">
        <v>354</v>
      </c>
      <c r="H73"/>
    </row>
    <row r="74" spans="1:8" x14ac:dyDescent="0.25">
      <c r="A74" t="s">
        <v>323</v>
      </c>
      <c r="B74">
        <v>293875</v>
      </c>
      <c r="C74">
        <v>5079550</v>
      </c>
      <c r="D74">
        <v>0.54359599999999997</v>
      </c>
      <c r="E74" t="s">
        <v>353</v>
      </c>
      <c r="F74">
        <v>2.8158272799999998E-2</v>
      </c>
      <c r="G74" t="s">
        <v>354</v>
      </c>
      <c r="H74"/>
    </row>
    <row r="75" spans="1:8" x14ac:dyDescent="0.25">
      <c r="A75" t="s">
        <v>324</v>
      </c>
      <c r="B75">
        <v>293875</v>
      </c>
      <c r="C75">
        <v>5079550</v>
      </c>
      <c r="D75">
        <v>0.49308400000000002</v>
      </c>
      <c r="E75" t="s">
        <v>353</v>
      </c>
      <c r="F75">
        <v>2.5541751200000001E-2</v>
      </c>
      <c r="G75" t="s">
        <v>354</v>
      </c>
      <c r="H75"/>
    </row>
    <row r="76" spans="1:8" x14ac:dyDescent="0.25">
      <c r="A76" t="s">
        <v>325</v>
      </c>
      <c r="B76">
        <v>293875</v>
      </c>
      <c r="C76">
        <v>5079550</v>
      </c>
      <c r="D76">
        <v>0.61559399999999997</v>
      </c>
      <c r="E76" t="s">
        <v>353</v>
      </c>
      <c r="F76">
        <v>3.1887769199999999E-2</v>
      </c>
      <c r="G76" t="s">
        <v>354</v>
      </c>
      <c r="H76"/>
    </row>
    <row r="77" spans="1:8" x14ac:dyDescent="0.25">
      <c r="A77" t="s">
        <v>326</v>
      </c>
      <c r="B77">
        <v>293875</v>
      </c>
      <c r="C77">
        <v>5079550</v>
      </c>
      <c r="D77">
        <v>0.57304299999999997</v>
      </c>
      <c r="E77" t="s">
        <v>353</v>
      </c>
      <c r="F77">
        <v>2.9683627399999999E-2</v>
      </c>
      <c r="G77" t="s">
        <v>354</v>
      </c>
      <c r="H77"/>
    </row>
    <row r="78" spans="1:8" x14ac:dyDescent="0.25">
      <c r="A78" t="s">
        <v>327</v>
      </c>
      <c r="B78">
        <v>293875</v>
      </c>
      <c r="C78">
        <v>5079550</v>
      </c>
      <c r="D78">
        <v>0.70077599999999995</v>
      </c>
      <c r="E78" t="s">
        <v>353</v>
      </c>
      <c r="F78">
        <v>3.6300196799999997E-2</v>
      </c>
      <c r="G78" t="s">
        <v>354</v>
      </c>
      <c r="H78"/>
    </row>
    <row r="79" spans="1:8" x14ac:dyDescent="0.25">
      <c r="A79" t="s">
        <v>328</v>
      </c>
      <c r="B79">
        <v>293875</v>
      </c>
      <c r="C79">
        <v>5079550</v>
      </c>
      <c r="D79">
        <v>0.62864500000000001</v>
      </c>
      <c r="E79" t="s">
        <v>353</v>
      </c>
      <c r="F79">
        <v>3.2563810999999998E-2</v>
      </c>
      <c r="G79" t="s">
        <v>354</v>
      </c>
      <c r="H79"/>
    </row>
    <row r="80" spans="1:8" x14ac:dyDescent="0.25">
      <c r="A80" t="s">
        <v>329</v>
      </c>
      <c r="B80">
        <v>293875</v>
      </c>
      <c r="C80">
        <v>5079550</v>
      </c>
      <c r="D80">
        <v>0.70012399999999997</v>
      </c>
      <c r="E80" t="s">
        <v>353</v>
      </c>
      <c r="F80">
        <v>3.6266423200000002E-2</v>
      </c>
      <c r="G80" t="s">
        <v>354</v>
      </c>
      <c r="H80"/>
    </row>
    <row r="81" spans="1:8" x14ac:dyDescent="0.25">
      <c r="A81" t="s">
        <v>330</v>
      </c>
      <c r="B81">
        <v>293875</v>
      </c>
      <c r="C81">
        <v>5079550</v>
      </c>
      <c r="D81">
        <v>0.61694700000000002</v>
      </c>
      <c r="E81" t="s">
        <v>353</v>
      </c>
      <c r="F81">
        <v>3.1957854600000002E-2</v>
      </c>
      <c r="G81" t="s">
        <v>354</v>
      </c>
      <c r="H81"/>
    </row>
    <row r="82" spans="1:8" x14ac:dyDescent="0.25">
      <c r="A82" t="s">
        <v>331</v>
      </c>
      <c r="B82">
        <v>293875</v>
      </c>
      <c r="C82">
        <v>5079550</v>
      </c>
      <c r="D82">
        <v>0.63317000000000001</v>
      </c>
      <c r="E82" t="s">
        <v>353</v>
      </c>
      <c r="F82">
        <v>3.2798206000000003E-2</v>
      </c>
      <c r="G82" t="s">
        <v>354</v>
      </c>
      <c r="H82"/>
    </row>
    <row r="83" spans="1:8" x14ac:dyDescent="0.25">
      <c r="A83" t="s">
        <v>332</v>
      </c>
      <c r="B83">
        <v>293875</v>
      </c>
      <c r="C83">
        <v>5079550</v>
      </c>
      <c r="D83">
        <v>0.64228700000000005</v>
      </c>
      <c r="E83" t="s">
        <v>353</v>
      </c>
      <c r="F83">
        <v>3.32704666E-2</v>
      </c>
      <c r="G83" t="s">
        <v>354</v>
      </c>
      <c r="H83"/>
    </row>
    <row r="84" spans="1:8" x14ac:dyDescent="0.25">
      <c r="A84" t="s">
        <v>333</v>
      </c>
      <c r="B84">
        <v>293875</v>
      </c>
      <c r="C84">
        <v>5079550</v>
      </c>
      <c r="D84">
        <v>0.58940899999999996</v>
      </c>
      <c r="E84" t="s">
        <v>353</v>
      </c>
      <c r="F84">
        <v>3.05313862E-2</v>
      </c>
      <c r="G84" t="s">
        <v>354</v>
      </c>
      <c r="H84"/>
    </row>
    <row r="85" spans="1:8" x14ac:dyDescent="0.25">
      <c r="A85" t="s">
        <v>334</v>
      </c>
      <c r="B85">
        <v>293875</v>
      </c>
      <c r="C85">
        <v>5079550</v>
      </c>
      <c r="D85">
        <v>0.60686600000000002</v>
      </c>
      <c r="E85" t="s">
        <v>353</v>
      </c>
      <c r="F85">
        <v>3.1435658800000002E-2</v>
      </c>
      <c r="G85" t="s">
        <v>354</v>
      </c>
      <c r="H85"/>
    </row>
    <row r="86" spans="1:8" x14ac:dyDescent="0.25">
      <c r="A86" t="s">
        <v>335</v>
      </c>
      <c r="B86">
        <v>293875</v>
      </c>
      <c r="C86">
        <v>5079550</v>
      </c>
      <c r="D86">
        <v>0.555122</v>
      </c>
      <c r="E86" t="s">
        <v>353</v>
      </c>
      <c r="F86">
        <v>2.8755319599999999E-2</v>
      </c>
      <c r="G86" t="s">
        <v>354</v>
      </c>
      <c r="H86"/>
    </row>
    <row r="87" spans="1:8" x14ac:dyDescent="0.25">
      <c r="A87" t="s">
        <v>336</v>
      </c>
      <c r="B87">
        <v>293875</v>
      </c>
      <c r="C87">
        <v>5079550</v>
      </c>
      <c r="D87">
        <v>0.57896400000000003</v>
      </c>
      <c r="E87" t="s">
        <v>353</v>
      </c>
      <c r="F87">
        <v>2.9990335199999999E-2</v>
      </c>
      <c r="G87" t="s">
        <v>354</v>
      </c>
      <c r="H87"/>
    </row>
    <row r="88" spans="1:8" x14ac:dyDescent="0.25">
      <c r="A88" t="s">
        <v>337</v>
      </c>
      <c r="B88">
        <v>293875</v>
      </c>
      <c r="C88">
        <v>5079550</v>
      </c>
      <c r="D88">
        <v>0.21101900000000001</v>
      </c>
      <c r="E88" t="s">
        <v>353</v>
      </c>
      <c r="F88">
        <v>1.09307842E-2</v>
      </c>
      <c r="G88" t="s">
        <v>354</v>
      </c>
      <c r="H88"/>
    </row>
    <row r="89" spans="1:8" x14ac:dyDescent="0.25">
      <c r="A89" t="s">
        <v>338</v>
      </c>
      <c r="B89">
        <v>293875</v>
      </c>
      <c r="C89">
        <v>5079550</v>
      </c>
      <c r="D89">
        <v>0.54061499999999996</v>
      </c>
      <c r="E89" t="s">
        <v>353</v>
      </c>
      <c r="F89">
        <v>2.8003857E-2</v>
      </c>
      <c r="G89" t="s">
        <v>354</v>
      </c>
      <c r="H89"/>
    </row>
    <row r="90" spans="1:8" x14ac:dyDescent="0.25">
      <c r="A90" t="s">
        <v>339</v>
      </c>
      <c r="B90">
        <v>293875</v>
      </c>
      <c r="C90">
        <v>5079550</v>
      </c>
      <c r="D90">
        <v>0.79044199999999998</v>
      </c>
      <c r="E90" t="s">
        <v>353</v>
      </c>
      <c r="F90">
        <v>1.71525914E-2</v>
      </c>
      <c r="G90" t="s">
        <v>354</v>
      </c>
      <c r="H90"/>
    </row>
    <row r="91" spans="1:8" x14ac:dyDescent="0.25">
      <c r="A91" t="s">
        <v>340</v>
      </c>
      <c r="B91">
        <v>293875</v>
      </c>
      <c r="C91">
        <v>5079550</v>
      </c>
      <c r="D91">
        <v>0.63876200000000005</v>
      </c>
      <c r="E91" t="s">
        <v>353</v>
      </c>
      <c r="F91">
        <v>1.48192784E-2</v>
      </c>
      <c r="G91" t="s">
        <v>354</v>
      </c>
      <c r="H91"/>
    </row>
    <row r="92" spans="1:8" x14ac:dyDescent="0.25">
      <c r="A92" t="s">
        <v>341</v>
      </c>
      <c r="B92">
        <v>293875</v>
      </c>
      <c r="C92">
        <v>5079550</v>
      </c>
      <c r="D92">
        <v>0.965283</v>
      </c>
      <c r="E92" t="s">
        <v>353</v>
      </c>
      <c r="F92">
        <v>2.2394565599999999E-2</v>
      </c>
      <c r="G92" t="s">
        <v>354</v>
      </c>
      <c r="H92"/>
    </row>
    <row r="93" spans="1:8" x14ac:dyDescent="0.25">
      <c r="A93" t="s">
        <v>342</v>
      </c>
      <c r="B93">
        <v>293875</v>
      </c>
      <c r="C93">
        <v>5079550</v>
      </c>
      <c r="D93">
        <v>0.62817699999999999</v>
      </c>
      <c r="E93" t="s">
        <v>353</v>
      </c>
      <c r="F93">
        <v>1.36314409E-2</v>
      </c>
      <c r="G93" t="s">
        <v>354</v>
      </c>
      <c r="H93"/>
    </row>
    <row r="94" spans="1:8" x14ac:dyDescent="0.25">
      <c r="A94" t="s">
        <v>343</v>
      </c>
      <c r="B94">
        <v>293875</v>
      </c>
      <c r="C94">
        <v>5079550</v>
      </c>
      <c r="D94">
        <v>1.0712299999999999</v>
      </c>
      <c r="E94" t="s">
        <v>353</v>
      </c>
      <c r="F94">
        <v>2.4852536000000001E-2</v>
      </c>
      <c r="G94" t="s">
        <v>354</v>
      </c>
      <c r="H94"/>
    </row>
    <row r="95" spans="1:8" x14ac:dyDescent="0.25">
      <c r="A95" t="s">
        <v>344</v>
      </c>
      <c r="B95">
        <v>293875</v>
      </c>
      <c r="C95">
        <v>5079550</v>
      </c>
      <c r="D95">
        <v>0.57315300000000002</v>
      </c>
      <c r="E95" t="s">
        <v>353</v>
      </c>
      <c r="F95">
        <v>1.2437420100000001E-2</v>
      </c>
      <c r="G95" t="s">
        <v>354</v>
      </c>
      <c r="H95"/>
    </row>
    <row r="96" spans="1:8" x14ac:dyDescent="0.25">
      <c r="A96" t="s">
        <v>345</v>
      </c>
      <c r="B96">
        <v>293875</v>
      </c>
      <c r="C96">
        <v>5079550</v>
      </c>
      <c r="D96">
        <v>0.513131</v>
      </c>
      <c r="E96" t="s">
        <v>353</v>
      </c>
      <c r="F96">
        <v>1.49321121E-2</v>
      </c>
      <c r="G96" t="s">
        <v>354</v>
      </c>
      <c r="H96"/>
    </row>
    <row r="97" spans="1:8" x14ac:dyDescent="0.25">
      <c r="A97" t="s">
        <v>346</v>
      </c>
      <c r="B97">
        <v>293875</v>
      </c>
      <c r="C97">
        <v>5079550</v>
      </c>
      <c r="D97">
        <v>3.6828500000000002</v>
      </c>
      <c r="E97" t="s">
        <v>353</v>
      </c>
      <c r="F97">
        <v>0.68869294999999997</v>
      </c>
      <c r="G97" t="s">
        <v>354</v>
      </c>
      <c r="H97"/>
    </row>
    <row r="98" spans="1:8" x14ac:dyDescent="0.25">
      <c r="A98" t="s">
        <v>347</v>
      </c>
      <c r="B98">
        <v>293875</v>
      </c>
      <c r="C98">
        <v>5079550</v>
      </c>
      <c r="D98">
        <v>1.5227200000000001</v>
      </c>
      <c r="E98" t="s">
        <v>353</v>
      </c>
      <c r="F98">
        <v>6.3497423999999997E-2</v>
      </c>
      <c r="G98" t="s">
        <v>354</v>
      </c>
      <c r="H98"/>
    </row>
    <row r="99" spans="1:8" x14ac:dyDescent="0.25">
      <c r="A99" t="s">
        <v>348</v>
      </c>
      <c r="B99">
        <v>293875</v>
      </c>
      <c r="C99">
        <v>5079550</v>
      </c>
      <c r="D99">
        <v>1.33064</v>
      </c>
      <c r="E99" t="s">
        <v>353</v>
      </c>
      <c r="F99">
        <v>6.9060215999999994E-2</v>
      </c>
      <c r="G99" t="s">
        <v>354</v>
      </c>
      <c r="H99"/>
    </row>
    <row r="100" spans="1:8" x14ac:dyDescent="0.25">
      <c r="A100"/>
      <c r="B100"/>
      <c r="C100"/>
      <c r="D100"/>
      <c r="E100"/>
      <c r="F100"/>
      <c r="G100"/>
      <c r="H100"/>
    </row>
    <row r="101" spans="1:8" x14ac:dyDescent="0.25">
      <c r="A101"/>
      <c r="B101"/>
      <c r="C101"/>
      <c r="D101"/>
      <c r="E101"/>
      <c r="F101"/>
      <c r="G101"/>
      <c r="H101"/>
    </row>
    <row r="102" spans="1:8" x14ac:dyDescent="0.25">
      <c r="A102"/>
      <c r="B102"/>
      <c r="C102"/>
      <c r="D102"/>
      <c r="E102"/>
      <c r="F102"/>
      <c r="G102"/>
      <c r="H102"/>
    </row>
    <row r="103" spans="1:8" x14ac:dyDescent="0.25">
      <c r="A103"/>
      <c r="B103"/>
      <c r="C103"/>
      <c r="D103"/>
      <c r="E103"/>
      <c r="F103"/>
      <c r="G103"/>
      <c r="H103"/>
    </row>
    <row r="104" spans="1:8" x14ac:dyDescent="0.25">
      <c r="A104"/>
      <c r="B104"/>
      <c r="C104"/>
      <c r="D104"/>
      <c r="E104"/>
      <c r="F104"/>
      <c r="G104"/>
      <c r="H104"/>
    </row>
    <row r="105" spans="1:8" x14ac:dyDescent="0.25">
      <c r="A105"/>
      <c r="B105"/>
      <c r="C105"/>
      <c r="D105"/>
      <c r="E105"/>
      <c r="F105"/>
      <c r="G105"/>
      <c r="H105"/>
    </row>
    <row r="106" spans="1:8" x14ac:dyDescent="0.25">
      <c r="A106"/>
      <c r="B106"/>
      <c r="C106"/>
      <c r="D106"/>
      <c r="E106"/>
      <c r="F106"/>
      <c r="G106"/>
      <c r="H106"/>
    </row>
    <row r="107" spans="1:8" x14ac:dyDescent="0.25">
      <c r="A107"/>
      <c r="B107"/>
      <c r="C107"/>
      <c r="D107"/>
      <c r="E107"/>
      <c r="F107"/>
      <c r="G107"/>
      <c r="H107"/>
    </row>
    <row r="108" spans="1:8" x14ac:dyDescent="0.25">
      <c r="A108"/>
      <c r="B108"/>
      <c r="C108"/>
      <c r="D108"/>
      <c r="E108"/>
      <c r="F108"/>
      <c r="G108"/>
      <c r="H108"/>
    </row>
    <row r="109" spans="1:8" x14ac:dyDescent="0.25">
      <c r="A109"/>
      <c r="B109"/>
      <c r="C109"/>
      <c r="D109"/>
      <c r="E109"/>
      <c r="F109"/>
      <c r="G109"/>
      <c r="H109"/>
    </row>
    <row r="110" spans="1:8" x14ac:dyDescent="0.25">
      <c r="A110"/>
      <c r="B110"/>
      <c r="C110"/>
      <c r="D110"/>
      <c r="E110"/>
      <c r="F110"/>
      <c r="G110"/>
      <c r="H110"/>
    </row>
    <row r="111" spans="1:8" x14ac:dyDescent="0.25">
      <c r="A111"/>
      <c r="B111"/>
      <c r="C111"/>
      <c r="D111"/>
      <c r="E111"/>
      <c r="F111"/>
      <c r="G111"/>
      <c r="H111"/>
    </row>
    <row r="112" spans="1:8" x14ac:dyDescent="0.25">
      <c r="A112"/>
      <c r="B112"/>
      <c r="C112"/>
      <c r="D112"/>
      <c r="E112"/>
      <c r="F112"/>
      <c r="G112"/>
      <c r="H112"/>
    </row>
    <row r="113" customFormat="1" x14ac:dyDescent="0.25"/>
    <row r="114" customFormat="1" x14ac:dyDescent="0.25"/>
  </sheetData>
  <autoFilter ref="A1:G1" xr:uid="{E2E58540-5E39-430F-9BFC-4617DEB9BC04}">
    <sortState xmlns:xlrd2="http://schemas.microsoft.com/office/spreadsheetml/2017/richdata2" ref="A2:G99">
      <sortCondition descending="1" ref="F1"/>
    </sortState>
  </autoFilter>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20178CB431FBB44BA390DFB7A67DCC0" ma:contentTypeVersion="16" ma:contentTypeDescription="Create a new document." ma:contentTypeScope="" ma:versionID="a9aaf108d18de5e9ab979c32fd3cff8b">
  <xsd:schema xmlns:xsd="http://www.w3.org/2001/XMLSchema" xmlns:xs="http://www.w3.org/2001/XMLSchema" xmlns:p="http://schemas.microsoft.com/office/2006/metadata/properties" xmlns:ns2="6076d197-b432-4a89-8b9d-b97676e775aa" xmlns:ns3="3f71e46e-dbdb-4936-a808-49fb891fc3e2" targetNamespace="http://schemas.microsoft.com/office/2006/metadata/properties" ma:root="true" ma:fieldsID="6e0e4de3d33432ae72a3141b23a7d9d3" ns2:_="" ns3:_="">
    <xsd:import namespace="6076d197-b432-4a89-8b9d-b97676e775aa"/>
    <xsd:import namespace="3f71e46e-dbdb-4936-a808-49fb891fc3e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LengthInSeconds" minOccurs="0"/>
                <xsd:element ref="ns2:CAOProjectManag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76d197-b432-4a89-8b9d-b97676e775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3bc13bb2-4050-4808-9050-3ebd68b2d7b0"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CAOProjectManager" ma:index="23" nillable="true" ma:displayName="CAO Project Manager" ma:format="Dropdown" ma:list="UserInfo" ma:SharePointGroup="0" ma:internalName="CAOProjectManag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1e46e-dbdb-4936-a808-49fb891fc3e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0e011eb3-e583-4599-8d5f-56a0dc63b001}" ma:internalName="TaxCatchAll" ma:showField="CatchAllData" ma:web="3f71e46e-dbdb-4936-a808-49fb891fc3e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c D A A B Q S w M E F A A C A A g A 7 o s Z U X I W u O 2 n A A A A + A A A A B I A H A B D b 2 5 m a W c v U G F j a 2 F n Z S 5 4 b W w g o h g A K K A U A A A A A A A A A A A A A A A A A A A A A A A A A A A A h Y + 9 D o I w G E V f h X S n L e A P k o 8 y u E p i Q j S u T a 3 Q C M X Q Y n k 3 B x / J V 5 B E U T f H e 3 K G c x + 3 O 2 R D U 3 t X 2 R n V 6 h Q F m C J P a t E e l S 5 T 1 N u T H 6 O M w Z a L M y + l N 8 r a J I M 5 p q i y 9 p I Q 4 p z D L s J t V 5 K Q 0 o A c 8 k 0 h K t l w 9 J H V f 9 l X 2 l i u h U Q M 9 q 8 Y F u I 4 w v N 4 N c P L R Q B k w p A r / V X C s R h T I D 8 Q 1 n 1 t + 0 4 y q f 1 d A W S a Q N 4 v 2 B N Q S w M E F A A C A A g A 7 o s Z U 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O 6 L G V E o i k e 4 D g A A A B E A A A A T A B w A R m 9 y b X V s Y X M v U 2 V j d G l v b j E u b S C i G A A o o B Q A A A A A A A A A A A A A A A A A A A A A A A A A A A A r T k 0 u y c z P U w i G 0 I b W A F B L A Q I t A B Q A A g A I A O 6 L G V F y F r j t p w A A A P g A A A A S A A A A A A A A A A A A A A A A A A A A A A B D b 2 5 m a W c v U G F j a 2 F n Z S 5 4 b W x Q S w E C L Q A U A A I A C A D u i x l R D 8 r p q 6 Q A A A D p A A A A E w A A A A A A A A A A A A A A A A D z A A A A W 0 N v b n R l b n R f V H l w Z X N d L n h t b F B L A Q I t A B Q A A g A I A O 6 L G V E o i k e 4 D g A A A B E A A A A T A A A A A A A A A A A A A A A A A O Q B A A B G b 3 J t d W x h c y 9 T Z W N 0 a W 9 u M S 5 t U E s F B g A A A A A D A A M A w g A A A D 8 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C Z i f N d / S z y R Z N e M k I r o 7 K R A A A A A A I A A A A A A A N m A A D A A A A A E A A A A C O I r o h Z 3 H g S h H Y a K Y m 8 a W 0 A A A A A B I A A A K A A A A A Q A A A A i F M B I J O / y n 8 U 7 q 8 D 6 v Y J H V A A A A C 9 J Q m 8 z X y K 7 a 8 p O f K + M Y 2 i c d l j j Q P X K Q / / s 2 M j M 6 c x / H m C 4 P T y W b / 4 j y f Y y C D q L q o O 3 v w s a f b t r x 9 b q f B d a C E A Y g b E 7 h O 0 X S c N Q V c h 6 r w N l x Q A A A D I u h P G M m V o C S m T 6 w f O L C y + E 3 A N 2 A = = < / 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3f71e46e-dbdb-4936-a808-49fb891fc3e2" xsi:nil="true"/>
    <lcf76f155ced4ddcb4097134ff3c332f xmlns="6076d197-b432-4a89-8b9d-b97676e775aa">
      <Terms xmlns="http://schemas.microsoft.com/office/infopath/2007/PartnerControls"/>
    </lcf76f155ced4ddcb4097134ff3c332f>
    <CAOProjectManager xmlns="6076d197-b432-4a89-8b9d-b97676e775aa">
      <UserInfo>
        <DisplayName/>
        <AccountId xsi:nil="true"/>
        <AccountType/>
      </UserInfo>
    </CAOProjectManager>
  </documentManagement>
</p:properties>
</file>

<file path=customXml/itemProps1.xml><?xml version="1.0" encoding="utf-8"?>
<ds:datastoreItem xmlns:ds="http://schemas.openxmlformats.org/officeDocument/2006/customXml" ds:itemID="{6041F7E2-F5B3-496D-9996-2A872CBC1D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76d197-b432-4a89-8b9d-b97676e775aa"/>
    <ds:schemaRef ds:uri="3f71e46e-dbdb-4936-a808-49fb891fc3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8A1666E-A070-4A8E-B41C-B284AC592F46}">
  <ds:schemaRefs>
    <ds:schemaRef ds:uri="http://schemas.microsoft.com/DataMashup"/>
  </ds:schemaRefs>
</ds:datastoreItem>
</file>

<file path=customXml/itemProps3.xml><?xml version="1.0" encoding="utf-8"?>
<ds:datastoreItem xmlns:ds="http://schemas.openxmlformats.org/officeDocument/2006/customXml" ds:itemID="{16029F04-E141-4C6D-85D9-0315E87EDA12}">
  <ds:schemaRefs>
    <ds:schemaRef ds:uri="http://schemas.microsoft.com/sharepoint/v3/contenttype/forms"/>
  </ds:schemaRefs>
</ds:datastoreItem>
</file>

<file path=customXml/itemProps4.xml><?xml version="1.0" encoding="utf-8"?>
<ds:datastoreItem xmlns:ds="http://schemas.openxmlformats.org/officeDocument/2006/customXml" ds:itemID="{A4B77D4B-1C4B-49C7-8E09-3DDD275A9554}">
  <ds:schemaRefs>
    <ds:schemaRef ds:uri="http://schemas.microsoft.com/office/2006/metadata/properties"/>
    <ds:schemaRef ds:uri="http://schemas.microsoft.com/office/infopath/2007/PartnerControls"/>
    <ds:schemaRef ds:uri="0f440104-c197-4b83-a41e-b57a19852808"/>
    <ds:schemaRef ds:uri="bb426e32-3e6a-4212-a087-9d37468b3255"/>
    <ds:schemaRef ds:uri="3f71e46e-dbdb-4936-a808-49fb891fc3e2"/>
    <ds:schemaRef ds:uri="6076d197-b432-4a89-8b9d-b97676e775aa"/>
  </ds:schemaRefs>
</ds:datastoreItem>
</file>

<file path=docMetadata/LabelInfo.xml><?xml version="1.0" encoding="utf-8"?>
<clbl:labelList xmlns:clbl="http://schemas.microsoft.com/office/2020/mipLabelMetadata">
  <clbl:label id="{db79d039-fcd0-4045-9c78-4cfb2eba0904}" enabled="1" method="Privileged" siteId="{aa3f6932-fa7c-47b4-a0ce-a598cad161c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24</vt:i4>
      </vt:variant>
      <vt:variant>
        <vt:lpstr>Named Ranges</vt:lpstr>
      </vt:variant>
      <vt:variant>
        <vt:i4>15</vt:i4>
      </vt:variant>
    </vt:vector>
  </HeadingPairs>
  <TitlesOfParts>
    <vt:vector size="39" baseType="lpstr">
      <vt:lpstr>Appendix C--&gt;</vt:lpstr>
      <vt:lpstr>EF Determination</vt:lpstr>
      <vt:lpstr>Screening Emission Calculations</vt:lpstr>
      <vt:lpstr>Appendix E--&gt;</vt:lpstr>
      <vt:lpstr>Screening REER</vt:lpstr>
      <vt:lpstr>Appendix F--&gt;</vt:lpstr>
      <vt:lpstr>ChiCanF</vt:lpstr>
      <vt:lpstr>WorCanF</vt:lpstr>
      <vt:lpstr>ResCanF</vt:lpstr>
      <vt:lpstr>AcuteF</vt:lpstr>
      <vt:lpstr>Appendix G--&gt;</vt:lpstr>
      <vt:lpstr>Final Residential Risk</vt:lpstr>
      <vt:lpstr>Final Child Risk</vt:lpstr>
      <vt:lpstr>Final Worker Risk</vt:lpstr>
      <vt:lpstr>Final Acute Risk</vt:lpstr>
      <vt:lpstr>Risk Summary</vt:lpstr>
      <vt:lpstr>Reference-&gt;</vt:lpstr>
      <vt:lpstr>Model Results --&gt;</vt:lpstr>
      <vt:lpstr>Model Results Summary - PDX109</vt:lpstr>
      <vt:lpstr>Criteria 39tpy</vt:lpstr>
      <vt:lpstr>Gen IDs</vt:lpstr>
      <vt:lpstr>ODEQ Emissions Factors</vt:lpstr>
      <vt:lpstr>2019 Stack Test</vt:lpstr>
      <vt:lpstr>OAR 340-245 Table 2 RBCs</vt:lpstr>
      <vt:lpstr>'OAR 340-245 Table 2 RBCs'!childNRAFc</vt:lpstr>
      <vt:lpstr>'OAR 340-245 Table 2 RBCs'!childNRAFnc</vt:lpstr>
      <vt:lpstr>'OAR 340-245 Table 2 RBCs'!ELAFnr</vt:lpstr>
      <vt:lpstr>'OAR 340-245 Table 2 RBCs'!ELAFr</vt:lpstr>
      <vt:lpstr>'Criteria 39tpy'!Print_Area</vt:lpstr>
      <vt:lpstr>'EF Determination'!Print_Area</vt:lpstr>
      <vt:lpstr>'Final Acute Risk'!Print_Area</vt:lpstr>
      <vt:lpstr>'Final Child Risk'!Print_Area</vt:lpstr>
      <vt:lpstr>'Final Residential Risk'!Print_Area</vt:lpstr>
      <vt:lpstr>'Final Worker Risk'!Print_Area</vt:lpstr>
      <vt:lpstr>'Risk Summary'!Print_Area</vt:lpstr>
      <vt:lpstr>'Screening Emission Calculations'!Print_Area</vt:lpstr>
      <vt:lpstr>'Screening REER'!Print_Area</vt:lpstr>
      <vt:lpstr>'OAR 340-245 Table 2 RBCs'!workNRAFc</vt:lpstr>
      <vt:lpstr>'OAR 340-245 Table 2 RBCs'!workNRAFnc</vt:lpstr>
    </vt:vector>
  </TitlesOfParts>
  <Manager/>
  <Company>Trinity Consultants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Hui Cheng</dc:creator>
  <cp:keywords/>
  <dc:description/>
  <cp:lastModifiedBy>DEVITA-MCBRIDE Amy</cp:lastModifiedBy>
  <cp:revision/>
  <dcterms:created xsi:type="dcterms:W3CDTF">2017-12-08T20:42:05Z</dcterms:created>
  <dcterms:modified xsi:type="dcterms:W3CDTF">2025-12-12T23:46:39Z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0x010100D20178CB431FBB44BA390DFB7A67DCC0</vt:lpwstr>
  </property>
  <property fmtid="{D5CDD505-2E9C-101B-9397-08002B2CF9AE}" pid="3" name="Order">
    <vt:r8>100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WorkbookGuid">
    <vt:lpwstr>93bb4494-b81a-44dc-996e-99f65d6266c1</vt:lpwstr>
  </property>
  <property fmtid="{D5CDD505-2E9C-101B-9397-08002B2CF9AE}" pid="9" name="MediaServiceImageTags">
    <vt:lpwstr/>
  </property>
</Properties>
</file>