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80" windowWidth="19440" windowHeight="11610"/>
  </bookViews>
  <sheets>
    <sheet name="ESTIMATE" sheetId="1" r:id="rId1"/>
  </sheets>
  <definedNames>
    <definedName name="_xlnm.Print_Area" localSheetId="0">ESTIMATE!$A$1:$K$76</definedName>
  </definedNames>
  <calcPr calcId="125725"/>
</workbook>
</file>

<file path=xl/calcChain.xml><?xml version="1.0" encoding="utf-8"?>
<calcChain xmlns="http://schemas.openxmlformats.org/spreadsheetml/2006/main">
  <c r="M39" i="1"/>
  <c r="M26"/>
  <c r="M27" s="1"/>
  <c r="M25"/>
  <c r="M20"/>
  <c r="P73" l="1"/>
  <c r="P72"/>
  <c r="P71"/>
  <c r="O72"/>
  <c r="O71"/>
  <c r="O70"/>
  <c r="O68"/>
  <c r="O67"/>
  <c r="M56"/>
  <c r="M62"/>
  <c r="M61"/>
  <c r="P54"/>
  <c r="O54"/>
  <c r="A19"/>
  <c r="J18"/>
  <c r="A18"/>
  <c r="J48"/>
  <c r="A49"/>
  <c r="A48"/>
  <c r="H19"/>
  <c r="H51"/>
  <c r="H14"/>
  <c r="H24"/>
  <c r="J24"/>
  <c r="H26"/>
  <c r="F26"/>
  <c r="H25"/>
  <c r="F44"/>
  <c r="J49"/>
  <c r="F46"/>
  <c r="J46" s="1"/>
  <c r="F45"/>
  <c r="J45" s="1"/>
  <c r="J44"/>
  <c r="F49"/>
  <c r="A60"/>
  <c r="J59"/>
  <c r="A59"/>
  <c r="J58"/>
  <c r="J25"/>
  <c r="A25"/>
  <c r="J51"/>
  <c r="J43"/>
  <c r="J47"/>
  <c r="J53"/>
  <c r="J42"/>
  <c r="J41"/>
  <c r="J19"/>
  <c r="J17"/>
  <c r="J16"/>
  <c r="J15"/>
  <c r="A15"/>
  <c r="A16" s="1"/>
  <c r="A17" s="1"/>
  <c r="J14"/>
  <c r="J36"/>
  <c r="J31"/>
  <c r="A42"/>
  <c r="J60"/>
  <c r="J52"/>
  <c r="J50"/>
  <c r="J35"/>
  <c r="J34"/>
  <c r="J32"/>
  <c r="J33"/>
  <c r="A32"/>
  <c r="A33" s="1"/>
  <c r="A34" s="1"/>
  <c r="A35" s="1"/>
  <c r="A36" s="1"/>
  <c r="J61" l="1"/>
  <c r="J26"/>
  <c r="J20"/>
  <c r="A44"/>
  <c r="A45" s="1"/>
  <c r="A46" s="1"/>
  <c r="A47" s="1"/>
  <c r="A43"/>
  <c r="A26"/>
  <c r="J54"/>
  <c r="H66" s="1"/>
  <c r="J37"/>
  <c r="H65" s="1"/>
  <c r="H67" l="1"/>
  <c r="H68" s="1"/>
  <c r="H70" s="1"/>
  <c r="J27"/>
  <c r="A50"/>
  <c r="H69" l="1"/>
  <c r="A51"/>
  <c r="A52" s="1"/>
  <c r="A53" s="1"/>
  <c r="H71" l="1"/>
  <c r="J72" s="1"/>
  <c r="J74" s="1"/>
</calcChain>
</file>

<file path=xl/sharedStrings.xml><?xml version="1.0" encoding="utf-8"?>
<sst xmlns="http://schemas.openxmlformats.org/spreadsheetml/2006/main" count="130" uniqueCount="76">
  <si>
    <t>SCHEDULE 1</t>
  </si>
  <si>
    <t>Item No.</t>
  </si>
  <si>
    <t>Item Description</t>
  </si>
  <si>
    <t>Quantity</t>
  </si>
  <si>
    <t>Unit</t>
  </si>
  <si>
    <t>Unit Price</t>
  </si>
  <si>
    <t>Item Total</t>
  </si>
  <si>
    <t>Mobilization</t>
  </si>
  <si>
    <t>LS</t>
  </si>
  <si>
    <t>SCHEDULE 2</t>
  </si>
  <si>
    <t>LF</t>
  </si>
  <si>
    <t>SF</t>
  </si>
  <si>
    <t>SCHEDULE 3</t>
  </si>
  <si>
    <t>CITY HALL, 414 EAST FIRST STREET, P. O. BOX 970, NEWBERG, OR 97132</t>
  </si>
  <si>
    <t>C I T Y   O F   N E W B E R G</t>
  </si>
  <si>
    <t>Unit Price in Writing</t>
  </si>
  <si>
    <t>EA</t>
  </si>
  <si>
    <t>PUBLIC WORKS DEPARTMENT / ENGINEERING DIVISION</t>
  </si>
  <si>
    <t>Leveling Rock, 3/4" Minus, 3" In-place</t>
  </si>
  <si>
    <t>Install Concrete Sidewalk Ramp With ADA Safety Yellow Truncated Domes</t>
  </si>
  <si>
    <t>Sawcut Asphalt Concrete Pavement up to 6" depth</t>
  </si>
  <si>
    <t>Construction Staking</t>
  </si>
  <si>
    <t>TEL: (503) 537-1240            FAX: (503) 537-1277</t>
  </si>
  <si>
    <t>Project Administrative Costs</t>
  </si>
  <si>
    <t>ODOT Administrative Costs</t>
  </si>
  <si>
    <t>Engineering &amp; Design</t>
  </si>
  <si>
    <t>Permitting</t>
  </si>
  <si>
    <t>Surveying</t>
  </si>
  <si>
    <t>Traffic Control</t>
  </si>
  <si>
    <t>Sediment &amp; Erosion Control Measure</t>
  </si>
  <si>
    <t>Site Restoration &amp; Cleanup</t>
  </si>
  <si>
    <t>Clear &amp; Grub</t>
  </si>
  <si>
    <t>Excavate or Provide Embankment, Grade Sidewalk Subgrade &amp; Side Slopes</t>
  </si>
  <si>
    <t>Install 6' wide Concrete Sidewalk, 4" Thick On Compacted 2" Of 3/4" Minus on Compacted Subgrade</t>
  </si>
  <si>
    <t>Demolish &amp; Remove Asphalt Pavement to an Approved Site</t>
  </si>
  <si>
    <t>PRELIMINARY ENGINEERING (PE)</t>
  </si>
  <si>
    <t>CONSTRUCTION (CONST)</t>
  </si>
  <si>
    <t xml:space="preserve">CONSTRUCTION - GENERAL </t>
  </si>
  <si>
    <t>CONSTRUCTION - ROADWAY, BIKEWAY, WALKWAY IMPROVEMENTS</t>
  </si>
  <si>
    <t>CONSTRUCTION - DRAINAGE IMPROVEMENTS</t>
  </si>
  <si>
    <t>TOTAL CONSTRUCTION =</t>
  </si>
  <si>
    <t>RIGHT-OF-WAY (ROW)</t>
  </si>
  <si>
    <t>SCHEDULE 1 TOTAL PE =</t>
  </si>
  <si>
    <t>SCHEDULE 2 TOTAL ROW =</t>
  </si>
  <si>
    <t>SCHEDULE 3A</t>
  </si>
  <si>
    <t>SCHEDULE 3B</t>
  </si>
  <si>
    <t>SCHEDULE 3C</t>
  </si>
  <si>
    <t>SCHEDULE 3A SUBTOTAL =</t>
  </si>
  <si>
    <t>SCHEDULE 3B SUBTOTAL =</t>
  </si>
  <si>
    <t>SCHEDULE 3C SUBTOTAL =</t>
  </si>
  <si>
    <t>SCHEDULE 3A =</t>
  </si>
  <si>
    <t>SCHEDULE 3B =</t>
  </si>
  <si>
    <t>SCHEDULE 3C =</t>
  </si>
  <si>
    <t>TOTAL  (3A+3B+3C) =</t>
  </si>
  <si>
    <t>SCHEDULE 3 TOTAL CONST =</t>
  </si>
  <si>
    <t>GRAND TOTAL (PE + ROW + CONST) =</t>
  </si>
  <si>
    <t>Date:</t>
  </si>
  <si>
    <t>Administration Costs</t>
  </si>
  <si>
    <t>Acquisition</t>
  </si>
  <si>
    <t>Dedication Record Process</t>
  </si>
  <si>
    <t>SY</t>
  </si>
  <si>
    <t>Asphalt Concrete, Type 'C' In 3 Lifts, 6" In-place</t>
  </si>
  <si>
    <t>Install Concrete Curb &amp; Gutter</t>
  </si>
  <si>
    <t>Install Striping</t>
  </si>
  <si>
    <t>Extend RR Storm Culvert, Install Short Retaining Wall &amp; Regrade As Needed</t>
  </si>
  <si>
    <t>Install Pelican Style Catch Basins</t>
  </si>
  <si>
    <t>Install 12" PVC storm pipe</t>
  </si>
  <si>
    <t>Base Rock, 1 1/2" Minus, 12" In-place</t>
  </si>
  <si>
    <t>CONTINGENCY (20% OF 3A+3B+3C) =</t>
  </si>
  <si>
    <t>CONSTRUCTION ENGINEERING (15% OF 3A+3B+3C) =</t>
  </si>
  <si>
    <t>COST ESTIMATE for
HWY 219 (N. COLLEGE ST.) PROPOSED PEDESTRIAN/BIKE IMPROVEMENT PROJECT</t>
  </si>
  <si>
    <t>Install Gravel Shoulder</t>
  </si>
  <si>
    <t>Environmental Process</t>
  </si>
  <si>
    <t>Pedestrian RR Crossing Pads **</t>
  </si>
  <si>
    <t>Install Gravel between Road and Ped Crossing **</t>
  </si>
  <si>
    <t>NOTE:
MINIMUM 10.27% MATCH = $99,309.  CITY OF NEWBERG WILL PROVIDE THE REQUIRED MATCH IN FUNDING BY PERFORMING THE "PEDESTRIAN RAILROAD CROSSING WORK" AND PROVIDING STAFF SUPPORT FOR THE PROJECT.</t>
  </si>
</sst>
</file>

<file path=xl/styles.xml><?xml version="1.0" encoding="utf-8"?>
<styleSheet xmlns="http://schemas.openxmlformats.org/spreadsheetml/2006/main">
  <numFmts count="3">
    <numFmt numFmtId="5" formatCode="&quot;$&quot;#,##0_);\(&quot;$&quot;#,##0\)"/>
    <numFmt numFmtId="7" formatCode="&quot;$&quot;#,##0.00_);\(&quot;$&quot;#,##0.00\)"/>
    <numFmt numFmtId="8" formatCode="&quot;$&quot;#,##0.00_);[Red]\(&quot;$&quot;#,##0.00\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0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DD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top"/>
    </xf>
    <xf numFmtId="3" fontId="10" fillId="0" borderId="0" applyFont="0" applyFill="0" applyBorder="0" applyAlignment="0" applyProtection="0">
      <alignment vertical="top"/>
    </xf>
    <xf numFmtId="7" fontId="10" fillId="0" borderId="0" applyFont="0" applyFill="0" applyBorder="0" applyAlignment="0" applyProtection="0">
      <alignment vertical="top"/>
    </xf>
    <xf numFmtId="5" fontId="10" fillId="0" borderId="0" applyFont="0" applyFill="0" applyBorder="0" applyAlignment="0" applyProtection="0">
      <alignment vertical="top"/>
    </xf>
    <xf numFmtId="0" fontId="10" fillId="0" borderId="0" applyFont="0" applyFill="0" applyBorder="0" applyAlignment="0" applyProtection="0">
      <alignment vertical="top"/>
    </xf>
    <xf numFmtId="2" fontId="10" fillId="0" borderId="0" applyFon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10" fontId="10" fillId="0" borderId="0" applyFont="0" applyFill="0" applyBorder="0" applyAlignment="0" applyProtection="0">
      <alignment vertical="top"/>
    </xf>
    <xf numFmtId="0" fontId="10" fillId="0" borderId="1" applyNumberFormat="0" applyFont="0" applyFill="0" applyAlignment="0" applyProtection="0">
      <alignment vertical="top"/>
    </xf>
  </cellStyleXfs>
  <cellXfs count="157">
    <xf numFmtId="0" fontId="0" fillId="0" borderId="0" xfId="0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>
      <alignment vertical="top"/>
    </xf>
    <xf numFmtId="0" fontId="11" fillId="0" borderId="0" xfId="0" applyFont="1" applyFill="1">
      <alignment vertical="top"/>
    </xf>
    <xf numFmtId="0" fontId="11" fillId="0" borderId="0" xfId="0" applyFont="1">
      <alignment vertical="top"/>
    </xf>
    <xf numFmtId="0" fontId="11" fillId="0" borderId="0" xfId="0" applyFont="1" applyBorder="1">
      <alignment vertical="top"/>
    </xf>
    <xf numFmtId="2" fontId="11" fillId="0" borderId="0" xfId="5" applyFont="1">
      <alignment vertical="top"/>
    </xf>
    <xf numFmtId="10" fontId="11" fillId="0" borderId="0" xfId="8" applyFont="1" applyFill="1">
      <alignment vertical="top"/>
    </xf>
    <xf numFmtId="10" fontId="11" fillId="0" borderId="0" xfId="8" applyFont="1">
      <alignment vertical="top"/>
    </xf>
    <xf numFmtId="0" fontId="11" fillId="3" borderId="0" xfId="0" applyFont="1" applyFill="1">
      <alignment vertical="top"/>
    </xf>
    <xf numFmtId="0" fontId="11" fillId="0" borderId="0" xfId="0" applyFont="1" applyBorder="1" applyAlignment="1">
      <alignment vertical="center"/>
    </xf>
    <xf numFmtId="7" fontId="3" fillId="0" borderId="0" xfId="2" applyFont="1" applyBorder="1" applyAlignment="1">
      <alignment vertical="center"/>
    </xf>
    <xf numFmtId="10" fontId="11" fillId="0" borderId="0" xfId="8" applyFont="1" applyFill="1" applyAlignment="1">
      <alignment vertical="center"/>
    </xf>
    <xf numFmtId="8" fontId="11" fillId="0" borderId="0" xfId="8" applyNumberFormat="1" applyFont="1" applyFill="1" applyAlignment="1">
      <alignment vertical="center"/>
    </xf>
    <xf numFmtId="0" fontId="6" fillId="0" borderId="0" xfId="0" applyFont="1" applyBorder="1">
      <alignment vertical="top"/>
    </xf>
    <xf numFmtId="0" fontId="2" fillId="0" borderId="0" xfId="0" applyFont="1" applyBorder="1">
      <alignment vertical="top"/>
    </xf>
    <xf numFmtId="8" fontId="8" fillId="0" borderId="0" xfId="2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>
      <alignment vertical="top"/>
    </xf>
    <xf numFmtId="2" fontId="14" fillId="0" borderId="17" xfId="5" applyFont="1" applyBorder="1" applyAlignment="1">
      <alignment horizontal="left" vertical="top"/>
    </xf>
    <xf numFmtId="0" fontId="14" fillId="0" borderId="8" xfId="0" applyFont="1" applyBorder="1">
      <alignment vertical="top"/>
    </xf>
    <xf numFmtId="0" fontId="14" fillId="0" borderId="7" xfId="0" applyFont="1" applyBorder="1">
      <alignment vertical="top"/>
    </xf>
    <xf numFmtId="8" fontId="15" fillId="0" borderId="2" xfId="2" applyNumberFormat="1" applyFont="1" applyBorder="1" applyAlignment="1">
      <alignment vertical="center"/>
    </xf>
    <xf numFmtId="2" fontId="15" fillId="0" borderId="2" xfId="5" applyFont="1" applyBorder="1" applyAlignment="1">
      <alignment vertical="center"/>
    </xf>
    <xf numFmtId="8" fontId="15" fillId="0" borderId="12" xfId="2" applyNumberFormat="1" applyFont="1" applyBorder="1" applyAlignment="1">
      <alignment vertical="center"/>
    </xf>
    <xf numFmtId="8" fontId="14" fillId="0" borderId="2" xfId="2" applyNumberFormat="1" applyFont="1" applyBorder="1" applyAlignment="1">
      <alignment vertical="center"/>
    </xf>
    <xf numFmtId="2" fontId="14" fillId="0" borderId="2" xfId="5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2" fontId="14" fillId="0" borderId="17" xfId="5" applyFont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8" fontId="14" fillId="0" borderId="5" xfId="2" applyNumberFormat="1" applyFont="1" applyBorder="1" applyAlignment="1">
      <alignment vertical="center"/>
    </xf>
    <xf numFmtId="2" fontId="14" fillId="0" borderId="7" xfId="5" applyFont="1" applyBorder="1" applyAlignment="1">
      <alignment vertical="center"/>
    </xf>
    <xf numFmtId="8" fontId="15" fillId="0" borderId="13" xfId="2" applyNumberFormat="1" applyFont="1" applyBorder="1" applyAlignment="1">
      <alignment vertical="center"/>
    </xf>
    <xf numFmtId="8" fontId="14" fillId="0" borderId="4" xfId="2" applyNumberFormat="1" applyFont="1" applyBorder="1" applyAlignment="1">
      <alignment vertical="center"/>
    </xf>
    <xf numFmtId="2" fontId="14" fillId="0" borderId="8" xfId="5" applyFont="1" applyBorder="1" applyAlignment="1">
      <alignment vertical="center"/>
    </xf>
    <xf numFmtId="0" fontId="5" fillId="0" borderId="26" xfId="0" applyFont="1" applyBorder="1" applyAlignment="1">
      <alignment vertical="top"/>
    </xf>
    <xf numFmtId="0" fontId="14" fillId="0" borderId="27" xfId="0" applyFont="1" applyBorder="1" applyAlignment="1">
      <alignment vertical="top"/>
    </xf>
    <xf numFmtId="0" fontId="14" fillId="0" borderId="28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15" fillId="0" borderId="17" xfId="5" applyFont="1" applyFill="1" applyBorder="1" applyAlignment="1">
      <alignment horizontal="left" vertical="center"/>
    </xf>
    <xf numFmtId="0" fontId="15" fillId="0" borderId="8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8" fontId="15" fillId="0" borderId="2" xfId="2" applyNumberFormat="1" applyFont="1" applyFill="1" applyBorder="1" applyAlignment="1">
      <alignment vertical="center"/>
    </xf>
    <xf numFmtId="8" fontId="15" fillId="0" borderId="2" xfId="5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5" fillId="0" borderId="29" xfId="0" applyFont="1" applyBorder="1" applyAlignment="1">
      <alignment horizontal="center" vertical="top"/>
    </xf>
    <xf numFmtId="0" fontId="14" fillId="0" borderId="2" xfId="0" applyFont="1" applyBorder="1" applyAlignment="1">
      <alignment vertical="center"/>
    </xf>
    <xf numFmtId="8" fontId="14" fillId="0" borderId="2" xfId="5" applyNumberFormat="1" applyFont="1" applyBorder="1" applyAlignment="1">
      <alignment vertical="center"/>
    </xf>
    <xf numFmtId="8" fontId="14" fillId="0" borderId="12" xfId="2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top"/>
    </xf>
    <xf numFmtId="0" fontId="5" fillId="0" borderId="21" xfId="0" applyFont="1" applyBorder="1" applyAlignment="1">
      <alignment vertical="top"/>
    </xf>
    <xf numFmtId="0" fontId="14" fillId="0" borderId="21" xfId="0" applyFont="1" applyBorder="1" applyAlignment="1">
      <alignment vertical="top"/>
    </xf>
    <xf numFmtId="0" fontId="5" fillId="0" borderId="21" xfId="0" applyFont="1" applyBorder="1" applyAlignment="1">
      <alignment horizontal="center" vertical="top"/>
    </xf>
    <xf numFmtId="0" fontId="5" fillId="0" borderId="21" xfId="0" applyFont="1" applyBorder="1" applyAlignment="1">
      <alignment horizontal="left" vertical="top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2" fillId="0" borderId="0" xfId="0" applyFont="1">
      <alignment vertical="top"/>
    </xf>
    <xf numFmtId="0" fontId="12" fillId="0" borderId="22" xfId="0" applyFont="1" applyBorder="1" applyAlignment="1">
      <alignment vertical="center"/>
    </xf>
    <xf numFmtId="0" fontId="14" fillId="0" borderId="3" xfId="0" applyFont="1" applyBorder="1">
      <alignment vertical="top"/>
    </xf>
    <xf numFmtId="0" fontId="19" fillId="0" borderId="0" xfId="0" applyFont="1">
      <alignment vertical="top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left" vertical="top"/>
    </xf>
    <xf numFmtId="0" fontId="20" fillId="0" borderId="31" xfId="0" applyFont="1" applyBorder="1" applyAlignment="1">
      <alignment horizontal="center" vertical="top"/>
    </xf>
    <xf numFmtId="2" fontId="19" fillId="0" borderId="31" xfId="5" applyFont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2" fontId="14" fillId="0" borderId="34" xfId="5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8" fillId="0" borderId="3" xfId="0" applyFont="1" applyBorder="1" applyAlignment="1">
      <alignment horizontal="right" vertical="center"/>
    </xf>
    <xf numFmtId="8" fontId="17" fillId="4" borderId="23" xfId="2" applyNumberFormat="1" applyFont="1" applyFill="1" applyBorder="1" applyAlignment="1">
      <alignment vertical="center"/>
    </xf>
    <xf numFmtId="0" fontId="19" fillId="0" borderId="31" xfId="0" applyFont="1" applyBorder="1">
      <alignment vertical="top"/>
    </xf>
    <xf numFmtId="0" fontId="19" fillId="0" borderId="0" xfId="0" applyFont="1" applyBorder="1">
      <alignment vertical="top"/>
    </xf>
    <xf numFmtId="8" fontId="17" fillId="5" borderId="23" xfId="2" applyNumberFormat="1" applyFont="1" applyFill="1" applyBorder="1" applyAlignment="1">
      <alignment vertical="center"/>
    </xf>
    <xf numFmtId="2" fontId="12" fillId="5" borderId="18" xfId="5" applyFont="1" applyFill="1" applyBorder="1">
      <alignment vertical="top"/>
    </xf>
    <xf numFmtId="0" fontId="9" fillId="5" borderId="24" xfId="0" applyFont="1" applyFill="1" applyBorder="1">
      <alignment vertical="top"/>
    </xf>
    <xf numFmtId="0" fontId="12" fillId="5" borderId="24" xfId="0" applyFont="1" applyFill="1" applyBorder="1">
      <alignment vertical="top"/>
    </xf>
    <xf numFmtId="0" fontId="12" fillId="5" borderId="24" xfId="0" applyFont="1" applyFill="1" applyBorder="1" applyAlignment="1">
      <alignment vertical="center"/>
    </xf>
    <xf numFmtId="2" fontId="14" fillId="5" borderId="14" xfId="5" applyFont="1" applyFill="1" applyBorder="1">
      <alignment vertical="top"/>
    </xf>
    <xf numFmtId="0" fontId="7" fillId="5" borderId="15" xfId="0" applyFont="1" applyFill="1" applyBorder="1">
      <alignment vertical="top"/>
    </xf>
    <xf numFmtId="0" fontId="14" fillId="5" borderId="15" xfId="0" applyFont="1" applyFill="1" applyBorder="1">
      <alignment vertical="top"/>
    </xf>
    <xf numFmtId="0" fontId="14" fillId="5" borderId="15" xfId="0" applyFont="1" applyFill="1" applyBorder="1" applyAlignment="1">
      <alignment vertical="center"/>
    </xf>
    <xf numFmtId="0" fontId="14" fillId="5" borderId="14" xfId="0" applyFont="1" applyFill="1" applyBorder="1">
      <alignment vertical="top"/>
    </xf>
    <xf numFmtId="0" fontId="16" fillId="5" borderId="15" xfId="0" applyFont="1" applyFill="1" applyBorder="1">
      <alignment vertical="top"/>
    </xf>
    <xf numFmtId="2" fontId="12" fillId="5" borderId="14" xfId="5" applyFont="1" applyFill="1" applyBorder="1">
      <alignment vertical="top"/>
    </xf>
    <xf numFmtId="0" fontId="9" fillId="5" borderId="15" xfId="0" applyFont="1" applyFill="1" applyBorder="1">
      <alignment vertical="top"/>
    </xf>
    <xf numFmtId="0" fontId="12" fillId="5" borderId="15" xfId="0" applyFont="1" applyFill="1" applyBorder="1">
      <alignment vertical="top"/>
    </xf>
    <xf numFmtId="0" fontId="12" fillId="5" borderId="15" xfId="0" applyFont="1" applyFill="1" applyBorder="1" applyAlignment="1">
      <alignment vertical="center"/>
    </xf>
    <xf numFmtId="2" fontId="17" fillId="5" borderId="19" xfId="5" applyFont="1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0" fontId="17" fillId="5" borderId="21" xfId="0" applyFont="1" applyFill="1" applyBorder="1" applyAlignment="1">
      <alignment vertical="center"/>
    </xf>
    <xf numFmtId="0" fontId="11" fillId="5" borderId="21" xfId="0" applyFont="1" applyFill="1" applyBorder="1">
      <alignment vertical="top"/>
    </xf>
    <xf numFmtId="0" fontId="11" fillId="5" borderId="20" xfId="0" applyFont="1" applyFill="1" applyBorder="1">
      <alignment vertical="top"/>
    </xf>
    <xf numFmtId="0" fontId="12" fillId="5" borderId="21" xfId="0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2" fontId="17" fillId="5" borderId="18" xfId="5" applyFont="1" applyFill="1" applyBorder="1" applyAlignment="1">
      <alignment vertical="center"/>
    </xf>
    <xf numFmtId="0" fontId="17" fillId="5" borderId="24" xfId="0" applyFont="1" applyFill="1" applyBorder="1" applyAlignment="1">
      <alignment vertical="center"/>
    </xf>
    <xf numFmtId="0" fontId="11" fillId="5" borderId="24" xfId="0" applyFont="1" applyFill="1" applyBorder="1">
      <alignment vertical="top"/>
    </xf>
    <xf numFmtId="0" fontId="11" fillId="5" borderId="24" xfId="0" applyFont="1" applyFill="1" applyBorder="1" applyAlignment="1">
      <alignment vertical="center"/>
    </xf>
    <xf numFmtId="0" fontId="11" fillId="5" borderId="25" xfId="0" applyFont="1" applyFill="1" applyBorder="1" applyAlignment="1">
      <alignment vertical="center"/>
    </xf>
    <xf numFmtId="0" fontId="14" fillId="0" borderId="0" xfId="0" applyFont="1" applyFill="1">
      <alignment vertical="top"/>
    </xf>
    <xf numFmtId="0" fontId="12" fillId="0" borderId="0" xfId="0" applyFont="1" applyFill="1">
      <alignment vertical="top"/>
    </xf>
    <xf numFmtId="8" fontId="11" fillId="0" borderId="0" xfId="0" applyNumberFormat="1" applyFont="1" applyFill="1">
      <alignment vertical="top"/>
    </xf>
    <xf numFmtId="0" fontId="19" fillId="0" borderId="0" xfId="0" applyFont="1" applyFill="1">
      <alignment vertical="top"/>
    </xf>
    <xf numFmtId="0" fontId="11" fillId="0" borderId="0" xfId="0" applyFont="1" applyFill="1" applyBorder="1">
      <alignment vertical="top"/>
    </xf>
    <xf numFmtId="0" fontId="14" fillId="5" borderId="0" xfId="0" applyFont="1" applyFill="1" applyAlignment="1">
      <alignment vertical="center"/>
    </xf>
    <xf numFmtId="0" fontId="11" fillId="5" borderId="0" xfId="0" applyFont="1" applyFill="1">
      <alignment vertical="top"/>
    </xf>
    <xf numFmtId="0" fontId="5" fillId="5" borderId="0" xfId="0" applyFont="1" applyFill="1" applyAlignment="1">
      <alignment horizontal="center" vertical="top"/>
    </xf>
    <xf numFmtId="0" fontId="14" fillId="5" borderId="0" xfId="0" applyFont="1" applyFill="1" applyAlignment="1">
      <alignment horizontal="right" vertical="center"/>
    </xf>
    <xf numFmtId="8" fontId="11" fillId="0" borderId="0" xfId="0" applyNumberFormat="1" applyFont="1">
      <alignment vertical="top"/>
    </xf>
    <xf numFmtId="8" fontId="12" fillId="0" borderId="0" xfId="0" applyNumberFormat="1" applyFont="1">
      <alignment vertical="top"/>
    </xf>
    <xf numFmtId="8" fontId="19" fillId="0" borderId="0" xfId="0" applyNumberFormat="1" applyFont="1">
      <alignment vertical="top"/>
    </xf>
    <xf numFmtId="14" fontId="15" fillId="5" borderId="0" xfId="0" applyNumberFormat="1" applyFont="1" applyFill="1" applyAlignment="1">
      <alignment horizontal="right" vertical="center"/>
    </xf>
    <xf numFmtId="8" fontId="21" fillId="4" borderId="36" xfId="2" applyNumberFormat="1" applyFont="1" applyFill="1" applyBorder="1" applyAlignment="1">
      <alignment vertical="center"/>
    </xf>
    <xf numFmtId="0" fontId="14" fillId="0" borderId="37" xfId="0" applyFont="1" applyBorder="1" applyAlignment="1">
      <alignment horizontal="center" vertical="top" wrapText="1"/>
    </xf>
    <xf numFmtId="8" fontId="14" fillId="0" borderId="0" xfId="0" applyNumberFormat="1" applyFont="1">
      <alignment vertical="top"/>
    </xf>
    <xf numFmtId="0" fontId="17" fillId="5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7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21" fillId="5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0" borderId="26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5" fillId="0" borderId="28" xfId="0" applyFont="1" applyBorder="1" applyAlignment="1">
      <alignment vertical="top"/>
    </xf>
    <xf numFmtId="0" fontId="18" fillId="5" borderId="15" xfId="0" applyFont="1" applyFill="1" applyBorder="1" applyAlignment="1">
      <alignment horizontal="right" vertical="center"/>
    </xf>
    <xf numFmtId="0" fontId="0" fillId="5" borderId="15" xfId="0" applyFill="1" applyBorder="1" applyAlignment="1">
      <alignment horizontal="right" vertical="top"/>
    </xf>
    <xf numFmtId="0" fontId="15" fillId="0" borderId="2" xfId="0" applyFont="1" applyFill="1" applyBorder="1" applyAlignment="1">
      <alignment vertical="center"/>
    </xf>
    <xf numFmtId="0" fontId="5" fillId="0" borderId="10" xfId="0" applyFont="1" applyBorder="1" applyAlignment="1">
      <alignment vertical="top"/>
    </xf>
    <xf numFmtId="0" fontId="14" fillId="0" borderId="2" xfId="0" applyFont="1" applyBorder="1">
      <alignment vertical="top"/>
    </xf>
    <xf numFmtId="0" fontId="1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8" fillId="5" borderId="33" xfId="0" applyFont="1" applyFill="1" applyBorder="1" applyAlignment="1">
      <alignment horizontal="right" vertical="center"/>
    </xf>
    <xf numFmtId="0" fontId="0" fillId="5" borderId="33" xfId="0" applyFill="1" applyBorder="1" applyAlignment="1">
      <alignment horizontal="right" vertical="top"/>
    </xf>
    <xf numFmtId="0" fontId="23" fillId="5" borderId="24" xfId="0" applyFont="1" applyFill="1" applyBorder="1" applyAlignment="1">
      <alignment horizontal="right" vertical="center"/>
    </xf>
    <xf numFmtId="0" fontId="22" fillId="5" borderId="24" xfId="0" applyFont="1" applyFill="1" applyBorder="1" applyAlignment="1">
      <alignment horizontal="right" vertical="top"/>
    </xf>
    <xf numFmtId="8" fontId="19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8" fontId="13" fillId="0" borderId="0" xfId="0" applyNumberFormat="1" applyFont="1" applyBorder="1" applyAlignment="1">
      <alignment vertical="center"/>
    </xf>
    <xf numFmtId="8" fontId="18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</cellXfs>
  <cellStyles count="10">
    <cellStyle name="Comma0" xfId="1"/>
    <cellStyle name="Currency" xfId="2" builtinId="4"/>
    <cellStyle name="Currency0" xfId="3"/>
    <cellStyle name="Date" xfId="4"/>
    <cellStyle name="Fixed" xfId="5"/>
    <cellStyle name="Heading 1" xfId="6" builtinId="16" customBuiltin="1"/>
    <cellStyle name="Heading 2" xfId="7" builtinId="17" customBuiltin="1"/>
    <cellStyle name="Normal" xfId="0" builtinId="0"/>
    <cellStyle name="Percent" xfId="8" builtinId="5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DD"/>
      <color rgb="FFFFFFB9"/>
      <color rgb="FFFFFF8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69"/>
  <sheetViews>
    <sheetView tabSelected="1" topLeftCell="A28" zoomScale="70" zoomScaleNormal="70" zoomScalePageLayoutView="40" workbookViewId="0">
      <selection activeCell="M40" sqref="M40"/>
    </sheetView>
  </sheetViews>
  <sheetFormatPr defaultRowHeight="14.25"/>
  <cols>
    <col min="1" max="1" width="10.140625" style="4" customWidth="1"/>
    <col min="2" max="5" width="18.7109375" style="4" customWidth="1"/>
    <col min="6" max="6" width="9.7109375" style="4" customWidth="1"/>
    <col min="7" max="7" width="6.7109375" style="4" customWidth="1"/>
    <col min="8" max="8" width="13.85546875" style="4" customWidth="1"/>
    <col min="9" max="9" width="40.7109375" style="4" hidden="1" customWidth="1"/>
    <col min="10" max="10" width="20.7109375" style="4" customWidth="1"/>
    <col min="11" max="11" width="4.7109375" style="3" customWidth="1"/>
    <col min="12" max="12" width="9.140625" style="4"/>
    <col min="13" max="13" width="20.5703125" style="4" bestFit="1" customWidth="1"/>
    <col min="14" max="14" width="9.140625" style="4"/>
    <col min="15" max="15" width="16.5703125" style="4" bestFit="1" customWidth="1"/>
    <col min="16" max="16" width="12.140625" style="4" bestFit="1" customWidth="1"/>
    <col min="17" max="16384" width="9.140625" style="4"/>
  </cols>
  <sheetData>
    <row r="1" spans="1:11" ht="5.0999999999999996" customHeight="1">
      <c r="A1" s="9"/>
      <c r="B1" s="9"/>
      <c r="C1" s="9"/>
      <c r="D1" s="9"/>
      <c r="E1" s="9"/>
      <c r="F1" s="9"/>
      <c r="G1" s="9"/>
      <c r="H1" s="9"/>
      <c r="I1" s="9"/>
      <c r="J1" s="9"/>
    </row>
    <row r="2" spans="1:11" ht="18">
      <c r="A2" s="129" t="s">
        <v>14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8">
      <c r="A3" s="129" t="s">
        <v>17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15">
      <c r="A4" s="130" t="s">
        <v>13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1" ht="15">
      <c r="A5" s="130" t="s">
        <v>22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1" ht="5.0999999999999996" customHeight="1">
      <c r="A6" s="9"/>
      <c r="B6" s="9"/>
      <c r="C6" s="9"/>
      <c r="D6" s="9"/>
      <c r="E6" s="9"/>
      <c r="F6" s="9"/>
      <c r="G6" s="9"/>
      <c r="H6" s="9"/>
      <c r="I6" s="9"/>
      <c r="J6" s="9"/>
    </row>
    <row r="7" spans="1:11" ht="5.0999999999999996" customHeight="1">
      <c r="F7" s="1"/>
    </row>
    <row r="8" spans="1:11" ht="60" customHeight="1">
      <c r="A8" s="131" t="s">
        <v>70</v>
      </c>
      <c r="B8" s="132"/>
      <c r="C8" s="132"/>
      <c r="D8" s="132"/>
      <c r="E8" s="132"/>
      <c r="F8" s="132"/>
      <c r="G8" s="132"/>
      <c r="H8" s="132"/>
      <c r="I8" s="132"/>
      <c r="J8" s="132"/>
    </row>
    <row r="9" spans="1:11" ht="2.1" customHeight="1">
      <c r="A9" s="125"/>
      <c r="B9" s="126"/>
      <c r="C9" s="126"/>
      <c r="D9" s="126"/>
      <c r="E9" s="126"/>
      <c r="F9" s="126"/>
      <c r="G9" s="126"/>
      <c r="H9" s="126"/>
      <c r="I9" s="126"/>
      <c r="J9" s="126"/>
    </row>
    <row r="10" spans="1:11" ht="15.75">
      <c r="A10" s="115"/>
      <c r="B10" s="115"/>
      <c r="C10" s="115"/>
      <c r="D10" s="116"/>
      <c r="E10" s="115"/>
      <c r="F10" s="115"/>
      <c r="G10" s="115"/>
      <c r="H10" s="117" t="s">
        <v>56</v>
      </c>
      <c r="I10" s="114"/>
      <c r="J10" s="121">
        <v>40532</v>
      </c>
    </row>
    <row r="11" spans="1:11" ht="9.75" customHeight="1" thickBo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1" ht="24.95" customHeight="1" thickBot="1">
      <c r="A12" s="97" t="s">
        <v>0</v>
      </c>
      <c r="B12" s="98"/>
      <c r="C12" s="99" t="s">
        <v>35</v>
      </c>
      <c r="D12" s="100"/>
      <c r="E12" s="100"/>
      <c r="F12" s="100"/>
      <c r="G12" s="100"/>
      <c r="H12" s="100"/>
      <c r="I12" s="100"/>
      <c r="J12" s="101"/>
    </row>
    <row r="13" spans="1:11" s="21" customFormat="1" ht="18" customHeight="1">
      <c r="A13" s="17" t="s">
        <v>1</v>
      </c>
      <c r="B13" s="139" t="s">
        <v>2</v>
      </c>
      <c r="C13" s="139"/>
      <c r="D13" s="139"/>
      <c r="E13" s="139"/>
      <c r="F13" s="18" t="s">
        <v>3</v>
      </c>
      <c r="G13" s="19" t="s">
        <v>4</v>
      </c>
      <c r="H13" s="18" t="s">
        <v>5</v>
      </c>
      <c r="I13" s="18" t="s">
        <v>15</v>
      </c>
      <c r="J13" s="20" t="s">
        <v>6</v>
      </c>
      <c r="K13" s="109"/>
    </row>
    <row r="14" spans="1:11" s="21" customFormat="1" ht="18" customHeight="1">
      <c r="A14" s="22">
        <v>1.01</v>
      </c>
      <c r="B14" s="140" t="s">
        <v>23</v>
      </c>
      <c r="C14" s="140"/>
      <c r="D14" s="140"/>
      <c r="E14" s="140"/>
      <c r="F14" s="23">
        <v>1</v>
      </c>
      <c r="G14" s="24" t="s">
        <v>8</v>
      </c>
      <c r="H14" s="25">
        <f>5000*6</f>
        <v>30000</v>
      </c>
      <c r="I14" s="26"/>
      <c r="J14" s="27">
        <f>F14*H14</f>
        <v>30000</v>
      </c>
      <c r="K14" s="109"/>
    </row>
    <row r="15" spans="1:11" s="21" customFormat="1" ht="18" customHeight="1">
      <c r="A15" s="22">
        <f>A14+0.01</f>
        <v>1.02</v>
      </c>
      <c r="B15" s="140" t="s">
        <v>24</v>
      </c>
      <c r="C15" s="140"/>
      <c r="D15" s="140"/>
      <c r="E15" s="140"/>
      <c r="F15" s="23">
        <v>1</v>
      </c>
      <c r="G15" s="24" t="s">
        <v>8</v>
      </c>
      <c r="H15" s="28">
        <v>10000</v>
      </c>
      <c r="I15" s="29"/>
      <c r="J15" s="27">
        <f t="shared" ref="J15" si="0">F15*H15</f>
        <v>10000</v>
      </c>
      <c r="K15" s="109"/>
    </row>
    <row r="16" spans="1:11" s="21" customFormat="1" ht="18" customHeight="1">
      <c r="A16" s="22">
        <f>A15+0.01</f>
        <v>1.03</v>
      </c>
      <c r="B16" s="140" t="s">
        <v>27</v>
      </c>
      <c r="C16" s="140"/>
      <c r="D16" s="140"/>
      <c r="E16" s="140"/>
      <c r="F16" s="30">
        <v>1</v>
      </c>
      <c r="G16" s="31" t="s">
        <v>8</v>
      </c>
      <c r="H16" s="28">
        <v>40000</v>
      </c>
      <c r="I16" s="29"/>
      <c r="J16" s="27">
        <f t="shared" ref="J16" si="1">F16*H16</f>
        <v>40000</v>
      </c>
      <c r="K16" s="109"/>
    </row>
    <row r="17" spans="1:13" s="21" customFormat="1" ht="18" customHeight="1">
      <c r="A17" s="22">
        <f t="shared" ref="A17:A18" si="2">A16+0.01</f>
        <v>1.04</v>
      </c>
      <c r="B17" s="140" t="s">
        <v>25</v>
      </c>
      <c r="C17" s="140"/>
      <c r="D17" s="140"/>
      <c r="E17" s="140"/>
      <c r="F17" s="30">
        <v>1</v>
      </c>
      <c r="G17" s="31" t="s">
        <v>8</v>
      </c>
      <c r="H17" s="28">
        <v>80000</v>
      </c>
      <c r="I17" s="29"/>
      <c r="J17" s="27">
        <f>F17*H17</f>
        <v>80000</v>
      </c>
      <c r="K17" s="109"/>
    </row>
    <row r="18" spans="1:13" s="21" customFormat="1" ht="18" customHeight="1">
      <c r="A18" s="22">
        <f t="shared" si="2"/>
        <v>1.05</v>
      </c>
      <c r="B18" s="140" t="s">
        <v>72</v>
      </c>
      <c r="C18" s="140"/>
      <c r="D18" s="140"/>
      <c r="E18" s="140"/>
      <c r="F18" s="30">
        <v>1</v>
      </c>
      <c r="G18" s="31" t="s">
        <v>8</v>
      </c>
      <c r="H18" s="28">
        <v>10000</v>
      </c>
      <c r="I18" s="29"/>
      <c r="J18" s="27">
        <f>F18*H18</f>
        <v>10000</v>
      </c>
      <c r="K18" s="109"/>
    </row>
    <row r="19" spans="1:13" s="21" customFormat="1" ht="18" customHeight="1">
      <c r="A19" s="22">
        <f>A18+0.01</f>
        <v>1.06</v>
      </c>
      <c r="B19" s="140" t="s">
        <v>26</v>
      </c>
      <c r="C19" s="140"/>
      <c r="D19" s="140"/>
      <c r="E19" s="140"/>
      <c r="F19" s="30">
        <v>1</v>
      </c>
      <c r="G19" s="31" t="s">
        <v>8</v>
      </c>
      <c r="H19" s="28">
        <f>500+650</f>
        <v>1150</v>
      </c>
      <c r="I19" s="29"/>
      <c r="J19" s="27">
        <f>F19*H19</f>
        <v>1150</v>
      </c>
      <c r="K19" s="109"/>
    </row>
    <row r="20" spans="1:13" s="64" customFormat="1" ht="24.95" customHeight="1" thickBot="1">
      <c r="A20" s="93"/>
      <c r="B20" s="143" t="s">
        <v>42</v>
      </c>
      <c r="C20" s="144"/>
      <c r="D20" s="144"/>
      <c r="E20" s="144"/>
      <c r="F20" s="94"/>
      <c r="G20" s="95"/>
      <c r="H20" s="96"/>
      <c r="I20" s="65"/>
      <c r="J20" s="79">
        <f>SUM(J14:J19)</f>
        <v>171150</v>
      </c>
      <c r="K20" s="110"/>
      <c r="M20" s="119">
        <f>199432</f>
        <v>199432</v>
      </c>
    </row>
    <row r="21" spans="1:13" ht="18" customHeight="1" thickBot="1">
      <c r="A21" s="6"/>
      <c r="F21" s="2"/>
      <c r="H21" s="10"/>
      <c r="I21" s="10"/>
      <c r="J21" s="11"/>
    </row>
    <row r="22" spans="1:13" ht="24.95" customHeight="1" thickBot="1">
      <c r="A22" s="97" t="s">
        <v>9</v>
      </c>
      <c r="B22" s="102"/>
      <c r="C22" s="99" t="s">
        <v>41</v>
      </c>
      <c r="D22" s="100"/>
      <c r="E22" s="100"/>
      <c r="F22" s="100"/>
      <c r="G22" s="100"/>
      <c r="H22" s="98"/>
      <c r="I22" s="98"/>
      <c r="J22" s="103"/>
    </row>
    <row r="23" spans="1:13" s="21" customFormat="1" ht="18" customHeight="1">
      <c r="A23" s="17" t="s">
        <v>1</v>
      </c>
      <c r="B23" s="139" t="s">
        <v>2</v>
      </c>
      <c r="C23" s="139"/>
      <c r="D23" s="139"/>
      <c r="E23" s="139"/>
      <c r="F23" s="18" t="s">
        <v>3</v>
      </c>
      <c r="G23" s="19" t="s">
        <v>4</v>
      </c>
      <c r="H23" s="18" t="s">
        <v>5</v>
      </c>
      <c r="I23" s="18" t="s">
        <v>15</v>
      </c>
      <c r="J23" s="20" t="s">
        <v>6</v>
      </c>
      <c r="K23" s="109"/>
    </row>
    <row r="24" spans="1:13" s="21" customFormat="1" ht="18" customHeight="1">
      <c r="A24" s="22">
        <v>2.0099999999999998</v>
      </c>
      <c r="B24" s="140" t="s">
        <v>57</v>
      </c>
      <c r="C24" s="140"/>
      <c r="D24" s="140"/>
      <c r="E24" s="140"/>
      <c r="F24" s="23">
        <v>1</v>
      </c>
      <c r="G24" s="24" t="s">
        <v>8</v>
      </c>
      <c r="H24" s="25">
        <f>ROUND((J25+J26)*0.2,-4)</f>
        <v>20000</v>
      </c>
      <c r="I24" s="26"/>
      <c r="J24" s="27">
        <f>F24*H24</f>
        <v>20000</v>
      </c>
      <c r="K24" s="109"/>
      <c r="M24" s="124">
        <v>117000</v>
      </c>
    </row>
    <row r="25" spans="1:13" s="21" customFormat="1" ht="18" customHeight="1">
      <c r="A25" s="22">
        <f>A24+0.01</f>
        <v>2.0199999999999996</v>
      </c>
      <c r="B25" s="140" t="s">
        <v>59</v>
      </c>
      <c r="C25" s="140"/>
      <c r="D25" s="140"/>
      <c r="E25" s="140"/>
      <c r="F25" s="23">
        <v>1</v>
      </c>
      <c r="G25" s="24" t="s">
        <v>8</v>
      </c>
      <c r="H25" s="28">
        <f>200*14</f>
        <v>2800</v>
      </c>
      <c r="I25" s="29"/>
      <c r="J25" s="27">
        <f t="shared" ref="J25" si="3">F25*H25</f>
        <v>2800</v>
      </c>
      <c r="K25" s="109"/>
      <c r="M25" s="124">
        <f>200*22</f>
        <v>4400</v>
      </c>
    </row>
    <row r="26" spans="1:13" s="21" customFormat="1" ht="18" customHeight="1">
      <c r="A26" s="22">
        <f>A25+0.01</f>
        <v>2.0299999999999994</v>
      </c>
      <c r="B26" s="140" t="s">
        <v>58</v>
      </c>
      <c r="C26" s="140"/>
      <c r="D26" s="140"/>
      <c r="E26" s="140"/>
      <c r="F26" s="30">
        <f>1400*5</f>
        <v>7000</v>
      </c>
      <c r="G26" s="31" t="s">
        <v>11</v>
      </c>
      <c r="H26" s="28">
        <f>ROUND(1.1*126000/9580,1)</f>
        <v>14.5</v>
      </c>
      <c r="I26" s="29"/>
      <c r="J26" s="27">
        <f>F26*H26</f>
        <v>101500</v>
      </c>
      <c r="K26" s="109"/>
      <c r="M26" s="124">
        <f>10345*4+6595*16</f>
        <v>146900</v>
      </c>
    </row>
    <row r="27" spans="1:13" s="64" customFormat="1" ht="24.95" customHeight="1" thickBot="1">
      <c r="A27" s="93"/>
      <c r="B27" s="136" t="s">
        <v>43</v>
      </c>
      <c r="C27" s="137"/>
      <c r="D27" s="137"/>
      <c r="E27" s="137"/>
      <c r="F27" s="94"/>
      <c r="G27" s="95"/>
      <c r="H27" s="96"/>
      <c r="I27" s="65"/>
      <c r="J27" s="79">
        <f>SUM(J24:J26)</f>
        <v>124300</v>
      </c>
      <c r="K27" s="110"/>
      <c r="M27" s="119">
        <f>SUM(M24:M26)</f>
        <v>268300</v>
      </c>
    </row>
    <row r="28" spans="1:13" ht="18" customHeight="1" thickBot="1">
      <c r="A28" s="6"/>
      <c r="F28" s="2"/>
      <c r="H28" s="10"/>
      <c r="I28" s="10"/>
      <c r="J28" s="11"/>
    </row>
    <row r="29" spans="1:13" ht="24.95" customHeight="1" thickBot="1">
      <c r="A29" s="97" t="s">
        <v>44</v>
      </c>
      <c r="B29" s="98"/>
      <c r="C29" s="99" t="s">
        <v>37</v>
      </c>
      <c r="D29" s="100"/>
      <c r="E29" s="100"/>
      <c r="F29" s="100"/>
      <c r="G29" s="100"/>
      <c r="H29" s="100"/>
      <c r="I29" s="100"/>
      <c r="J29" s="101"/>
    </row>
    <row r="30" spans="1:13" s="21" customFormat="1" ht="18" customHeight="1">
      <c r="A30" s="17" t="s">
        <v>1</v>
      </c>
      <c r="B30" s="133" t="s">
        <v>2</v>
      </c>
      <c r="C30" s="134"/>
      <c r="D30" s="134"/>
      <c r="E30" s="135"/>
      <c r="F30" s="18" t="s">
        <v>3</v>
      </c>
      <c r="G30" s="19" t="s">
        <v>4</v>
      </c>
      <c r="H30" s="18" t="s">
        <v>5</v>
      </c>
      <c r="I30" s="18" t="s">
        <v>15</v>
      </c>
      <c r="J30" s="20" t="s">
        <v>6</v>
      </c>
      <c r="K30" s="109"/>
    </row>
    <row r="31" spans="1:13" s="21" customFormat="1" ht="18" customHeight="1">
      <c r="A31" s="22">
        <v>3.01</v>
      </c>
      <c r="B31" s="140" t="s">
        <v>7</v>
      </c>
      <c r="C31" s="140"/>
      <c r="D31" s="140"/>
      <c r="E31" s="140"/>
      <c r="F31" s="23">
        <v>1</v>
      </c>
      <c r="G31" s="24" t="s">
        <v>8</v>
      </c>
      <c r="H31" s="25">
        <v>40000</v>
      </c>
      <c r="I31" s="26"/>
      <c r="J31" s="27">
        <f>F31*H31</f>
        <v>40000</v>
      </c>
      <c r="K31" s="109"/>
    </row>
    <row r="32" spans="1:13" s="21" customFormat="1" ht="18" customHeight="1">
      <c r="A32" s="22">
        <f>A31+0.01</f>
        <v>3.0199999999999996</v>
      </c>
      <c r="B32" s="140" t="s">
        <v>28</v>
      </c>
      <c r="C32" s="140"/>
      <c r="D32" s="140"/>
      <c r="E32" s="140"/>
      <c r="F32" s="23">
        <v>1</v>
      </c>
      <c r="G32" s="24" t="s">
        <v>8</v>
      </c>
      <c r="H32" s="28">
        <v>40000</v>
      </c>
      <c r="I32" s="29"/>
      <c r="J32" s="27">
        <f t="shared" ref="J32:J35" si="4">F32*H32</f>
        <v>40000</v>
      </c>
      <c r="K32" s="109"/>
    </row>
    <row r="33" spans="1:15" s="21" customFormat="1" ht="18" customHeight="1">
      <c r="A33" s="33">
        <f>A32+0.01</f>
        <v>3.0299999999999994</v>
      </c>
      <c r="B33" s="141" t="s">
        <v>29</v>
      </c>
      <c r="C33" s="141"/>
      <c r="D33" s="141"/>
      <c r="E33" s="141"/>
      <c r="F33" s="34">
        <v>1</v>
      </c>
      <c r="G33" s="35" t="s">
        <v>8</v>
      </c>
      <c r="H33" s="36">
        <v>4000</v>
      </c>
      <c r="I33" s="37"/>
      <c r="J33" s="38">
        <f t="shared" si="4"/>
        <v>4000</v>
      </c>
      <c r="K33" s="109"/>
    </row>
    <row r="34" spans="1:15" s="21" customFormat="1" ht="18" customHeight="1">
      <c r="A34" s="33">
        <f>A33+0.01</f>
        <v>3.0399999999999991</v>
      </c>
      <c r="B34" s="142" t="s">
        <v>30</v>
      </c>
      <c r="C34" s="141"/>
      <c r="D34" s="141"/>
      <c r="E34" s="141"/>
      <c r="F34" s="34">
        <v>1</v>
      </c>
      <c r="G34" s="35" t="s">
        <v>8</v>
      </c>
      <c r="H34" s="39">
        <v>2000</v>
      </c>
      <c r="I34" s="40"/>
      <c r="J34" s="27">
        <f t="shared" si="4"/>
        <v>2000</v>
      </c>
      <c r="K34" s="109"/>
    </row>
    <row r="35" spans="1:15" s="21" customFormat="1" ht="18" customHeight="1">
      <c r="A35" s="22">
        <f>A34+0.01</f>
        <v>3.0499999999999989</v>
      </c>
      <c r="B35" s="140" t="s">
        <v>31</v>
      </c>
      <c r="C35" s="140"/>
      <c r="D35" s="140"/>
      <c r="E35" s="140"/>
      <c r="F35" s="30">
        <v>1</v>
      </c>
      <c r="G35" s="31" t="s">
        <v>8</v>
      </c>
      <c r="H35" s="28">
        <v>2000</v>
      </c>
      <c r="I35" s="29"/>
      <c r="J35" s="27">
        <f t="shared" si="4"/>
        <v>2000</v>
      </c>
      <c r="K35" s="109"/>
    </row>
    <row r="36" spans="1:15" s="21" customFormat="1" ht="18" customHeight="1">
      <c r="A36" s="22">
        <f>A35+0.01</f>
        <v>3.0599999999999987</v>
      </c>
      <c r="B36" s="140" t="s">
        <v>21</v>
      </c>
      <c r="C36" s="140"/>
      <c r="D36" s="140"/>
      <c r="E36" s="140"/>
      <c r="F36" s="30">
        <v>1</v>
      </c>
      <c r="G36" s="31" t="s">
        <v>8</v>
      </c>
      <c r="H36" s="28">
        <v>4000</v>
      </c>
      <c r="I36" s="29"/>
      <c r="J36" s="27">
        <f>F36*H36</f>
        <v>4000</v>
      </c>
      <c r="K36" s="109"/>
    </row>
    <row r="37" spans="1:15" s="21" customFormat="1" ht="24.95" customHeight="1" thickBot="1">
      <c r="A37" s="87"/>
      <c r="B37" s="136" t="s">
        <v>47</v>
      </c>
      <c r="C37" s="137"/>
      <c r="D37" s="137"/>
      <c r="E37" s="137"/>
      <c r="F37" s="88"/>
      <c r="G37" s="89"/>
      <c r="H37" s="90"/>
      <c r="I37" s="32"/>
      <c r="J37" s="82">
        <f>SUM(J31:J36)</f>
        <v>92000</v>
      </c>
      <c r="K37" s="109"/>
      <c r="M37" s="119">
        <v>762005</v>
      </c>
    </row>
    <row r="38" spans="1:15" ht="18" customHeight="1" thickBot="1">
      <c r="A38" s="6"/>
      <c r="F38" s="2"/>
      <c r="H38" s="10"/>
      <c r="I38" s="10"/>
      <c r="J38" s="11"/>
    </row>
    <row r="39" spans="1:15" ht="24.95" customHeight="1" thickBot="1">
      <c r="A39" s="104" t="s">
        <v>45</v>
      </c>
      <c r="B39" s="85"/>
      <c r="C39" s="105" t="s">
        <v>38</v>
      </c>
      <c r="D39" s="106"/>
      <c r="E39" s="106"/>
      <c r="F39" s="106"/>
      <c r="G39" s="106"/>
      <c r="H39" s="107"/>
      <c r="I39" s="107"/>
      <c r="J39" s="108"/>
      <c r="M39" s="118">
        <f>M20+M27+M37</f>
        <v>1229737</v>
      </c>
      <c r="O39" s="118"/>
    </row>
    <row r="40" spans="1:15" ht="18" customHeight="1">
      <c r="A40" s="17" t="s">
        <v>1</v>
      </c>
      <c r="B40" s="41" t="s">
        <v>2</v>
      </c>
      <c r="C40" s="42"/>
      <c r="D40" s="42"/>
      <c r="E40" s="43"/>
      <c r="F40" s="18" t="s">
        <v>3</v>
      </c>
      <c r="G40" s="19" t="s">
        <v>4</v>
      </c>
      <c r="H40" s="44" t="s">
        <v>5</v>
      </c>
      <c r="I40" s="44" t="s">
        <v>15</v>
      </c>
      <c r="J40" s="45" t="s">
        <v>6</v>
      </c>
    </row>
    <row r="41" spans="1:15" ht="18" customHeight="1">
      <c r="A41" s="46">
        <v>4.01</v>
      </c>
      <c r="B41" s="138" t="s">
        <v>20</v>
      </c>
      <c r="C41" s="138"/>
      <c r="D41" s="138"/>
      <c r="E41" s="138"/>
      <c r="F41" s="47">
        <v>2200</v>
      </c>
      <c r="G41" s="48" t="s">
        <v>10</v>
      </c>
      <c r="H41" s="49">
        <v>1.5</v>
      </c>
      <c r="I41" s="26"/>
      <c r="J41" s="27">
        <f t="shared" ref="J41:J42" si="5">F41*H41</f>
        <v>3300</v>
      </c>
    </row>
    <row r="42" spans="1:15" ht="18" customHeight="1">
      <c r="A42" s="46">
        <f>A41+0.01</f>
        <v>4.0199999999999996</v>
      </c>
      <c r="B42" s="138" t="s">
        <v>34</v>
      </c>
      <c r="C42" s="138"/>
      <c r="D42" s="138"/>
      <c r="E42" s="138"/>
      <c r="F42" s="47">
        <v>1</v>
      </c>
      <c r="G42" s="48" t="s">
        <v>8</v>
      </c>
      <c r="H42" s="49">
        <v>7000</v>
      </c>
      <c r="I42" s="26"/>
      <c r="J42" s="27">
        <f t="shared" si="5"/>
        <v>7000</v>
      </c>
    </row>
    <row r="43" spans="1:15" ht="18" customHeight="1">
      <c r="A43" s="46">
        <f>A42+0.01</f>
        <v>4.0299999999999994</v>
      </c>
      <c r="B43" s="138" t="s">
        <v>32</v>
      </c>
      <c r="C43" s="138"/>
      <c r="D43" s="138"/>
      <c r="E43" s="138"/>
      <c r="F43" s="47">
        <v>1</v>
      </c>
      <c r="G43" s="48" t="s">
        <v>8</v>
      </c>
      <c r="H43" s="49">
        <v>15000</v>
      </c>
      <c r="I43" s="26"/>
      <c r="J43" s="27">
        <f t="shared" ref="J43" si="6">F43*H43</f>
        <v>15000</v>
      </c>
    </row>
    <row r="44" spans="1:15" ht="18" customHeight="1">
      <c r="A44" s="46">
        <f t="shared" ref="A44:A46" si="7">A43+0.01</f>
        <v>4.0399999999999991</v>
      </c>
      <c r="B44" s="138" t="s">
        <v>67</v>
      </c>
      <c r="C44" s="138"/>
      <c r="D44" s="138"/>
      <c r="E44" s="138"/>
      <c r="F44" s="47">
        <f>ROUNDUP(6*2200/9,-1)</f>
        <v>1470</v>
      </c>
      <c r="G44" s="48" t="s">
        <v>60</v>
      </c>
      <c r="H44" s="49">
        <v>7</v>
      </c>
      <c r="I44" s="26"/>
      <c r="J44" s="27">
        <f t="shared" ref="J44" si="8">F44*H44</f>
        <v>10290</v>
      </c>
      <c r="K44" s="111"/>
    </row>
    <row r="45" spans="1:15" ht="18" customHeight="1">
      <c r="A45" s="46">
        <f t="shared" si="7"/>
        <v>4.0499999999999989</v>
      </c>
      <c r="B45" s="138" t="s">
        <v>18</v>
      </c>
      <c r="C45" s="138"/>
      <c r="D45" s="138"/>
      <c r="E45" s="138"/>
      <c r="F45" s="47">
        <f>ROUNDUP(6*2200/9,-1)</f>
        <v>1470</v>
      </c>
      <c r="G45" s="48" t="s">
        <v>60</v>
      </c>
      <c r="H45" s="49">
        <v>2</v>
      </c>
      <c r="I45" s="26"/>
      <c r="J45" s="27">
        <f t="shared" ref="J45" si="9">F45*H45</f>
        <v>2940</v>
      </c>
    </row>
    <row r="46" spans="1:15" ht="18" customHeight="1">
      <c r="A46" s="46">
        <f t="shared" si="7"/>
        <v>4.0599999999999987</v>
      </c>
      <c r="B46" s="138" t="s">
        <v>61</v>
      </c>
      <c r="C46" s="138"/>
      <c r="D46" s="138"/>
      <c r="E46" s="138"/>
      <c r="F46" s="47">
        <f>ROUNDUP(6*2200/9,-1)</f>
        <v>1470</v>
      </c>
      <c r="G46" s="48" t="s">
        <v>60</v>
      </c>
      <c r="H46" s="50">
        <v>20</v>
      </c>
      <c r="I46" s="26"/>
      <c r="J46" s="27">
        <f t="shared" ref="J46" si="10">F46*H46</f>
        <v>29400</v>
      </c>
    </row>
    <row r="47" spans="1:15" ht="18" customHeight="1">
      <c r="A47" s="46">
        <f t="shared" ref="A47:A53" si="11">A46+0.01</f>
        <v>4.0699999999999985</v>
      </c>
      <c r="B47" s="138" t="s">
        <v>62</v>
      </c>
      <c r="C47" s="138"/>
      <c r="D47" s="138"/>
      <c r="E47" s="138"/>
      <c r="F47" s="47">
        <v>2200</v>
      </c>
      <c r="G47" s="48" t="s">
        <v>10</v>
      </c>
      <c r="H47" s="50">
        <v>10</v>
      </c>
      <c r="I47" s="26"/>
      <c r="J47" s="27">
        <f t="shared" ref="J47:J53" si="12">F47*H47</f>
        <v>22000</v>
      </c>
    </row>
    <row r="48" spans="1:15" ht="18" customHeight="1">
      <c r="A48" s="46">
        <f>A47+0.01</f>
        <v>4.0799999999999983</v>
      </c>
      <c r="B48" s="154" t="s">
        <v>71</v>
      </c>
      <c r="C48" s="155"/>
      <c r="D48" s="155"/>
      <c r="E48" s="156"/>
      <c r="F48" s="47">
        <v>0</v>
      </c>
      <c r="G48" s="48" t="s">
        <v>11</v>
      </c>
      <c r="H48" s="50">
        <v>1.5</v>
      </c>
      <c r="I48" s="26"/>
      <c r="J48" s="27">
        <f t="shared" ref="J48" si="13">F48*H48</f>
        <v>0</v>
      </c>
    </row>
    <row r="49" spans="1:16" ht="36" customHeight="1">
      <c r="A49" s="46">
        <f>A48+0.01</f>
        <v>4.0899999999999981</v>
      </c>
      <c r="B49" s="154" t="s">
        <v>33</v>
      </c>
      <c r="C49" s="155"/>
      <c r="D49" s="155"/>
      <c r="E49" s="156"/>
      <c r="F49" s="47">
        <f>2200*6</f>
        <v>13200</v>
      </c>
      <c r="G49" s="48" t="s">
        <v>11</v>
      </c>
      <c r="H49" s="50">
        <v>4</v>
      </c>
      <c r="I49" s="26"/>
      <c r="J49" s="27">
        <f t="shared" si="12"/>
        <v>52800</v>
      </c>
    </row>
    <row r="50" spans="1:16" ht="18" customHeight="1">
      <c r="A50" s="46">
        <f t="shared" si="11"/>
        <v>4.0999999999999979</v>
      </c>
      <c r="B50" s="138" t="s">
        <v>19</v>
      </c>
      <c r="C50" s="138"/>
      <c r="D50" s="138"/>
      <c r="E50" s="138"/>
      <c r="F50" s="47">
        <v>16</v>
      </c>
      <c r="G50" s="48" t="s">
        <v>16</v>
      </c>
      <c r="H50" s="50">
        <v>1600</v>
      </c>
      <c r="I50" s="26"/>
      <c r="J50" s="27">
        <f t="shared" si="12"/>
        <v>25600</v>
      </c>
    </row>
    <row r="51" spans="1:16" ht="18" customHeight="1">
      <c r="A51" s="46">
        <f t="shared" si="11"/>
        <v>4.1099999999999977</v>
      </c>
      <c r="B51" s="154" t="s">
        <v>63</v>
      </c>
      <c r="C51" s="155"/>
      <c r="D51" s="155"/>
      <c r="E51" s="156"/>
      <c r="F51" s="47">
        <v>1</v>
      </c>
      <c r="G51" s="48" t="s">
        <v>8</v>
      </c>
      <c r="H51" s="50">
        <f>2200*3*2.5</f>
        <v>16500</v>
      </c>
      <c r="I51" s="26"/>
      <c r="J51" s="27">
        <f t="shared" si="12"/>
        <v>16500</v>
      </c>
    </row>
    <row r="52" spans="1:16" ht="18" customHeight="1">
      <c r="A52" s="46">
        <f t="shared" si="11"/>
        <v>4.1199999999999974</v>
      </c>
      <c r="B52" s="141" t="s">
        <v>73</v>
      </c>
      <c r="C52" s="141"/>
      <c r="D52" s="141"/>
      <c r="E52" s="141"/>
      <c r="F52" s="51">
        <v>0</v>
      </c>
      <c r="G52" s="52" t="s">
        <v>16</v>
      </c>
      <c r="H52" s="50">
        <v>25000</v>
      </c>
      <c r="I52" s="26"/>
      <c r="J52" s="27">
        <f t="shared" si="12"/>
        <v>0</v>
      </c>
    </row>
    <row r="53" spans="1:16" ht="18" customHeight="1">
      <c r="A53" s="46">
        <f t="shared" si="11"/>
        <v>4.1299999999999972</v>
      </c>
      <c r="B53" s="138" t="s">
        <v>74</v>
      </c>
      <c r="C53" s="138"/>
      <c r="D53" s="138"/>
      <c r="E53" s="138"/>
      <c r="F53" s="47">
        <v>0</v>
      </c>
      <c r="G53" s="48" t="s">
        <v>11</v>
      </c>
      <c r="H53" s="50">
        <v>4</v>
      </c>
      <c r="I53" s="26"/>
      <c r="J53" s="27">
        <f t="shared" si="12"/>
        <v>0</v>
      </c>
      <c r="O53" s="118"/>
    </row>
    <row r="54" spans="1:16" ht="24.95" customHeight="1" thickBot="1">
      <c r="A54" s="87"/>
      <c r="B54" s="136" t="s">
        <v>48</v>
      </c>
      <c r="C54" s="137"/>
      <c r="D54" s="137"/>
      <c r="E54" s="137"/>
      <c r="F54" s="88"/>
      <c r="G54" s="89"/>
      <c r="H54" s="90"/>
      <c r="I54" s="32"/>
      <c r="J54" s="82">
        <f>SUM(J41:J53)</f>
        <v>184830</v>
      </c>
      <c r="O54" s="118">
        <f>J54/2200</f>
        <v>84.013636363636365</v>
      </c>
      <c r="P54" s="118">
        <f>163*O54</f>
        <v>13694.222727272727</v>
      </c>
    </row>
    <row r="55" spans="1:16" s="8" customFormat="1" ht="18" customHeight="1" thickBot="1">
      <c r="A55" s="7"/>
      <c r="B55" s="7"/>
      <c r="C55" s="7"/>
      <c r="D55" s="7"/>
      <c r="E55" s="7"/>
      <c r="F55" s="7"/>
      <c r="G55" s="7"/>
      <c r="H55" s="12"/>
      <c r="I55" s="12"/>
      <c r="J55" s="12"/>
      <c r="K55" s="7"/>
    </row>
    <row r="56" spans="1:16" ht="24.95" customHeight="1" thickBot="1">
      <c r="A56" s="97" t="s">
        <v>46</v>
      </c>
      <c r="B56" s="102"/>
      <c r="C56" s="99" t="s">
        <v>39</v>
      </c>
      <c r="D56" s="100"/>
      <c r="E56" s="100"/>
      <c r="F56" s="100"/>
      <c r="G56" s="100"/>
      <c r="H56" s="98"/>
      <c r="I56" s="98"/>
      <c r="J56" s="103"/>
      <c r="M56" s="118">
        <f>J54/2200</f>
        <v>84.013636363636365</v>
      </c>
    </row>
    <row r="57" spans="1:16" ht="18" customHeight="1">
      <c r="A57" s="53" t="s">
        <v>1</v>
      </c>
      <c r="B57" s="41" t="s">
        <v>2</v>
      </c>
      <c r="C57" s="42"/>
      <c r="D57" s="42"/>
      <c r="E57" s="43"/>
      <c r="F57" s="18" t="s">
        <v>3</v>
      </c>
      <c r="G57" s="19" t="s">
        <v>4</v>
      </c>
      <c r="H57" s="44" t="s">
        <v>5</v>
      </c>
      <c r="I57" s="44" t="s">
        <v>15</v>
      </c>
      <c r="J57" s="45" t="s">
        <v>6</v>
      </c>
    </row>
    <row r="58" spans="1:16" ht="18" customHeight="1">
      <c r="A58" s="46">
        <v>5.01</v>
      </c>
      <c r="B58" s="138" t="s">
        <v>65</v>
      </c>
      <c r="C58" s="138"/>
      <c r="D58" s="138"/>
      <c r="E58" s="138"/>
      <c r="F58" s="47">
        <v>14</v>
      </c>
      <c r="G58" s="48" t="s">
        <v>16</v>
      </c>
      <c r="H58" s="49">
        <v>2000</v>
      </c>
      <c r="I58" s="26"/>
      <c r="J58" s="27">
        <f t="shared" ref="J58" si="14">F58*H58</f>
        <v>28000</v>
      </c>
    </row>
    <row r="59" spans="1:16" ht="18" customHeight="1">
      <c r="A59" s="46">
        <f t="shared" ref="A59" si="15">A58+0.01</f>
        <v>5.0199999999999996</v>
      </c>
      <c r="B59" s="138" t="s">
        <v>66</v>
      </c>
      <c r="C59" s="138"/>
      <c r="D59" s="138"/>
      <c r="E59" s="138"/>
      <c r="F59" s="47">
        <v>2200</v>
      </c>
      <c r="G59" s="48" t="s">
        <v>10</v>
      </c>
      <c r="H59" s="50">
        <v>38</v>
      </c>
      <c r="I59" s="26"/>
      <c r="J59" s="27">
        <f>F59*H59</f>
        <v>83600</v>
      </c>
    </row>
    <row r="60" spans="1:16" ht="18" customHeight="1">
      <c r="A60" s="33">
        <f>A59+0.01</f>
        <v>5.0299999999999994</v>
      </c>
      <c r="B60" s="54" t="s">
        <v>64</v>
      </c>
      <c r="C60" s="54"/>
      <c r="D60" s="54"/>
      <c r="E60" s="54"/>
      <c r="F60" s="30">
        <v>0</v>
      </c>
      <c r="G60" s="31" t="s">
        <v>8</v>
      </c>
      <c r="H60" s="55">
        <v>5000</v>
      </c>
      <c r="I60" s="29"/>
      <c r="J60" s="56">
        <f>F60*H60</f>
        <v>0</v>
      </c>
    </row>
    <row r="61" spans="1:16" ht="24.95" customHeight="1" thickBot="1">
      <c r="A61" s="91"/>
      <c r="B61" s="136" t="s">
        <v>49</v>
      </c>
      <c r="C61" s="137"/>
      <c r="D61" s="137"/>
      <c r="E61" s="137"/>
      <c r="F61" s="88"/>
      <c r="G61" s="92"/>
      <c r="H61" s="90"/>
      <c r="I61" s="32"/>
      <c r="J61" s="82">
        <f>SUM(J58:J60)</f>
        <v>111600</v>
      </c>
      <c r="M61" s="118">
        <f>J37+J54+J61</f>
        <v>388430</v>
      </c>
    </row>
    <row r="62" spans="1:16" ht="18" customHeight="1" thickBot="1">
      <c r="A62" s="5"/>
      <c r="B62" s="5"/>
      <c r="C62" s="5"/>
      <c r="D62" s="5"/>
      <c r="E62" s="5"/>
      <c r="F62" s="14"/>
      <c r="G62" s="15"/>
      <c r="H62" s="10"/>
      <c r="I62" s="10"/>
      <c r="J62" s="16"/>
      <c r="M62" s="118">
        <f>M61/2200</f>
        <v>176.55909090909091</v>
      </c>
    </row>
    <row r="63" spans="1:16" ht="24.95" customHeight="1" thickBot="1">
      <c r="A63" s="97" t="s">
        <v>12</v>
      </c>
      <c r="B63" s="102"/>
      <c r="C63" s="99" t="s">
        <v>36</v>
      </c>
      <c r="D63" s="100"/>
      <c r="E63" s="100"/>
      <c r="F63" s="100"/>
      <c r="G63" s="100"/>
      <c r="H63" s="98"/>
      <c r="I63" s="98"/>
      <c r="J63" s="103"/>
    </row>
    <row r="64" spans="1:16" s="21" customFormat="1" ht="5.0999999999999996" customHeight="1">
      <c r="A64" s="57"/>
      <c r="B64" s="58"/>
      <c r="C64" s="59"/>
      <c r="D64" s="59"/>
      <c r="E64" s="59"/>
      <c r="F64" s="60"/>
      <c r="G64" s="61"/>
      <c r="H64" s="62"/>
      <c r="I64" s="62"/>
      <c r="J64" s="63"/>
      <c r="K64" s="109"/>
    </row>
    <row r="65" spans="1:16" s="67" customFormat="1" ht="18" customHeight="1">
      <c r="A65" s="80"/>
      <c r="B65" s="81"/>
      <c r="C65" s="81"/>
      <c r="D65" s="81"/>
      <c r="E65" s="68" t="s">
        <v>50</v>
      </c>
      <c r="F65" s="69"/>
      <c r="G65" s="70"/>
      <c r="H65" s="147">
        <f>J37</f>
        <v>92000</v>
      </c>
      <c r="I65" s="148"/>
      <c r="J65" s="149"/>
      <c r="K65" s="112"/>
    </row>
    <row r="66" spans="1:16" s="67" customFormat="1" ht="18" customHeight="1">
      <c r="A66" s="80"/>
      <c r="B66" s="81"/>
      <c r="C66" s="81"/>
      <c r="D66" s="81"/>
      <c r="E66" s="68" t="s">
        <v>51</v>
      </c>
      <c r="F66" s="69"/>
      <c r="G66" s="70"/>
      <c r="H66" s="147">
        <f>J54</f>
        <v>184830</v>
      </c>
      <c r="I66" s="148"/>
      <c r="J66" s="149"/>
      <c r="K66" s="112"/>
    </row>
    <row r="67" spans="1:16" s="67" customFormat="1" ht="18" customHeight="1" thickBot="1">
      <c r="A67" s="80"/>
      <c r="B67" s="81"/>
      <c r="C67" s="81"/>
      <c r="D67" s="81"/>
      <c r="E67" s="68" t="s">
        <v>52</v>
      </c>
      <c r="F67" s="69"/>
      <c r="G67" s="70"/>
      <c r="H67" s="147">
        <f>J61</f>
        <v>111600</v>
      </c>
      <c r="I67" s="148"/>
      <c r="J67" s="149"/>
      <c r="K67" s="112"/>
      <c r="M67" s="123">
        <v>162.72</v>
      </c>
      <c r="O67" s="120">
        <f>M67*M56</f>
        <v>13670.69890909091</v>
      </c>
    </row>
    <row r="68" spans="1:16" s="67" customFormat="1" ht="18" customHeight="1" thickBot="1">
      <c r="A68" s="71"/>
      <c r="B68" s="81"/>
      <c r="C68" s="81"/>
      <c r="D68" s="81"/>
      <c r="E68" s="68" t="s">
        <v>53</v>
      </c>
      <c r="F68" s="69"/>
      <c r="G68" s="70"/>
      <c r="H68" s="150">
        <f>SUM(H65:J67)</f>
        <v>388430</v>
      </c>
      <c r="I68" s="148"/>
      <c r="J68" s="149"/>
      <c r="K68" s="112"/>
      <c r="M68" s="123">
        <v>30</v>
      </c>
      <c r="O68" s="120">
        <f>M68*M56</f>
        <v>2520.409090909091</v>
      </c>
    </row>
    <row r="69" spans="1:16" s="67" customFormat="1" ht="18" customHeight="1" thickBot="1">
      <c r="A69" s="72"/>
      <c r="B69" s="81"/>
      <c r="C69" s="81"/>
      <c r="D69" s="81"/>
      <c r="E69" s="74" t="s">
        <v>68</v>
      </c>
      <c r="F69" s="73"/>
      <c r="G69" s="73"/>
      <c r="H69" s="147">
        <f>ROUND(H68*0.2,-2)</f>
        <v>77700</v>
      </c>
      <c r="I69" s="148"/>
      <c r="J69" s="149"/>
      <c r="K69" s="112"/>
      <c r="M69" s="123"/>
    </row>
    <row r="70" spans="1:16" s="67" customFormat="1" ht="18" customHeight="1" thickBot="1">
      <c r="A70" s="72"/>
      <c r="B70" s="81"/>
      <c r="C70" s="81"/>
      <c r="D70" s="81"/>
      <c r="E70" s="74" t="s">
        <v>69</v>
      </c>
      <c r="F70" s="73"/>
      <c r="G70" s="73"/>
      <c r="H70" s="147">
        <f>ROUND(H68*0.15,-2)</f>
        <v>58300</v>
      </c>
      <c r="I70" s="148"/>
      <c r="J70" s="149"/>
      <c r="K70" s="112"/>
      <c r="M70" s="123">
        <v>287.23</v>
      </c>
      <c r="O70" s="120">
        <f>M70*M56</f>
        <v>24131.236772727276</v>
      </c>
    </row>
    <row r="71" spans="1:16" s="21" customFormat="1" ht="18" customHeight="1">
      <c r="A71" s="75"/>
      <c r="B71" s="66"/>
      <c r="C71" s="66"/>
      <c r="D71" s="66"/>
      <c r="E71" s="78" t="s">
        <v>40</v>
      </c>
      <c r="F71" s="76"/>
      <c r="G71" s="76"/>
      <c r="H71" s="151">
        <f>SUM(H68:J70)</f>
        <v>524430</v>
      </c>
      <c r="I71" s="152"/>
      <c r="J71" s="153"/>
      <c r="K71" s="109"/>
      <c r="M71" s="21">
        <v>215.78</v>
      </c>
      <c r="O71" s="124">
        <f>M71*M56</f>
        <v>18128.462454545454</v>
      </c>
      <c r="P71" s="124">
        <f>O71/43</f>
        <v>421.59215010570824</v>
      </c>
    </row>
    <row r="72" spans="1:16" ht="24.95" customHeight="1" thickBot="1">
      <c r="A72" s="87"/>
      <c r="B72" s="136" t="s">
        <v>54</v>
      </c>
      <c r="C72" s="137"/>
      <c r="D72" s="137"/>
      <c r="E72" s="137"/>
      <c r="F72" s="88"/>
      <c r="G72" s="89"/>
      <c r="H72" s="90"/>
      <c r="I72" s="32"/>
      <c r="J72" s="79">
        <f>H71</f>
        <v>524430</v>
      </c>
      <c r="M72" s="4">
        <v>77.3</v>
      </c>
      <c r="O72" s="118">
        <f>M72*M56</f>
        <v>6494.2540909090912</v>
      </c>
      <c r="P72" s="118">
        <f>O72/20</f>
        <v>324.71270454545459</v>
      </c>
    </row>
    <row r="73" spans="1:16" ht="18" customHeight="1" thickBot="1">
      <c r="A73" s="5"/>
      <c r="B73" s="5"/>
      <c r="C73" s="5"/>
      <c r="D73" s="5"/>
      <c r="E73" s="5"/>
      <c r="F73" s="14"/>
      <c r="G73" s="15"/>
      <c r="H73" s="10"/>
      <c r="I73" s="10"/>
      <c r="J73" s="16"/>
      <c r="P73" s="118">
        <f>P72*12</f>
        <v>3896.552454545455</v>
      </c>
    </row>
    <row r="74" spans="1:16" s="64" customFormat="1" ht="35.1" customHeight="1" thickBot="1">
      <c r="A74" s="83"/>
      <c r="B74" s="145" t="s">
        <v>55</v>
      </c>
      <c r="C74" s="146"/>
      <c r="D74" s="146"/>
      <c r="E74" s="146"/>
      <c r="F74" s="84"/>
      <c r="G74" s="85"/>
      <c r="H74" s="86"/>
      <c r="I74" s="77"/>
      <c r="J74" s="122">
        <f>SUM(J20,J27,J72)</f>
        <v>819880</v>
      </c>
      <c r="K74" s="110"/>
      <c r="O74" s="119"/>
    </row>
    <row r="75" spans="1:16" ht="18" customHeight="1">
      <c r="A75" s="7"/>
      <c r="B75" s="7"/>
      <c r="C75" s="7"/>
      <c r="D75" s="7"/>
      <c r="E75" s="7"/>
      <c r="F75" s="7"/>
      <c r="G75" s="7"/>
      <c r="H75" s="12"/>
      <c r="I75" s="12"/>
      <c r="J75" s="13"/>
    </row>
    <row r="76" spans="1:16" ht="54" customHeight="1">
      <c r="B76" s="127" t="s">
        <v>75</v>
      </c>
      <c r="C76" s="128"/>
      <c r="D76" s="128"/>
      <c r="E76" s="128"/>
      <c r="F76" s="128"/>
      <c r="G76" s="128"/>
      <c r="H76" s="128"/>
      <c r="I76" s="128"/>
      <c r="J76" s="128"/>
      <c r="K76" s="113"/>
    </row>
    <row r="77" spans="1:16" ht="18" customHeight="1"/>
    <row r="79" spans="1:16" ht="18" customHeight="1"/>
    <row r="80" spans="1:16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</sheetData>
  <mergeCells count="54">
    <mergeCell ref="B18:E18"/>
    <mergeCell ref="B58:E58"/>
    <mergeCell ref="B59:E59"/>
    <mergeCell ref="B23:E23"/>
    <mergeCell ref="B24:E24"/>
    <mergeCell ref="B25:E25"/>
    <mergeCell ref="B52:E52"/>
    <mergeCell ref="B44:E44"/>
    <mergeCell ref="B47:E47"/>
    <mergeCell ref="B46:E46"/>
    <mergeCell ref="B49:E49"/>
    <mergeCell ref="B50:E50"/>
    <mergeCell ref="B51:E51"/>
    <mergeCell ref="B48:E48"/>
    <mergeCell ref="B74:E74"/>
    <mergeCell ref="H65:J65"/>
    <mergeCell ref="H66:J66"/>
    <mergeCell ref="H67:J67"/>
    <mergeCell ref="H68:J68"/>
    <mergeCell ref="H69:J69"/>
    <mergeCell ref="H70:J70"/>
    <mergeCell ref="H71:J71"/>
    <mergeCell ref="B14:E14"/>
    <mergeCell ref="B15:E15"/>
    <mergeCell ref="B45:E45"/>
    <mergeCell ref="B33:E33"/>
    <mergeCell ref="B34:E34"/>
    <mergeCell ref="B36:E36"/>
    <mergeCell ref="B35:E35"/>
    <mergeCell ref="B32:E32"/>
    <mergeCell ref="B31:E31"/>
    <mergeCell ref="B19:E19"/>
    <mergeCell ref="B20:E20"/>
    <mergeCell ref="B27:E27"/>
    <mergeCell ref="B16:E16"/>
    <mergeCell ref="B17:E17"/>
    <mergeCell ref="B43:E43"/>
    <mergeCell ref="B26:E26"/>
    <mergeCell ref="A9:J9"/>
    <mergeCell ref="B76:J76"/>
    <mergeCell ref="A2:J2"/>
    <mergeCell ref="A3:J3"/>
    <mergeCell ref="A4:J4"/>
    <mergeCell ref="A5:J5"/>
    <mergeCell ref="A8:J8"/>
    <mergeCell ref="B30:E30"/>
    <mergeCell ref="B54:E54"/>
    <mergeCell ref="B72:E72"/>
    <mergeCell ref="B61:E61"/>
    <mergeCell ref="B53:E53"/>
    <mergeCell ref="B37:E37"/>
    <mergeCell ref="B42:E42"/>
    <mergeCell ref="B41:E41"/>
    <mergeCell ref="B13:E13"/>
  </mergeCells>
  <phoneticPr fontId="0" type="noConversion"/>
  <pageMargins left="1.5" right="0.75" top="0.6" bottom="0.6" header="0.5" footer="0.5"/>
  <pageSetup scale="49" fitToWidth="0" orientation="portrait" useFirstPageNumber="1" horizontalDpi="1200" verticalDpi="1200" r:id="rId1"/>
  <headerFooter>
    <oddHeader>&amp;L&amp;"Arial,Regular"&amp;10CITY OF NEWBERG</oddHeader>
    <oddFooter>&amp;L&amp;10COST ESTIMATE (by P.C.) for TE 2010 GRANT APPLICATION
File: &amp;F&amp;R&amp;"-,Bold"&amp;12&amp;P of 1</oddFooter>
  </headerFooter>
  <rowBreaks count="2" manualBreakCount="2">
    <brk id="38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</vt:lpstr>
      <vt:lpstr>ESTIMATE!Print_Area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Chiu</dc:creator>
  <cp:lastModifiedBy>Paul Chiu</cp:lastModifiedBy>
  <cp:lastPrinted>2010-12-21T00:52:06Z</cp:lastPrinted>
  <dcterms:created xsi:type="dcterms:W3CDTF">2000-09-14T17:10:19Z</dcterms:created>
  <dcterms:modified xsi:type="dcterms:W3CDTF">2012-10-03T01:21:45Z</dcterms:modified>
</cp:coreProperties>
</file>